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Deloitte France\59 - Masnières\"/>
    </mc:Choice>
  </mc:AlternateContent>
  <bookViews>
    <workbookView xWindow="0" yWindow="0" windowWidth="20490" windowHeight="77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B101" i="1"/>
  <c r="D101" i="1" s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B133" i="1"/>
  <c r="D133" i="1" s="1"/>
  <c r="D132" i="1"/>
  <c r="B132" i="1"/>
  <c r="D131" i="1"/>
  <c r="B131" i="1"/>
  <c r="B130" i="1"/>
  <c r="D129" i="1"/>
  <c r="B129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251" i="1" l="1"/>
  <c r="D250" i="1"/>
  <c r="B250" i="1"/>
  <c r="B249" i="1"/>
  <c r="D248" i="1"/>
  <c r="B248" i="1"/>
  <c r="B247" i="1"/>
  <c r="D246" i="1"/>
  <c r="B246" i="1"/>
  <c r="B245" i="1"/>
  <c r="B147" i="1"/>
  <c r="D146" i="1"/>
  <c r="B146" i="1"/>
  <c r="B145" i="1"/>
  <c r="D144" i="1"/>
  <c r="B144" i="1"/>
  <c r="B143" i="1"/>
  <c r="D142" i="1"/>
  <c r="B142" i="1"/>
  <c r="B141" i="1"/>
  <c r="B69" i="1"/>
  <c r="D68" i="1"/>
  <c r="B68" i="1"/>
  <c r="B67" i="1"/>
  <c r="D66" i="1"/>
  <c r="B66" i="1"/>
  <c r="B65" i="1"/>
  <c r="D64" i="1"/>
  <c r="B64" i="1"/>
  <c r="B63" i="1"/>
  <c r="D205" i="1" l="1"/>
  <c r="B205" i="1"/>
  <c r="B198" i="1"/>
  <c r="D197" i="1"/>
  <c r="B197" i="1"/>
  <c r="B196" i="1"/>
  <c r="D195" i="1"/>
  <c r="B195" i="1"/>
  <c r="B194" i="1"/>
  <c r="D193" i="1"/>
  <c r="B193" i="1"/>
  <c r="B192" i="1"/>
  <c r="D168" i="1" l="1"/>
  <c r="B168" i="1"/>
  <c r="B167" i="1"/>
  <c r="B231" i="1"/>
  <c r="D231" i="1" s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EB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W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57" i="2" l="1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5" i="2" l="1"/>
  <c r="FJ103" i="2"/>
  <c r="FJ90" i="2"/>
  <c r="FJ3" i="2"/>
  <c r="C13" i="4" s="1"/>
  <c r="E13" i="4" s="1"/>
  <c r="F13" i="4" s="1"/>
  <c r="G13" i="4" s="1"/>
  <c r="L13" i="4" s="1"/>
  <c r="FJ30" i="2"/>
  <c r="FJ140" i="2"/>
  <c r="FJ128" i="2"/>
  <c r="FJ5" i="2"/>
  <c r="FJ10" i="2"/>
  <c r="FJ29" i="2"/>
  <c r="FJ87" i="2"/>
  <c r="FJ125" i="2"/>
  <c r="FJ184" i="2"/>
  <c r="FJ9" i="2"/>
  <c r="FJ130" i="2"/>
  <c r="FJ178" i="2"/>
  <c r="FJ180" i="2"/>
  <c r="FJ170" i="2"/>
  <c r="FJ127" i="2"/>
  <c r="FJ138" i="2"/>
  <c r="FJ115" i="2"/>
  <c r="FJ175" i="2"/>
  <c r="FJ199" i="2"/>
  <c r="FJ32" i="2"/>
  <c r="FJ158" i="2"/>
  <c r="FJ137" i="2"/>
  <c r="FJ149" i="2"/>
  <c r="FJ53" i="2"/>
  <c r="FJ42" i="2"/>
  <c r="FJ162" i="2"/>
  <c r="FJ13" i="2"/>
  <c r="FJ72" i="2"/>
  <c r="FJ23" i="2"/>
  <c r="FJ84" i="2"/>
  <c r="FJ203" i="2"/>
  <c r="FJ177" i="2"/>
  <c r="FJ163" i="2"/>
  <c r="FJ135" i="2"/>
  <c r="FJ117" i="2"/>
  <c r="FJ143" i="2"/>
  <c r="FJ45" i="2"/>
  <c r="FJ197" i="2"/>
  <c r="FJ109" i="2"/>
  <c r="FJ6" i="2"/>
  <c r="FJ56" i="2"/>
  <c r="FJ102" i="2"/>
  <c r="FJ62" i="2"/>
  <c r="FJ89" i="2"/>
  <c r="FJ21" i="2"/>
  <c r="FJ111" i="2"/>
  <c r="FJ35" i="2"/>
  <c r="FJ73" i="2"/>
  <c r="FJ88" i="2"/>
  <c r="FJ66" i="2"/>
  <c r="FJ43" i="2"/>
  <c r="FJ124" i="2"/>
  <c r="FJ77" i="2"/>
  <c r="FJ159" i="2"/>
  <c r="FJ108" i="2"/>
  <c r="FJ79" i="2"/>
  <c r="FJ83" i="2"/>
  <c r="FJ59" i="2"/>
  <c r="FJ20" i="2"/>
  <c r="FJ80" i="2"/>
  <c r="FJ65" i="2"/>
  <c r="FJ113" i="2"/>
  <c r="FJ96" i="2"/>
  <c r="FJ174" i="2"/>
  <c r="FJ154" i="2"/>
  <c r="FJ57" i="2"/>
  <c r="FJ194" i="2"/>
  <c r="FJ112" i="2"/>
  <c r="FJ186" i="2"/>
  <c r="FJ69" i="2"/>
  <c r="FJ126" i="2"/>
  <c r="FJ37" i="2"/>
  <c r="FJ104" i="2"/>
  <c r="FJ74" i="2"/>
  <c r="FJ191" i="2"/>
  <c r="FJ131" i="2"/>
  <c r="FJ68" i="2"/>
  <c r="FJ160" i="2"/>
  <c r="FJ46" i="2"/>
  <c r="FJ189" i="2"/>
  <c r="FJ97" i="2"/>
  <c r="FJ133" i="2"/>
  <c r="FJ52" i="2"/>
  <c r="FJ60" i="2"/>
  <c r="FJ161" i="2"/>
  <c r="FJ78" i="2"/>
  <c r="FJ81" i="2"/>
  <c r="FJ132" i="2"/>
  <c r="FJ18" i="2"/>
  <c r="FJ166" i="2"/>
  <c r="FJ118" i="2"/>
  <c r="FJ169" i="2"/>
  <c r="FJ193" i="2"/>
  <c r="FJ145" i="2"/>
  <c r="FJ22" i="2"/>
  <c r="FJ55" i="2"/>
  <c r="FJ150" i="2"/>
  <c r="FJ41" i="2"/>
  <c r="FJ156" i="2"/>
  <c r="FJ48" i="2"/>
  <c r="FJ61" i="2"/>
  <c r="FJ187" i="2"/>
  <c r="FJ33" i="2"/>
  <c r="FJ34" i="2"/>
  <c r="FJ47" i="2"/>
  <c r="FJ85" i="2"/>
  <c r="FJ168" i="2"/>
  <c r="FJ116" i="2"/>
  <c r="FJ7" i="2"/>
  <c r="FJ4" i="2"/>
  <c r="FJ185" i="2"/>
  <c r="FJ40" i="2"/>
  <c r="FJ153" i="2"/>
  <c r="FJ19" i="2"/>
  <c r="FJ201" i="2"/>
  <c r="FJ172" i="2"/>
  <c r="FJ63" i="2"/>
  <c r="FJ139" i="2"/>
  <c r="FJ151" i="2"/>
  <c r="FJ183" i="2"/>
  <c r="FJ31" i="2"/>
  <c r="FJ198" i="2"/>
  <c r="FJ100" i="2"/>
  <c r="FJ11" i="2"/>
  <c r="FJ119" i="2"/>
  <c r="FJ99" i="2"/>
  <c r="FJ76" i="2"/>
  <c r="FJ164" i="2"/>
  <c r="FJ142" i="2"/>
  <c r="FJ167" i="2"/>
  <c r="FJ152" i="2"/>
  <c r="FJ106" i="2"/>
  <c r="FJ25" i="2"/>
  <c r="FJ173" i="2"/>
  <c r="FJ179" i="2"/>
  <c r="FJ101" i="2"/>
  <c r="FJ82" i="2"/>
  <c r="FJ67" i="2"/>
  <c r="FJ28" i="2"/>
  <c r="FJ200" i="2"/>
  <c r="FJ121" i="2"/>
  <c r="FJ86" i="2"/>
  <c r="FJ147" i="2"/>
  <c r="FJ181" i="2"/>
  <c r="FJ39" i="2"/>
  <c r="FJ91" i="2"/>
  <c r="FJ64" i="2"/>
  <c r="FJ157" i="2"/>
  <c r="FJ54" i="2"/>
  <c r="FJ114" i="2"/>
  <c r="FJ98" i="2"/>
  <c r="FJ136" i="2"/>
  <c r="FJ190" i="2"/>
  <c r="FJ188" i="2"/>
  <c r="FJ12" i="2"/>
  <c r="FJ16" i="2"/>
  <c r="FJ129" i="2"/>
  <c r="FJ51" i="2"/>
  <c r="FJ75" i="2"/>
  <c r="FJ176" i="2"/>
  <c r="FJ171" i="2"/>
  <c r="FJ17" i="2"/>
  <c r="FJ93" i="2"/>
  <c r="FJ14" i="2"/>
  <c r="FJ58" i="2"/>
  <c r="FJ26" i="2"/>
  <c r="FJ122" i="2"/>
  <c r="FJ120" i="2"/>
  <c r="FJ192" i="2"/>
  <c r="FJ144" i="2"/>
  <c r="FJ49" i="2"/>
  <c r="FJ94" i="2"/>
  <c r="FJ71" i="2"/>
  <c r="FJ38" i="2"/>
  <c r="FJ141" i="2"/>
  <c r="FJ95" i="2"/>
  <c r="FJ110" i="2"/>
  <c r="FJ196" i="2"/>
  <c r="FJ24" i="2"/>
  <c r="FJ92" i="2"/>
  <c r="FJ123" i="2"/>
  <c r="FJ8" i="2"/>
  <c r="FJ50" i="2"/>
  <c r="FJ195" i="2"/>
  <c r="FJ70" i="2"/>
  <c r="FJ148" i="2"/>
  <c r="FJ44" i="2"/>
  <c r="FJ165" i="2"/>
  <c r="FJ107" i="2"/>
  <c r="FJ146" i="2"/>
  <c r="FJ182" i="2"/>
  <c r="FJ134" i="2"/>
  <c r="FJ36" i="2"/>
  <c r="FJ27" i="2"/>
  <c r="FJ202" i="2"/>
  <c r="FJ1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46" i="2" l="1"/>
  <c r="CD125" i="2"/>
  <c r="CD96" i="2"/>
  <c r="CD86" i="2"/>
  <c r="CD82" i="2"/>
  <c r="CD190" i="2"/>
  <c r="CD39" i="2"/>
  <c r="CD151" i="2"/>
  <c r="CD65" i="2"/>
  <c r="CD3" i="2"/>
  <c r="C9" i="4" s="1"/>
  <c r="E9" i="4" s="1"/>
  <c r="F9" i="4" s="1"/>
  <c r="G9" i="4" s="1"/>
  <c r="L9" i="4" s="1"/>
  <c r="CD141" i="2"/>
  <c r="CD136" i="2"/>
  <c r="CD33" i="2"/>
  <c r="CD42" i="2"/>
  <c r="CD119" i="2"/>
  <c r="CD176" i="2"/>
  <c r="CD103" i="2"/>
  <c r="CD150" i="2"/>
  <c r="CD114" i="2"/>
  <c r="CD19" i="2"/>
  <c r="CD113" i="2"/>
  <c r="CD191" i="2"/>
  <c r="CD91" i="2"/>
  <c r="CD38" i="2"/>
  <c r="CD106" i="2"/>
  <c r="CD152" i="2"/>
  <c r="CD13" i="2"/>
  <c r="CD10" i="2"/>
  <c r="CD154" i="2"/>
  <c r="CD196" i="2"/>
  <c r="CD148" i="2"/>
  <c r="CD94" i="2"/>
  <c r="CD109" i="2"/>
  <c r="CD4" i="2"/>
  <c r="CD40" i="2"/>
  <c r="CD70" i="2"/>
  <c r="CD69" i="2"/>
  <c r="CD110" i="2"/>
  <c r="CD87" i="2"/>
  <c r="CD179" i="2"/>
  <c r="CD185" i="2"/>
  <c r="CD95" i="2"/>
  <c r="CD37" i="2"/>
  <c r="CD15" i="2"/>
  <c r="CD56" i="2"/>
  <c r="CD140" i="2"/>
  <c r="CD85" i="2"/>
  <c r="CD156" i="2"/>
  <c r="CD61" i="2"/>
  <c r="CD43" i="2"/>
  <c r="CD11" i="2"/>
  <c r="CD182" i="2"/>
  <c r="CD31" i="2"/>
  <c r="CD200" i="2"/>
  <c r="CD172" i="2"/>
  <c r="CD64" i="2"/>
  <c r="CD52" i="2"/>
  <c r="CD129" i="2"/>
  <c r="CD29" i="2"/>
  <c r="CD159" i="2"/>
  <c r="CD126" i="2"/>
  <c r="CD104" i="2"/>
  <c r="CD7" i="2"/>
  <c r="CD139" i="2"/>
  <c r="CD47" i="2"/>
  <c r="CD58" i="2"/>
  <c r="CD186" i="2"/>
  <c r="CD180" i="2"/>
  <c r="CD67" i="2"/>
  <c r="CD183" i="2"/>
  <c r="CD189" i="2"/>
  <c r="CD102" i="2"/>
  <c r="CD6" i="2"/>
  <c r="CD184" i="2"/>
  <c r="CD72" i="2"/>
  <c r="CD100" i="2"/>
  <c r="CD68" i="2"/>
  <c r="CD167" i="2"/>
  <c r="CD132" i="2"/>
  <c r="CD171" i="2"/>
  <c r="CD76" i="2"/>
  <c r="CD97" i="2"/>
  <c r="CD116" i="2"/>
  <c r="CD36" i="2"/>
  <c r="CD45" i="2"/>
  <c r="CD105" i="2"/>
  <c r="CD155" i="2"/>
  <c r="CD108" i="2"/>
  <c r="CD118" i="2"/>
  <c r="CD71" i="2"/>
  <c r="CD92" i="2"/>
  <c r="CD16" i="2"/>
  <c r="CD20" i="2"/>
  <c r="CD25" i="2"/>
  <c r="CD22" i="2"/>
  <c r="CD44" i="2"/>
  <c r="CD123" i="2"/>
  <c r="CD32" i="2"/>
  <c r="CD138" i="2"/>
  <c r="CD93" i="2"/>
  <c r="CD112" i="2"/>
  <c r="CD9" i="2"/>
  <c r="CD164" i="2"/>
  <c r="CD21" i="2"/>
  <c r="CD14" i="2"/>
  <c r="CD77" i="2"/>
  <c r="CD49" i="2"/>
  <c r="CD170" i="2"/>
  <c r="CD174" i="2"/>
  <c r="CD41" i="2"/>
  <c r="CD79" i="2"/>
  <c r="CD175" i="2"/>
  <c r="CD28" i="2"/>
  <c r="CD202" i="2"/>
  <c r="CD23" i="2"/>
  <c r="CD135" i="2"/>
  <c r="CD157" i="2"/>
  <c r="CD46" i="2"/>
  <c r="CD111" i="2"/>
  <c r="CD160" i="2"/>
  <c r="CD99" i="2"/>
  <c r="CD83" i="2"/>
  <c r="CD122" i="2"/>
  <c r="CD195" i="2"/>
  <c r="CD90" i="2"/>
  <c r="CD144" i="2"/>
  <c r="CD137" i="2"/>
  <c r="CD98" i="2"/>
  <c r="CD50" i="2"/>
  <c r="CD101" i="2"/>
  <c r="CD163" i="2"/>
  <c r="CD59" i="2"/>
  <c r="CD115" i="2"/>
  <c r="CD12" i="2"/>
  <c r="CD177" i="2"/>
  <c r="CD201" i="2"/>
  <c r="CD181" i="2"/>
  <c r="CD27" i="2"/>
  <c r="CD198" i="2"/>
  <c r="CD81" i="2"/>
  <c r="CD74" i="2"/>
  <c r="CD187" i="2"/>
  <c r="CD73" i="2"/>
  <c r="CD199" i="2"/>
  <c r="CD80" i="2"/>
  <c r="CD117" i="2"/>
  <c r="CD60" i="2"/>
  <c r="CD133" i="2"/>
  <c r="CD51" i="2"/>
  <c r="CD107" i="2"/>
  <c r="CD5" i="2"/>
  <c r="CD120" i="2"/>
  <c r="CD26" i="2"/>
  <c r="CD53" i="2"/>
  <c r="CD145" i="2"/>
  <c r="CD142" i="2"/>
  <c r="CD194" i="2"/>
  <c r="CD128" i="2"/>
  <c r="CD188" i="2"/>
  <c r="CD57" i="2"/>
  <c r="CD54" i="2"/>
  <c r="CD62" i="2"/>
  <c r="CD147" i="2"/>
  <c r="CD161" i="2"/>
  <c r="CD89" i="2"/>
  <c r="CD192" i="2"/>
  <c r="CD8" i="2"/>
  <c r="CD18" i="2"/>
  <c r="CD63" i="2"/>
  <c r="CD34" i="2"/>
  <c r="CD165" i="2"/>
  <c r="CD143" i="2"/>
  <c r="CD66" i="2"/>
  <c r="CD131" i="2"/>
  <c r="CD30" i="2"/>
  <c r="CD88" i="2"/>
  <c r="CD84" i="2"/>
  <c r="CD55" i="2"/>
  <c r="CD168" i="2"/>
  <c r="CD178" i="2"/>
  <c r="CD153" i="2"/>
  <c r="CD173" i="2"/>
  <c r="CD78" i="2"/>
  <c r="CD130" i="2"/>
  <c r="CD127" i="2"/>
  <c r="CD203" i="2"/>
  <c r="CD169" i="2"/>
  <c r="CD48" i="2"/>
  <c r="CD158" i="2"/>
  <c r="CD162" i="2"/>
  <c r="CD35" i="2"/>
  <c r="CD121" i="2"/>
  <c r="CD75" i="2"/>
  <c r="CD193" i="2"/>
  <c r="CD17" i="2"/>
  <c r="CD149" i="2"/>
  <c r="CD124" i="2"/>
  <c r="CD134" i="2"/>
  <c r="CD24" i="2"/>
  <c r="CD166" i="2"/>
  <c r="CD19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1" i="2" l="1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<sst xmlns="http://schemas.openxmlformats.org/spreadsheetml/2006/main" count="1178" uniqueCount="324">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</sst>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625504"/>
        <c:axId val="1033627136"/>
      </c:scatterChart>
      <c:valAx>
        <c:axId val="103362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3627136"/>
        <c:crosses val="autoZero"/>
        <c:crossBetween val="midCat"/>
      </c:valAx>
      <c:valAx>
        <c:axId val="103362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362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566464"/>
        <c:axId val="1383563200"/>
      </c:scatterChart>
      <c:valAx>
        <c:axId val="1383566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3563200"/>
        <c:crosses val="autoZero"/>
        <c:crossBetween val="midCat"/>
      </c:valAx>
      <c:valAx>
        <c:axId val="138356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356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626048"/>
        <c:axId val="1333582720"/>
      </c:scatterChart>
      <c:valAx>
        <c:axId val="103362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2720"/>
        <c:crosses val="autoZero"/>
        <c:crossBetween val="midCat"/>
      </c:valAx>
      <c:valAx>
        <c:axId val="133358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362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584896"/>
        <c:axId val="1333583264"/>
      </c:scatterChart>
      <c:valAx>
        <c:axId val="133358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3264"/>
        <c:crosses val="autoZero"/>
        <c:crossBetween val="midCat"/>
      </c:valAx>
      <c:valAx>
        <c:axId val="133358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482.38810162219664</c:v>
                </c:pt>
                <c:pt idx="112">
                  <c:v>488.20605227820744</c:v>
                </c:pt>
                <c:pt idx="113">
                  <c:v>494.02253179848339</c:v>
                </c:pt>
                <c:pt idx="114">
                  <c:v>499.83755995777983</c:v>
                </c:pt>
                <c:pt idx="115">
                  <c:v>505.65115603293197</c:v>
                </c:pt>
                <c:pt idx="116">
                  <c:v>511.46333882110065</c:v>
                </c:pt>
                <c:pt idx="117">
                  <c:v>517.27412665714303</c:v>
                </c:pt>
                <c:pt idx="118">
                  <c:v>523.08353743016437</c:v>
                </c:pt>
                <c:pt idx="119">
                  <c:v>528.89158859929296</c:v>
                </c:pt>
                <c:pt idx="120">
                  <c:v>534.69829720872906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584352"/>
        <c:axId val="1333583808"/>
      </c:scatterChart>
      <c:valAx>
        <c:axId val="1333584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3808"/>
        <c:crosses val="autoZero"/>
        <c:crossBetween val="midCat"/>
      </c:valAx>
      <c:valAx>
        <c:axId val="133358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4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585440"/>
        <c:axId val="1333585984"/>
      </c:scatterChart>
      <c:valAx>
        <c:axId val="1333585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5984"/>
        <c:crosses val="autoZero"/>
        <c:crossBetween val="midCat"/>
      </c:valAx>
      <c:valAx>
        <c:axId val="133358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3585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558224"/>
        <c:axId val="960558768"/>
      </c:scatterChart>
      <c:valAx>
        <c:axId val="960558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58768"/>
        <c:crosses val="autoZero"/>
        <c:crossBetween val="midCat"/>
      </c:valAx>
      <c:valAx>
        <c:axId val="96055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5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559312"/>
        <c:axId val="960560944"/>
      </c:scatterChart>
      <c:valAx>
        <c:axId val="960559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60944"/>
        <c:crosses val="autoZero"/>
        <c:crossBetween val="midCat"/>
      </c:valAx>
      <c:valAx>
        <c:axId val="96056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59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557680"/>
        <c:axId val="960559856"/>
      </c:scatterChart>
      <c:valAx>
        <c:axId val="96055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59856"/>
        <c:crosses val="autoZero"/>
        <c:crossBetween val="midCat"/>
      </c:valAx>
      <c:valAx>
        <c:axId val="96055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5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560400"/>
        <c:axId val="1383562112"/>
      </c:scatterChart>
      <c:valAx>
        <c:axId val="960560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3562112"/>
        <c:crosses val="autoZero"/>
        <c:crossBetween val="midCat"/>
      </c:valAx>
      <c:valAx>
        <c:axId val="13835621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0560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F41" sqref="F4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23</v>
      </c>
      <c r="C9" s="35">
        <v>0.26350000000000001</v>
      </c>
      <c r="D9" s="36">
        <f t="shared" ref="D9:D18" si="0">C9*$C$5</f>
        <v>1.054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0.25</v>
      </c>
      <c r="D10" s="36">
        <f t="shared" si="0"/>
        <v>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22</v>
      </c>
      <c r="C11" s="35">
        <v>0.17499999999999999</v>
      </c>
      <c r="D11" s="36">
        <f t="shared" si="0"/>
        <v>0.7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6</v>
      </c>
      <c r="C12" s="35">
        <v>8.7499999999999994E-2</v>
      </c>
      <c r="D12" s="36">
        <f t="shared" si="0"/>
        <v>0.35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8.7499999999999994E-2</v>
      </c>
      <c r="D13" s="36">
        <f t="shared" si="0"/>
        <v>0.35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29</v>
      </c>
      <c r="C14" s="35">
        <v>4.3799999999999999E-2</v>
      </c>
      <c r="D14" s="36">
        <f t="shared" si="0"/>
        <v>0.17519999999999999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50</v>
      </c>
      <c r="C15" s="35">
        <v>4.3799999999999999E-2</v>
      </c>
      <c r="D15" s="36">
        <f t="shared" si="0"/>
        <v>0.17519999999999999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21</v>
      </c>
      <c r="C16" s="35">
        <v>1.8800000000000001E-2</v>
      </c>
      <c r="D16" s="36">
        <f t="shared" si="0"/>
        <v>7.5200000000000003E-2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52</v>
      </c>
      <c r="C17" s="35">
        <v>1.8800000000000001E-2</v>
      </c>
      <c r="D17" s="36">
        <f t="shared" si="0"/>
        <v>7.5200000000000003E-2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0.98870000000000013</v>
      </c>
      <c r="D19" s="41">
        <f>SUM(D9:D18)</f>
        <v>3.9548000000000005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Erable sycomore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1">
        <f>22.3+15.1</f>
        <v>37.4</v>
      </c>
      <c r="C36" s="61"/>
      <c r="D36" s="61"/>
      <c r="E36" s="54"/>
      <c r="F36" s="54"/>
      <c r="G36" s="54"/>
      <c r="H36" s="54"/>
      <c r="I36" s="52">
        <f>IFERROR(B36/A36,"")</f>
        <v>2.4933333333333332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1">
        <f>52+15.1+28</f>
        <v>95.1</v>
      </c>
      <c r="C37" s="61">
        <v>1</v>
      </c>
      <c r="D37" s="61">
        <f>15.1+28</f>
        <v>43.1</v>
      </c>
      <c r="E37" s="54"/>
      <c r="F37" s="54"/>
      <c r="G37" s="54"/>
      <c r="H37" s="54">
        <v>1</v>
      </c>
      <c r="I37" s="56">
        <f t="shared" ref="I37:I55" si="1">IF(A37&lt;&gt;0,(B37-(B36-D36))/(A37-A36),"")</f>
        <v>11.54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1">
        <f>86.5+28</f>
        <v>114.5</v>
      </c>
      <c r="C38" s="61"/>
      <c r="D38" s="61"/>
      <c r="E38" s="54"/>
      <c r="F38" s="54"/>
      <c r="G38" s="54"/>
      <c r="H38" s="54"/>
      <c r="I38" s="56">
        <f t="shared" si="1"/>
        <v>12.500000000000002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f>118.5+28+28</f>
        <v>174.5</v>
      </c>
      <c r="C39" s="61">
        <v>2</v>
      </c>
      <c r="D39" s="61">
        <f>28+28</f>
        <v>56</v>
      </c>
      <c r="E39" s="54"/>
      <c r="F39" s="54"/>
      <c r="G39" s="54"/>
      <c r="H39" s="54">
        <v>1</v>
      </c>
      <c r="I39" s="52">
        <f t="shared" si="1"/>
        <v>12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1">
        <f>144.4+28</f>
        <v>172.4</v>
      </c>
      <c r="C40" s="61"/>
      <c r="D40" s="61"/>
      <c r="E40" s="54"/>
      <c r="F40" s="54"/>
      <c r="G40" s="54"/>
      <c r="H40" s="54"/>
      <c r="I40" s="52">
        <f t="shared" si="1"/>
        <v>10.780000000000001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1">
        <f>163.6+28+28</f>
        <v>219.6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9.4399999999999977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61">
        <v>45</v>
      </c>
      <c r="B42" s="61">
        <f>182.8+21.8</f>
        <v>204.60000000000002</v>
      </c>
      <c r="C42" s="61"/>
      <c r="D42" s="61"/>
      <c r="E42" s="54"/>
      <c r="F42" s="54"/>
      <c r="G42" s="54"/>
      <c r="H42" s="54"/>
      <c r="I42" s="56">
        <f t="shared" si="1"/>
        <v>8.2000000000000064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1">
        <v>50</v>
      </c>
      <c r="B43" s="61">
        <f>201.9+21.8+16.5</f>
        <v>240.20000000000002</v>
      </c>
      <c r="C43" s="61">
        <v>4</v>
      </c>
      <c r="D43" s="61">
        <f>21.8+16.5</f>
        <v>38.299999999999997</v>
      </c>
      <c r="E43" s="54"/>
      <c r="F43" s="54"/>
      <c r="G43" s="54"/>
      <c r="H43" s="54"/>
      <c r="I43" s="52">
        <f t="shared" si="1"/>
        <v>7.1199999999999992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1">
        <v>55</v>
      </c>
      <c r="B44" s="61">
        <f>219.1+13.4</f>
        <v>232.5</v>
      </c>
      <c r="C44" s="61"/>
      <c r="D44" s="61"/>
      <c r="E44" s="54"/>
      <c r="F44" s="54"/>
      <c r="G44" s="54"/>
      <c r="H44" s="54"/>
      <c r="I44" s="52">
        <f t="shared" si="1"/>
        <v>6.119999999999993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1">
        <v>60</v>
      </c>
      <c r="B45" s="61">
        <f>233.1+13.4+11.8</f>
        <v>258.3</v>
      </c>
      <c r="C45" s="61">
        <v>5</v>
      </c>
      <c r="D45" s="61">
        <f>13.4+11.8</f>
        <v>25.200000000000003</v>
      </c>
      <c r="E45" s="54"/>
      <c r="F45" s="54"/>
      <c r="G45" s="54"/>
      <c r="H45" s="54"/>
      <c r="I45" s="52">
        <f t="shared" si="1"/>
        <v>5.1600000000000019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61">
        <v>65</v>
      </c>
      <c r="B46" s="61">
        <f>243.9+10.9</f>
        <v>254.8</v>
      </c>
      <c r="C46" s="61"/>
      <c r="D46" s="61"/>
      <c r="E46" s="54"/>
      <c r="F46" s="54"/>
      <c r="G46" s="54"/>
      <c r="H46" s="54"/>
      <c r="I46" s="52">
        <f t="shared" si="1"/>
        <v>4.3399999999999981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61">
        <v>70</v>
      </c>
      <c r="B47" s="61">
        <f>252.7+10.9+10</f>
        <v>273.59999999999997</v>
      </c>
      <c r="C47" s="61">
        <v>6</v>
      </c>
      <c r="D47" s="61">
        <f>10.9+10</f>
        <v>20.9</v>
      </c>
      <c r="E47" s="54"/>
      <c r="F47" s="54"/>
      <c r="G47" s="54"/>
      <c r="H47" s="54"/>
      <c r="I47" s="52">
        <f t="shared" si="1"/>
        <v>3.7599999999999909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61">
        <v>75</v>
      </c>
      <c r="B48" s="61">
        <f>260.6+9.1</f>
        <v>269.70000000000005</v>
      </c>
      <c r="C48" s="61"/>
      <c r="D48" s="61"/>
      <c r="E48" s="54"/>
      <c r="F48" s="54"/>
      <c r="G48" s="54"/>
      <c r="H48" s="54"/>
      <c r="I48" s="52">
        <f t="shared" si="1"/>
        <v>3.4000000000000172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61">
        <v>80</v>
      </c>
      <c r="B49" s="61">
        <f>267.3+9.1+8.2</f>
        <v>284.60000000000002</v>
      </c>
      <c r="C49" s="61">
        <v>7</v>
      </c>
      <c r="D49" s="61">
        <f>B49</f>
        <v>284.60000000000002</v>
      </c>
      <c r="E49" s="54"/>
      <c r="F49" s="54"/>
      <c r="G49" s="54"/>
      <c r="H49" s="54"/>
      <c r="I49" s="52">
        <f t="shared" si="1"/>
        <v>2.9799999999999955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61"/>
      <c r="B50" s="53"/>
      <c r="C50" s="61"/>
      <c r="D50" s="53"/>
      <c r="E50" s="57"/>
      <c r="F50" s="57"/>
      <c r="G50" s="57"/>
      <c r="H50" s="57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plane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52+15.1+28</f>
        <v>95.1</v>
      </c>
      <c r="C89" s="61">
        <v>1</v>
      </c>
      <c r="D89" s="61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50</v>
      </c>
      <c r="B95" s="61">
        <f>201.9+21.8+16.5</f>
        <v>240.20000000000002</v>
      </c>
      <c r="C95" s="61">
        <v>4</v>
      </c>
      <c r="D95" s="61">
        <f>21.8+16.5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233.1+13.4+11.8</f>
        <v>258.3</v>
      </c>
      <c r="C97" s="61">
        <v>5</v>
      </c>
      <c r="D97" s="61">
        <f>13.4+11.8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70</v>
      </c>
      <c r="B99" s="61">
        <f>252.7+10.9+10</f>
        <v>273.59999999999997</v>
      </c>
      <c r="C99" s="61">
        <v>6</v>
      </c>
      <c r="D99" s="61">
        <f>10.9+10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f>267.3+9.1+8.2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Charme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f>57/1.56</f>
        <v>36.53846153846154</v>
      </c>
      <c r="C114" s="53"/>
      <c r="D114" s="61"/>
      <c r="E114" s="54"/>
      <c r="F114" s="54"/>
      <c r="G114" s="54"/>
      <c r="H114" s="54"/>
      <c r="I114" s="56">
        <f>IFERROR(B114/A114,"")</f>
        <v>2.4358974358974361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(95+11)/1.56</f>
        <v>67.948717948717942</v>
      </c>
      <c r="C115" s="53">
        <v>1</v>
      </c>
      <c r="D115" s="61">
        <f>(11+15)/1.56</f>
        <v>16.666666666666668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6.2820512820512802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131/1.56</f>
        <v>83.974358974358978</v>
      </c>
      <c r="C116" s="53"/>
      <c r="D116" s="61"/>
      <c r="E116" s="54"/>
      <c r="F116" s="54"/>
      <c r="G116" s="54"/>
      <c r="H116" s="54"/>
      <c r="I116" s="56">
        <f t="shared" si="4"/>
        <v>6.5384615384615419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1">
        <f>(163+19)/1.56</f>
        <v>116.66666666666666</v>
      </c>
      <c r="C117" s="53">
        <v>2</v>
      </c>
      <c r="D117" s="61">
        <f>(19+21)/1.56</f>
        <v>25.641025641025639</v>
      </c>
      <c r="E117" s="54"/>
      <c r="F117" s="54"/>
      <c r="G117" s="54"/>
      <c r="H117" s="54">
        <v>1</v>
      </c>
      <c r="I117" s="56">
        <f t="shared" si="4"/>
        <v>6.5384615384615357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1">
        <f>192/1.56</f>
        <v>123.07692307692307</v>
      </c>
      <c r="C118" s="53"/>
      <c r="D118" s="61"/>
      <c r="E118" s="54"/>
      <c r="F118" s="54"/>
      <c r="G118" s="54"/>
      <c r="H118" s="54"/>
      <c r="I118" s="56">
        <f t="shared" si="4"/>
        <v>6.4102564102564088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1">
        <f>(216+22)/1.56</f>
        <v>152.56410256410257</v>
      </c>
      <c r="C119" s="53">
        <v>3</v>
      </c>
      <c r="D119" s="61">
        <f>(22+23)/1.56</f>
        <v>28.846153846153847</v>
      </c>
      <c r="E119" s="54"/>
      <c r="F119" s="54"/>
      <c r="G119" s="54"/>
      <c r="H119" s="54"/>
      <c r="I119" s="56">
        <f t="shared" si="4"/>
        <v>5.8974358974359005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45</v>
      </c>
      <c r="B120" s="61">
        <f>238/1.56</f>
        <v>152.56410256410257</v>
      </c>
      <c r="C120" s="61"/>
      <c r="D120" s="61"/>
      <c r="E120" s="91"/>
      <c r="F120" s="91"/>
      <c r="G120" s="91"/>
      <c r="H120" s="91"/>
      <c r="I120" s="56">
        <f t="shared" si="4"/>
        <v>5.7692307692307683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50</v>
      </c>
      <c r="B121" s="61">
        <f>(257+24)/1.56</f>
        <v>180.12820512820511</v>
      </c>
      <c r="C121" s="61">
        <v>4</v>
      </c>
      <c r="D121" s="61">
        <f>(24+24)/1.56</f>
        <v>30.769230769230766</v>
      </c>
      <c r="E121" s="91"/>
      <c r="F121" s="91"/>
      <c r="G121" s="91"/>
      <c r="H121" s="91"/>
      <c r="I121" s="56">
        <f t="shared" si="4"/>
        <v>5.5128205128205083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55</v>
      </c>
      <c r="B122" s="61">
        <f>274/1.56</f>
        <v>175.64102564102564</v>
      </c>
      <c r="C122" s="61"/>
      <c r="D122" s="61"/>
      <c r="E122" s="91"/>
      <c r="F122" s="91"/>
      <c r="G122" s="91"/>
      <c r="H122" s="91"/>
      <c r="I122" s="56">
        <f t="shared" si="4"/>
        <v>5.2564102564102599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60</v>
      </c>
      <c r="B123" s="61">
        <f>(289+23)/1.56</f>
        <v>200</v>
      </c>
      <c r="C123" s="61">
        <v>5</v>
      </c>
      <c r="D123" s="61">
        <f>(23+23)/1.56</f>
        <v>29.487179487179485</v>
      </c>
      <c r="E123" s="91"/>
      <c r="F123" s="91"/>
      <c r="G123" s="91"/>
      <c r="H123" s="91"/>
      <c r="I123" s="56">
        <f t="shared" si="4"/>
        <v>4.8717948717948731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65</v>
      </c>
      <c r="B124" s="61">
        <f>302/1.56</f>
        <v>193.58974358974359</v>
      </c>
      <c r="C124" s="61"/>
      <c r="D124" s="61"/>
      <c r="E124" s="91"/>
      <c r="F124" s="91"/>
      <c r="G124" s="91"/>
      <c r="H124" s="91"/>
      <c r="I124" s="56">
        <f t="shared" si="4"/>
        <v>4.6153846153846132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70</v>
      </c>
      <c r="B125" s="61">
        <f>(313+23)/1.56</f>
        <v>215.38461538461539</v>
      </c>
      <c r="C125" s="61">
        <v>6</v>
      </c>
      <c r="D125" s="61">
        <f>(23+22)/1.56</f>
        <v>28.846153846153847</v>
      </c>
      <c r="E125" s="91"/>
      <c r="F125" s="91"/>
      <c r="G125" s="91"/>
      <c r="H125" s="91"/>
      <c r="I125" s="56">
        <f t="shared" si="4"/>
        <v>4.3589743589743595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75</v>
      </c>
      <c r="B126" s="61">
        <f>324/1.56</f>
        <v>207.69230769230768</v>
      </c>
      <c r="C126" s="61"/>
      <c r="D126" s="61"/>
      <c r="E126" s="66"/>
      <c r="F126" s="66"/>
      <c r="G126" s="66"/>
      <c r="H126" s="66"/>
      <c r="I126" s="56">
        <f t="shared" si="4"/>
        <v>4.2307692307692264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80</v>
      </c>
      <c r="B127" s="61">
        <f>(333+22)/1.56</f>
        <v>227.56410256410257</v>
      </c>
      <c r="C127" s="61">
        <v>7</v>
      </c>
      <c r="D127" s="61">
        <f>(22+21)/1.56</f>
        <v>27.564102564102562</v>
      </c>
      <c r="E127" s="66"/>
      <c r="F127" s="66"/>
      <c r="G127" s="66"/>
      <c r="H127" s="66"/>
      <c r="I127" s="56">
        <f t="shared" si="4"/>
        <v>3.974358974358978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85</v>
      </c>
      <c r="B128" s="53">
        <f>342/1.56</f>
        <v>219.23076923076923</v>
      </c>
      <c r="C128" s="53"/>
      <c r="D128" s="53"/>
      <c r="E128" s="57"/>
      <c r="F128" s="57"/>
      <c r="G128" s="57"/>
      <c r="H128" s="57"/>
      <c r="I128" s="56">
        <f t="shared" si="4"/>
        <v>3.8461538461538454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f>(350+20)/1.56</f>
        <v>237.17948717948718</v>
      </c>
      <c r="C129" s="53">
        <v>8</v>
      </c>
      <c r="D129" s="53">
        <f>(20+20)/1.56</f>
        <v>25.641025641025639</v>
      </c>
      <c r="E129" s="57"/>
      <c r="F129" s="57"/>
      <c r="G129" s="57"/>
      <c r="H129" s="57"/>
      <c r="I129" s="56">
        <f t="shared" si="4"/>
        <v>3.5897435897435912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f>358/1.56</f>
        <v>229.48717948717947</v>
      </c>
      <c r="C130" s="53"/>
      <c r="D130" s="53"/>
      <c r="E130" s="57"/>
      <c r="F130" s="57"/>
      <c r="G130" s="57"/>
      <c r="H130" s="57"/>
      <c r="I130" s="56">
        <f t="shared" si="4"/>
        <v>3.5897435897435854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f>(365+19)/1.56</f>
        <v>246.15384615384613</v>
      </c>
      <c r="C131" s="53">
        <v>9</v>
      </c>
      <c r="D131" s="53">
        <f>(19+18)/1.56</f>
        <v>23.717948717948715</v>
      </c>
      <c r="E131" s="57"/>
      <c r="F131" s="57"/>
      <c r="G131" s="57"/>
      <c r="H131" s="57"/>
      <c r="I131" s="56">
        <f t="shared" si="4"/>
        <v>3.3333333333333313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f>(377+18)/1.56</f>
        <v>253.2051282051282</v>
      </c>
      <c r="C132" s="53"/>
      <c r="D132" s="53">
        <f>(18+17)/1.56</f>
        <v>22.435897435897434</v>
      </c>
      <c r="E132" s="57"/>
      <c r="F132" s="57"/>
      <c r="G132" s="57"/>
      <c r="H132" s="57"/>
      <c r="I132" s="56">
        <f t="shared" si="4"/>
        <v>3.0769230769230802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f>(388+17)/1.56</f>
        <v>259.61538461538458</v>
      </c>
      <c r="C133" s="53">
        <v>10</v>
      </c>
      <c r="D133" s="53">
        <f>B133</f>
        <v>259.61538461538458</v>
      </c>
      <c r="E133" s="57"/>
      <c r="F133" s="57"/>
      <c r="G133" s="57"/>
      <c r="H133" s="57"/>
      <c r="I133" s="56">
        <f t="shared" si="4"/>
        <v>2.884615384615381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Merisier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1">
        <v>40</v>
      </c>
      <c r="C166" s="53"/>
      <c r="D166" s="61"/>
      <c r="E166" s="64"/>
      <c r="F166" s="64"/>
      <c r="G166" s="64"/>
      <c r="H166" s="6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1">
        <f>85+3</f>
        <v>88</v>
      </c>
      <c r="C167" s="53"/>
      <c r="D167" s="61"/>
      <c r="E167" s="64"/>
      <c r="F167" s="64"/>
      <c r="G167" s="64"/>
      <c r="H167" s="64"/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1">
        <f>113+3+25</f>
        <v>141</v>
      </c>
      <c r="C168" s="53">
        <v>1</v>
      </c>
      <c r="D168" s="61">
        <f>3+25+27</f>
        <v>55</v>
      </c>
      <c r="E168" s="64"/>
      <c r="F168" s="64"/>
      <c r="G168" s="64"/>
      <c r="H168" s="6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8">
        <v>31</v>
      </c>
      <c r="B169" s="58">
        <v>155</v>
      </c>
      <c r="C169" s="58">
        <v>2</v>
      </c>
      <c r="D169" s="58">
        <v>36</v>
      </c>
      <c r="E169" s="64"/>
      <c r="F169" s="64"/>
      <c r="G169" s="64"/>
      <c r="H169" s="64"/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8">
        <v>37</v>
      </c>
      <c r="B170" s="58">
        <v>188</v>
      </c>
      <c r="C170" s="58">
        <v>3</v>
      </c>
      <c r="D170" s="58">
        <v>36</v>
      </c>
      <c r="E170" s="64"/>
      <c r="F170" s="64"/>
      <c r="G170" s="64"/>
      <c r="H170" s="6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8">
        <v>44</v>
      </c>
      <c r="B171" s="58">
        <v>230</v>
      </c>
      <c r="C171" s="58">
        <v>4</v>
      </c>
      <c r="D171" s="58">
        <v>43</v>
      </c>
      <c r="E171" s="64"/>
      <c r="F171" s="64"/>
      <c r="G171" s="64"/>
      <c r="H171" s="6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8">
        <v>52</v>
      </c>
      <c r="B172" s="58">
        <v>270</v>
      </c>
      <c r="C172" s="58">
        <v>5</v>
      </c>
      <c r="D172" s="58">
        <v>48</v>
      </c>
      <c r="E172" s="64"/>
      <c r="F172" s="64"/>
      <c r="G172" s="64"/>
      <c r="H172" s="6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8">
        <v>60</v>
      </c>
      <c r="B173" s="58">
        <v>297</v>
      </c>
      <c r="C173" s="58">
        <v>6</v>
      </c>
      <c r="D173" s="58">
        <v>47</v>
      </c>
      <c r="E173" s="64"/>
      <c r="F173" s="64"/>
      <c r="G173" s="64"/>
      <c r="H173" s="6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8">
        <v>69</v>
      </c>
      <c r="B174" s="58">
        <v>328</v>
      </c>
      <c r="C174" s="58">
        <v>7</v>
      </c>
      <c r="D174" s="58">
        <v>328</v>
      </c>
      <c r="E174" s="64"/>
      <c r="F174" s="64"/>
      <c r="G174" s="64"/>
      <c r="H174" s="6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Tilleul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f>78/1.56</f>
        <v>50</v>
      </c>
      <c r="C192" s="61"/>
      <c r="D192" s="61"/>
      <c r="E192" s="54"/>
      <c r="F192" s="54"/>
      <c r="G192" s="54"/>
      <c r="H192" s="64"/>
      <c r="I192" s="52">
        <f>IFERROR(B192/A192,"")</f>
        <v>3.3333333333333335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f>(126+16)/1.56</f>
        <v>91.025641025641022</v>
      </c>
      <c r="C193" s="61">
        <v>1</v>
      </c>
      <c r="D193" s="61">
        <f>(16+22)/1.56</f>
        <v>24.358974358974358</v>
      </c>
      <c r="E193" s="64"/>
      <c r="F193" s="64"/>
      <c r="G193" s="64"/>
      <c r="H193" s="64"/>
      <c r="I193" s="52">
        <f t="shared" ref="I193:I211" si="7">IF(A193&lt;&gt;0,(B193-(B192-D192))/(A193-A192),"")</f>
        <v>8.2051282051282044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f>170/1.56</f>
        <v>108.97435897435896</v>
      </c>
      <c r="C194" s="61"/>
      <c r="D194" s="61"/>
      <c r="E194" s="64"/>
      <c r="F194" s="64"/>
      <c r="G194" s="64"/>
      <c r="H194" s="64"/>
      <c r="I194" s="52">
        <f t="shared" si="7"/>
        <v>8.4615384615384617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1">
        <f>(208+25)/1.56</f>
        <v>149.35897435897436</v>
      </c>
      <c r="C195" s="61">
        <v>2</v>
      </c>
      <c r="D195" s="61">
        <f>(25+26)/1.56</f>
        <v>32.692307692307693</v>
      </c>
      <c r="E195" s="64"/>
      <c r="F195" s="64"/>
      <c r="G195" s="64"/>
      <c r="H195" s="64"/>
      <c r="I195" s="52">
        <f t="shared" si="7"/>
        <v>8.0769230769230802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1">
        <f>242/1.56</f>
        <v>155.12820512820511</v>
      </c>
      <c r="C196" s="61"/>
      <c r="D196" s="61"/>
      <c r="E196" s="64"/>
      <c r="F196" s="64"/>
      <c r="G196" s="64"/>
      <c r="H196" s="64"/>
      <c r="I196" s="52">
        <f t="shared" si="7"/>
        <v>7.6923076923076881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1">
        <f>(271+27)/1.56</f>
        <v>191.02564102564102</v>
      </c>
      <c r="C197" s="61">
        <v>3</v>
      </c>
      <c r="D197" s="61">
        <f>(27+27)/1.56</f>
        <v>34.615384615384613</v>
      </c>
      <c r="E197" s="64"/>
      <c r="F197" s="64"/>
      <c r="G197" s="64"/>
      <c r="H197" s="64"/>
      <c r="I197" s="52">
        <f t="shared" si="7"/>
        <v>7.1794871794871824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1">
        <f>297/1.56</f>
        <v>190.38461538461539</v>
      </c>
      <c r="C198" s="61"/>
      <c r="D198" s="61"/>
      <c r="E198" s="64"/>
      <c r="F198" s="64"/>
      <c r="G198" s="64"/>
      <c r="H198" s="64"/>
      <c r="I198" s="52">
        <f t="shared" si="7"/>
        <v>6.7948717948717956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50</v>
      </c>
      <c r="B199" s="58">
        <v>221.7948717948718</v>
      </c>
      <c r="C199" s="58">
        <v>4</v>
      </c>
      <c r="D199" s="58">
        <v>32.692307692307693</v>
      </c>
      <c r="E199" s="64"/>
      <c r="F199" s="64"/>
      <c r="G199" s="64"/>
      <c r="H199" s="64"/>
      <c r="I199" s="52">
        <f t="shared" si="7"/>
        <v>6.2820512820512819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55</v>
      </c>
      <c r="B200" s="58">
        <v>217.94871794871793</v>
      </c>
      <c r="C200" s="58"/>
      <c r="D200" s="58"/>
      <c r="E200" s="64"/>
      <c r="F200" s="64"/>
      <c r="G200" s="64"/>
      <c r="H200" s="64"/>
      <c r="I200" s="52">
        <f t="shared" si="7"/>
        <v>5.7692307692307683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60</v>
      </c>
      <c r="B201" s="58">
        <v>244.87179487179486</v>
      </c>
      <c r="C201" s="58">
        <v>5</v>
      </c>
      <c r="D201" s="58">
        <v>30.128205128205128</v>
      </c>
      <c r="E201" s="64"/>
      <c r="F201" s="64"/>
      <c r="G201" s="64"/>
      <c r="H201" s="64"/>
      <c r="I201" s="52">
        <f t="shared" si="7"/>
        <v>5.3846153846153868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65</v>
      </c>
      <c r="B202" s="58">
        <v>240.38461538461539</v>
      </c>
      <c r="C202" s="58"/>
      <c r="D202" s="58"/>
      <c r="E202" s="64"/>
      <c r="F202" s="64"/>
      <c r="G202" s="64"/>
      <c r="H202" s="64"/>
      <c r="I202" s="52">
        <f t="shared" si="7"/>
        <v>5.1282051282051331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70</v>
      </c>
      <c r="B203" s="58">
        <v>265.38461538461536</v>
      </c>
      <c r="C203" s="58">
        <v>6</v>
      </c>
      <c r="D203" s="58">
        <v>27.564102564102562</v>
      </c>
      <c r="E203" s="64"/>
      <c r="F203" s="64"/>
      <c r="G203" s="64"/>
      <c r="H203" s="64"/>
      <c r="I203" s="52">
        <f t="shared" si="7"/>
        <v>4.9999999999999947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75</v>
      </c>
      <c r="B204" s="58">
        <v>260.89743589743591</v>
      </c>
      <c r="C204" s="58"/>
      <c r="D204" s="58"/>
      <c r="E204" s="65"/>
      <c r="F204" s="65"/>
      <c r="G204" s="65"/>
      <c r="H204" s="65"/>
      <c r="I204" s="52">
        <f t="shared" si="7"/>
        <v>4.6153846153846247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2">
        <v>80</v>
      </c>
      <c r="B205" s="61">
        <f>(419+21)/1.56</f>
        <v>282.05128205128204</v>
      </c>
      <c r="C205" s="92">
        <v>7</v>
      </c>
      <c r="D205" s="61">
        <f>(21+20)/1.56</f>
        <v>26.282051282051281</v>
      </c>
      <c r="E205" s="57"/>
      <c r="F205" s="57"/>
      <c r="G205" s="57"/>
      <c r="H205" s="57"/>
      <c r="I205" s="52">
        <f t="shared" si="7"/>
        <v>4.2307692307692264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v>276.28205128205127</v>
      </c>
      <c r="C206" s="53"/>
      <c r="D206" s="53"/>
      <c r="E206" s="57"/>
      <c r="F206" s="57"/>
      <c r="G206" s="57"/>
      <c r="H206" s="57"/>
      <c r="I206" s="52">
        <f t="shared" si="7"/>
        <v>4.1025641025640995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v>295.5128205128205</v>
      </c>
      <c r="C207" s="53">
        <v>8</v>
      </c>
      <c r="D207" s="53">
        <v>24.358974358974358</v>
      </c>
      <c r="E207" s="57"/>
      <c r="F207" s="57"/>
      <c r="G207" s="57"/>
      <c r="H207" s="57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v>289.74358974358972</v>
      </c>
      <c r="C208" s="53"/>
      <c r="D208" s="53"/>
      <c r="E208" s="57"/>
      <c r="F208" s="57"/>
      <c r="G208" s="57"/>
      <c r="H208" s="57"/>
      <c r="I208" s="52">
        <f t="shared" si="7"/>
        <v>3.7179487179487181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v>307.69230769230768</v>
      </c>
      <c r="C209" s="53">
        <v>9</v>
      </c>
      <c r="D209" s="53">
        <v>22.435897435897434</v>
      </c>
      <c r="E209" s="57"/>
      <c r="F209" s="57"/>
      <c r="G209" s="57"/>
      <c r="H209" s="57"/>
      <c r="I209" s="52">
        <f t="shared" si="7"/>
        <v>3.5897435897435912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105</v>
      </c>
      <c r="B210" s="53">
        <v>301.28205128205127</v>
      </c>
      <c r="C210" s="53"/>
      <c r="D210" s="53"/>
      <c r="E210" s="57"/>
      <c r="F210" s="57"/>
      <c r="G210" s="57"/>
      <c r="H210" s="57"/>
      <c r="I210" s="52">
        <f t="shared" si="7"/>
        <v>3.2051282051282102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110</v>
      </c>
      <c r="B211" s="53">
        <v>317.94871794871796</v>
      </c>
      <c r="C211" s="53">
        <v>10</v>
      </c>
      <c r="D211" s="53">
        <v>317.94871794871796</v>
      </c>
      <c r="E211" s="57"/>
      <c r="F211" s="57"/>
      <c r="G211" s="57"/>
      <c r="H211" s="57"/>
      <c r="I211" s="52">
        <f t="shared" si="7"/>
        <v>3.333333333333337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Erable champêtre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1">
        <f>22.3+15.1</f>
        <v>37.4</v>
      </c>
      <c r="C218" s="61"/>
      <c r="D218" s="61"/>
      <c r="E218" s="54"/>
      <c r="F218" s="54"/>
      <c r="G218" s="54"/>
      <c r="H218" s="54"/>
      <c r="I218" s="56">
        <f>IFERROR(B218/A218,"")</f>
        <v>2.4933333333333332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1">
        <f>52+15.1+28</f>
        <v>95.1</v>
      </c>
      <c r="C219" s="61">
        <v>1</v>
      </c>
      <c r="D219" s="61">
        <f>15.1+28</f>
        <v>43.1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11.54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1">
        <f>86.5+28</f>
        <v>114.5</v>
      </c>
      <c r="C220" s="61"/>
      <c r="D220" s="61"/>
      <c r="E220" s="54"/>
      <c r="F220" s="54"/>
      <c r="G220" s="54"/>
      <c r="H220" s="54"/>
      <c r="I220" s="56">
        <f t="shared" si="8"/>
        <v>12.500000000000002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30</v>
      </c>
      <c r="B221" s="61">
        <f>118.5+28+28</f>
        <v>174.5</v>
      </c>
      <c r="C221" s="61">
        <v>2</v>
      </c>
      <c r="D221" s="61">
        <f>28+28</f>
        <v>56</v>
      </c>
      <c r="E221" s="54"/>
      <c r="F221" s="54"/>
      <c r="G221" s="54"/>
      <c r="H221" s="54">
        <v>1</v>
      </c>
      <c r="I221" s="56">
        <f t="shared" si="8"/>
        <v>12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35</v>
      </c>
      <c r="B222" s="61">
        <f>144.4+28</f>
        <v>172.4</v>
      </c>
      <c r="C222" s="61"/>
      <c r="D222" s="61"/>
      <c r="E222" s="54"/>
      <c r="F222" s="54"/>
      <c r="G222" s="54"/>
      <c r="H222" s="54"/>
      <c r="I222" s="56">
        <f t="shared" si="8"/>
        <v>10.780000000000001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40</v>
      </c>
      <c r="B223" s="61">
        <f>163.6+28+28</f>
        <v>219.6</v>
      </c>
      <c r="C223" s="61">
        <v>3</v>
      </c>
      <c r="D223" s="61">
        <f>28+28</f>
        <v>56</v>
      </c>
      <c r="E223" s="54"/>
      <c r="F223" s="54"/>
      <c r="G223" s="54"/>
      <c r="H223" s="54"/>
      <c r="I223" s="56">
        <f t="shared" si="8"/>
        <v>9.4399999999999977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1">
        <v>45</v>
      </c>
      <c r="B224" s="61">
        <f>182.8+21.8</f>
        <v>204.60000000000002</v>
      </c>
      <c r="C224" s="61"/>
      <c r="D224" s="61"/>
      <c r="E224" s="54"/>
      <c r="F224" s="54"/>
      <c r="G224" s="54"/>
      <c r="H224" s="54"/>
      <c r="I224" s="56">
        <f t="shared" si="8"/>
        <v>8.2000000000000064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>
        <v>50</v>
      </c>
      <c r="B225" s="61">
        <f>201.9+21.8+16.5</f>
        <v>240.20000000000002</v>
      </c>
      <c r="C225" s="61">
        <v>4</v>
      </c>
      <c r="D225" s="61">
        <f>21.8+16.5</f>
        <v>38.299999999999997</v>
      </c>
      <c r="E225" s="54"/>
      <c r="F225" s="54"/>
      <c r="G225" s="54"/>
      <c r="H225" s="54"/>
      <c r="I225" s="56">
        <f t="shared" si="8"/>
        <v>7.1199999999999992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>
        <v>55</v>
      </c>
      <c r="B226" s="61">
        <f>219.1+13.4</f>
        <v>232.5</v>
      </c>
      <c r="C226" s="61"/>
      <c r="D226" s="61"/>
      <c r="E226" s="54"/>
      <c r="F226" s="54"/>
      <c r="G226" s="54"/>
      <c r="H226" s="54"/>
      <c r="I226" s="56">
        <f t="shared" si="8"/>
        <v>6.119999999999993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>
        <v>60</v>
      </c>
      <c r="B227" s="61">
        <f>233.1+13.4+11.8</f>
        <v>258.3</v>
      </c>
      <c r="C227" s="61">
        <v>5</v>
      </c>
      <c r="D227" s="61">
        <f>13.4+11.8</f>
        <v>25.200000000000003</v>
      </c>
      <c r="E227" s="54"/>
      <c r="F227" s="54"/>
      <c r="G227" s="54"/>
      <c r="H227" s="54"/>
      <c r="I227" s="56">
        <f t="shared" si="8"/>
        <v>5.1600000000000019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>
        <v>65</v>
      </c>
      <c r="B228" s="61">
        <f>243.9+10.9</f>
        <v>254.8</v>
      </c>
      <c r="C228" s="61"/>
      <c r="D228" s="61"/>
      <c r="E228" s="54"/>
      <c r="F228" s="54"/>
      <c r="G228" s="54"/>
      <c r="H228" s="54"/>
      <c r="I228" s="56">
        <f t="shared" si="8"/>
        <v>4.3399999999999981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>
        <v>70</v>
      </c>
      <c r="B229" s="61">
        <f>252.7+10.9+10</f>
        <v>273.59999999999997</v>
      </c>
      <c r="C229" s="61">
        <v>6</v>
      </c>
      <c r="D229" s="61">
        <f>10.9+10</f>
        <v>20.9</v>
      </c>
      <c r="E229" s="54"/>
      <c r="F229" s="54"/>
      <c r="G229" s="54"/>
      <c r="H229" s="54"/>
      <c r="I229" s="56">
        <f t="shared" si="8"/>
        <v>3.7599999999999909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>
        <v>75</v>
      </c>
      <c r="B230" s="61">
        <f>260.6+9.1</f>
        <v>269.70000000000005</v>
      </c>
      <c r="C230" s="61"/>
      <c r="D230" s="61"/>
      <c r="E230" s="54"/>
      <c r="F230" s="54"/>
      <c r="G230" s="54"/>
      <c r="H230" s="54"/>
      <c r="I230" s="56">
        <f t="shared" si="8"/>
        <v>3.4000000000000172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>
        <v>80</v>
      </c>
      <c r="B231" s="61">
        <f>267.3+9.1+8.2</f>
        <v>284.60000000000002</v>
      </c>
      <c r="C231" s="61">
        <v>7</v>
      </c>
      <c r="D231" s="61">
        <f>B231</f>
        <v>284.60000000000002</v>
      </c>
      <c r="E231" s="54"/>
      <c r="F231" s="54"/>
      <c r="G231" s="54"/>
      <c r="H231" s="54"/>
      <c r="I231" s="56">
        <f t="shared" si="8"/>
        <v>2.9799999999999955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Cormier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1">
        <v>42</v>
      </c>
      <c r="C244" s="61"/>
      <c r="D244" s="61"/>
      <c r="E244" s="54"/>
      <c r="F244" s="54"/>
      <c r="G244" s="54"/>
      <c r="H244" s="54"/>
      <c r="I244" s="56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1">
        <f>62+8</f>
        <v>70</v>
      </c>
      <c r="C245" s="61"/>
      <c r="D245" s="61"/>
      <c r="E245" s="54"/>
      <c r="F245" s="54"/>
      <c r="G245" s="54"/>
      <c r="H245" s="54"/>
      <c r="I245" s="56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1">
        <f>76+8+21</f>
        <v>105</v>
      </c>
      <c r="C246" s="61">
        <v>1</v>
      </c>
      <c r="D246" s="61">
        <f>8+21</f>
        <v>29</v>
      </c>
      <c r="E246" s="54"/>
      <c r="F246" s="54"/>
      <c r="G246" s="54"/>
      <c r="H246" s="54">
        <v>1</v>
      </c>
      <c r="I246" s="56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1">
        <f>95+21</f>
        <v>116</v>
      </c>
      <c r="C247" s="61"/>
      <c r="D247" s="61"/>
      <c r="E247" s="54"/>
      <c r="F247" s="54"/>
      <c r="G247" s="54"/>
      <c r="H247" s="54"/>
      <c r="I247" s="56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1">
        <f>116+21+21</f>
        <v>158</v>
      </c>
      <c r="C248" s="61">
        <v>2</v>
      </c>
      <c r="D248" s="61">
        <f>21+21</f>
        <v>42</v>
      </c>
      <c r="E248" s="54"/>
      <c r="F248" s="54"/>
      <c r="G248" s="54"/>
      <c r="H248" s="54"/>
      <c r="I248" s="56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1">
        <f>137+21</f>
        <v>158</v>
      </c>
      <c r="C249" s="61"/>
      <c r="D249" s="61"/>
      <c r="E249" s="54"/>
      <c r="F249" s="54"/>
      <c r="G249" s="54"/>
      <c r="H249" s="54"/>
      <c r="I249" s="56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1">
        <f>157+21+21</f>
        <v>199</v>
      </c>
      <c r="C250" s="61">
        <v>3</v>
      </c>
      <c r="D250" s="61">
        <f>21+21</f>
        <v>42</v>
      </c>
      <c r="E250" s="54"/>
      <c r="F250" s="54"/>
      <c r="G250" s="54"/>
      <c r="H250" s="54"/>
      <c r="I250" s="56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55</v>
      </c>
      <c r="B251" s="61">
        <f>176+21</f>
        <v>197</v>
      </c>
      <c r="C251" s="61"/>
      <c r="D251" s="61"/>
      <c r="E251" s="54"/>
      <c r="F251" s="54"/>
      <c r="G251" s="54"/>
      <c r="H251" s="54"/>
      <c r="I251" s="56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60</v>
      </c>
      <c r="B252" s="53">
        <v>235</v>
      </c>
      <c r="C252" s="53">
        <v>4</v>
      </c>
      <c r="D252" s="53">
        <v>42</v>
      </c>
      <c r="E252" s="54"/>
      <c r="F252" s="54"/>
      <c r="G252" s="54"/>
      <c r="H252" s="54"/>
      <c r="I252" s="56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65</v>
      </c>
      <c r="B253" s="53">
        <v>229</v>
      </c>
      <c r="C253" s="53"/>
      <c r="D253" s="53"/>
      <c r="E253" s="54"/>
      <c r="F253" s="54"/>
      <c r="G253" s="54"/>
      <c r="H253" s="54"/>
      <c r="I253" s="56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70</v>
      </c>
      <c r="B254" s="53">
        <v>263</v>
      </c>
      <c r="C254" s="53">
        <v>5</v>
      </c>
      <c r="D254" s="53">
        <v>42</v>
      </c>
      <c r="E254" s="54"/>
      <c r="F254" s="54"/>
      <c r="G254" s="54"/>
      <c r="H254" s="54"/>
      <c r="I254" s="56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75</v>
      </c>
      <c r="B255" s="53">
        <v>252</v>
      </c>
      <c r="C255" s="53"/>
      <c r="D255" s="53"/>
      <c r="E255" s="54"/>
      <c r="F255" s="54"/>
      <c r="G255" s="54"/>
      <c r="H255" s="54"/>
      <c r="I255" s="56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80</v>
      </c>
      <c r="B256" s="53">
        <v>282</v>
      </c>
      <c r="C256" s="53">
        <v>6</v>
      </c>
      <c r="D256" s="53">
        <v>42</v>
      </c>
      <c r="E256" s="54"/>
      <c r="F256" s="54"/>
      <c r="G256" s="54"/>
      <c r="H256" s="54"/>
      <c r="I256" s="56">
        <f t="shared" si="9"/>
        <v>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>
        <v>90</v>
      </c>
      <c r="B257" s="53">
        <v>296</v>
      </c>
      <c r="C257" s="53">
        <v>7</v>
      </c>
      <c r="D257" s="53">
        <v>42</v>
      </c>
      <c r="E257" s="54"/>
      <c r="F257" s="54"/>
      <c r="G257" s="54"/>
      <c r="H257" s="54"/>
      <c r="I257" s="56">
        <f t="shared" si="9"/>
        <v>5.6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100</v>
      </c>
      <c r="B258" s="53">
        <v>303</v>
      </c>
      <c r="C258" s="53">
        <v>8</v>
      </c>
      <c r="D258" s="53">
        <v>42</v>
      </c>
      <c r="E258" s="54"/>
      <c r="F258" s="54"/>
      <c r="G258" s="54"/>
      <c r="H258" s="54"/>
      <c r="I258" s="56">
        <f t="shared" si="9"/>
        <v>4.9000000000000004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110</v>
      </c>
      <c r="B259" s="53">
        <v>305</v>
      </c>
      <c r="C259" s="53">
        <v>9</v>
      </c>
      <c r="D259" s="53">
        <v>39</v>
      </c>
      <c r="E259" s="54"/>
      <c r="F259" s="54"/>
      <c r="G259" s="54"/>
      <c r="H259" s="54"/>
      <c r="I259" s="56">
        <f t="shared" si="9"/>
        <v>4.4000000000000004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120</v>
      </c>
      <c r="B260" s="53">
        <v>303</v>
      </c>
      <c r="C260" s="53">
        <v>10</v>
      </c>
      <c r="D260" s="53">
        <v>35</v>
      </c>
      <c r="E260" s="54"/>
      <c r="F260" s="54"/>
      <c r="G260" s="54"/>
      <c r="H260" s="54"/>
      <c r="I260" s="56">
        <f t="shared" si="9"/>
        <v>3.7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130</v>
      </c>
      <c r="B261" s="53">
        <v>300</v>
      </c>
      <c r="C261" s="53">
        <v>11</v>
      </c>
      <c r="D261" s="53">
        <v>31</v>
      </c>
      <c r="E261" s="54"/>
      <c r="F261" s="54"/>
      <c r="G261" s="54"/>
      <c r="H261" s="54"/>
      <c r="I261" s="56">
        <f t="shared" si="9"/>
        <v>3.2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140</v>
      </c>
      <c r="B262" s="53">
        <v>296</v>
      </c>
      <c r="C262" s="53">
        <v>12</v>
      </c>
      <c r="D262" s="53">
        <v>27</v>
      </c>
      <c r="E262" s="54"/>
      <c r="F262" s="54"/>
      <c r="G262" s="54"/>
      <c r="H262" s="54"/>
      <c r="I262" s="56">
        <f t="shared" si="9"/>
        <v>2.7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150</v>
      </c>
      <c r="B263" s="53">
        <v>293</v>
      </c>
      <c r="C263" s="53">
        <v>13</v>
      </c>
      <c r="D263" s="53">
        <v>293</v>
      </c>
      <c r="E263" s="54"/>
      <c r="F263" s="54"/>
      <c r="G263" s="54"/>
      <c r="H263" s="54"/>
      <c r="I263" s="56">
        <f t="shared" si="9"/>
        <v>2.4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Erable sycomore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plane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Charme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Merisier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Tilleul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Erable champêtre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Cormier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336.25341821407534</v>
      </c>
      <c r="T3" s="60">
        <f>IF('Données projet'!E9&gt;30,$R$33-$H$33,LOOKUP('Données projet'!$E$9,$A$3:$A$203,R3:R203)-LOOKUP('Données projet'!$E$9,$A$3:$A$203,$H$3:$H$203))</f>
        <v>360.3246221345039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516.30971934066179</v>
      </c>
      <c r="AO3" s="60">
        <f>IF('Données projet'!E10&gt;30,$AM$33-$H$33,LOOKUP('Données projet'!$E$10,$A$3:$A$203,AM3:AM203)-LOOKUP('Données projet'!$E$10,$A$3:$A$203,$H$3:$H$203))</f>
        <v>290.84286505723571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336.25341821407534</v>
      </c>
      <c r="BJ3" s="60">
        <f>IF('Données projet'!E11&gt;30,$BH$33-$H$33,LOOKUP('Données projet'!$E$11,$A$3:$A$203,BH3:BH203)-LOOKUP('Données projet'!$E$11,$A$3:$A$203,$H$3:$H$203))</f>
        <v>360.3246221345039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398.29746143975166</v>
      </c>
      <c r="CE3" s="60">
        <f>IF('Données projet'!E12&gt;30,$CC$33-$H$33,LOOKUP('Données projet'!$E$12,$A$3:$A$203,CC3:CC203)-LOOKUP('Données projet'!$E$12,$A$3:$A$203,$H$3:$H$203))</f>
        <v>300.63705521148802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496.33873798282525</v>
      </c>
      <c r="CZ3" s="60">
        <f>IF('Données projet'!E13&gt;30,$CX$33-$H$33,LOOKUP('Données projet'!$E$13,$A$3:$A$203,CX3:CX203)-LOOKUP('Données projet'!$E$13,$A$3:$A$203,$H$3:$H$203))</f>
        <v>280.25465074992246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312.59632808777332</v>
      </c>
      <c r="DU3" s="60">
        <f>IF('Données projet'!E14&gt;30,$DS$33-$H$33,LOOKUP('Données projet'!$E$14,$A$3:$A$203,DS3:DS203)-LOOKUP('Données projet'!$E$14,$A$3:$A$203,$H$3:$H$203))</f>
        <v>302.59481222418219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344.62096650402731</v>
      </c>
      <c r="EP3" s="60">
        <f>IF('Données projet'!E15&gt;30,$EN$33-$H$33,LOOKUP('Données projet'!$E$15,$A$3:$A$203,EN3:EN203)-LOOKUP('Données projet'!$E$15,$A$3:$A$203,$H$3:$H$203))</f>
        <v>277.30931495079346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363.28611056308665</v>
      </c>
      <c r="FK3" s="60">
        <f>IF('Données projet'!E16&gt;30,$FI$33-$H$33,LOOKUP('Données projet'!$E$16,$A$3:$A$203,FI3:FI203)-LOOKUP('Données projet'!$E$16,$A$3:$A$203,$H$3:$H$203))</f>
        <v>389.43647559455974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542.90832990875208</v>
      </c>
      <c r="GF3" s="60">
        <f>IF('Données projet'!E17&gt;30,$GD$33-$H$33,LOOKUP('Données projet'!$E$17,$A$3:$A$203,GD3:GD203)-LOOKUP('Données projet'!$E$17,$A$3:$A$203,$H$3:$H$203))</f>
        <v>304.94365539329362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2.4933333333333332</v>
      </c>
      <c r="N4" s="14">
        <f>IF('Données projet'!$A$36&gt;35,N3+M4-V3,IF(A4&lt;'Données projet'!$A$36,$K$205^A4,IF(A4='Données projet'!$A$36,'Données projet'!$B$36,N3+M4-V3)))</f>
        <v>1.2730870686066207</v>
      </c>
      <c r="O4" s="14">
        <f>N4*VLOOKUP('Données projet'!$B$9,Paramètres!$A$1:$I$89,3,0)*VLOOKUP('Données projet'!$B$9,Paramètres!$A$1:$I$89,5,0)</f>
        <v>1.0128680717834275</v>
      </c>
      <c r="P4" s="14">
        <f>EXP(-1.0587+0.8836*LN(O4)+0.284)</f>
        <v>0.46607798613582108</v>
      </c>
      <c r="Q4" s="22">
        <f t="shared" ref="Q4:Q34" si="2">(O4+P4)*0.475*44/12</f>
        <v>2.5758310508760247</v>
      </c>
      <c r="R4" s="60">
        <f t="shared" si="0"/>
        <v>170.38826500379986</v>
      </c>
      <c r="S4" s="60">
        <f ca="1">AVERAGE(OFFSET($R$3,0,0,'Données projet'!$E$9+1,1))-AVERAGE(OFFSET($H$3,0,0,'Données projet'!$E$9+1,1))</f>
        <v>336.25341821407534</v>
      </c>
      <c r="T4" s="60">
        <f>$T$3</f>
        <v>360.3246221345039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170.89982938223079</v>
      </c>
      <c r="AN4" s="60">
        <f ca="1">AVERAGE(OFFSET($AM$3,0,0,'Données projet'!$E$10+1,1))-AVERAGE(OFFSET($H$3,0,0,'Données projet'!$E$10+1,1))</f>
        <v>516.30971934066179</v>
      </c>
      <c r="AO4" s="60">
        <f>$AO$3</f>
        <v>290.84286505723571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0">
        <f t="shared" ref="BH4:BH67" si="8">BG4+(AY4+AZ4)*44/12</f>
        <v>170.38826500379986</v>
      </c>
      <c r="BI4" s="60">
        <f ca="1">AVERAGE(OFFSET($BH$3,0,0,'Données projet'!$E$11+1,1))-AVERAGE(OFFSET($H$3,0,0,'Données projet'!$E$11+1,1))</f>
        <v>336.25341821407534</v>
      </c>
      <c r="BJ4" s="60">
        <f>$BJ$3</f>
        <v>360.3246221345039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2.4358974358974361</v>
      </c>
      <c r="BY4" s="13">
        <f>IF('Données projet'!$A$114&gt;35,BY3+BX4-CG3,IF(A4&lt;'Données projet'!$A$114,$BV$205^A4,IF(A4='Données projet'!$A$114,'Données projet'!$B$114,BY3+BX4-CG3)))</f>
        <v>1.2711106295585217</v>
      </c>
      <c r="BZ4" s="14">
        <f>BY4*VLOOKUP('Données projet'!$B$12,Paramètres!$A$1:$I$89,3,0)*VLOOKUP('Données projet'!$B$12,Paramètres!$A$1:$I$89,5,0)</f>
        <v>1.2095888750878894</v>
      </c>
      <c r="CA4" s="14">
        <f>EXP(-1.0587+0.8836*LN(BZ4)+0.284)</f>
        <v>0.5452187850680178</v>
      </c>
      <c r="CB4" s="22">
        <f t="shared" ref="CB4:CB67" si="10">(BZ4+CA4)*0.475*44/12</f>
        <v>3.0562900081048716</v>
      </c>
      <c r="CC4" s="60">
        <f t="shared" ref="CC4:CC67" si="11">CB4+(BT4+BU4)*44/12</f>
        <v>170.86872396102871</v>
      </c>
      <c r="CD4" s="60">
        <f ca="1">AVERAGE(OFFSET($CC$3,0,0,'Données projet'!$E$12+1,1))-AVERAGE(OFFSET($H$3,0,0,'Données projet'!$E$12+1,1))</f>
        <v>398.29746143975166</v>
      </c>
      <c r="CE4" s="60">
        <f>$CE$3</f>
        <v>300.63705521148802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1.165946847124371</v>
      </c>
      <c r="CV4" s="14">
        <f>EXP(-1.0587+0.8836*LN(CU4)+0.284)</f>
        <v>0.52780002987456354</v>
      </c>
      <c r="CW4" s="22">
        <f t="shared" ref="CW4:CW67" si="13">(CU4+CV4)*0.475*44/12</f>
        <v>2.9499424774398109</v>
      </c>
      <c r="CX4" s="60">
        <f t="shared" ref="CX4:CX67" si="14">CW4+(CO4+CP4)*44/12</f>
        <v>170.76237643036364</v>
      </c>
      <c r="CY4" s="60">
        <f ca="1">AVERAGE(OFFSET($CX$3,0,0,'Données projet'!$E$13+1,1))-AVERAGE(OFFSET($H$3,0,0,'Données projet'!$E$13+1,1))</f>
        <v>496.33873798282525</v>
      </c>
      <c r="CZ4" s="60">
        <f>$CZ$3</f>
        <v>280.25465074992246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0">
        <f t="shared" ref="DS4:DS67" si="17">DR4+(DJ4+DK4)*44/12</f>
        <v>170.35052583421262</v>
      </c>
      <c r="DT4" s="60">
        <f ca="1">AVERAGE(OFFSET($DS$3,0,0,'Données projet'!$E$14+1,1))-AVERAGE(OFFSET($H$3,0,0,'Données projet'!$E$14+1,1))</f>
        <v>312.59632808777332</v>
      </c>
      <c r="DU4" s="60">
        <f>$DU$3</f>
        <v>302.59481222418219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3.3333333333333335</v>
      </c>
      <c r="EJ4" s="13">
        <f>IF('Données projet'!$A$192&gt;35,EJ3+EI4-ER3,IF(A4&lt;'Données projet'!$A$192,$EG$205^A4,IF(A4='Données projet'!$A$192,'Données projet'!$B$192,EJ3+EI4-ER3)))</f>
        <v>1.2979700365523266</v>
      </c>
      <c r="EK4" s="18">
        <f>EJ4*VLOOKUP('Données projet'!$B$15,Paramètres!$A$1:$I$89,3,0)*VLOOKUP('Données projet'!$B$15,Paramètres!$A$1:$I$89,5,0)</f>
        <v>0.87067830051930062</v>
      </c>
      <c r="EL4" s="14">
        <f>EXP(-1.0587+0.8836*LN(EK4)+0.284)</f>
        <v>0.40776537662742923</v>
      </c>
      <c r="EM4" s="22">
        <f t="shared" ref="EM4:EM67" si="19">(EK4+EL4)*0.475*44/12</f>
        <v>2.226622737697221</v>
      </c>
      <c r="EN4" s="60">
        <f t="shared" ref="EN4:EN67" si="20">EM4+(EE4+EF4)*44/12</f>
        <v>170.03905669062107</v>
      </c>
      <c r="EO4" s="60">
        <f ca="1">AVERAGE(OFFSET($EN$3,0,0,'Données projet'!$E$15+1,1))-AVERAGE(OFFSET($H$3,0,0,'Données projet'!$E$15+1,1))</f>
        <v>344.62096650402731</v>
      </c>
      <c r="EP4" s="60">
        <f>$EP$3</f>
        <v>277.30931495079346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2.4933333333333332</v>
      </c>
      <c r="FE4" s="13">
        <f>IF('Données projet'!$A$218&gt;35,FE3+FD4-FM3,IF(A4&lt;'Données projet'!$A$218,$FB$205^A4,IF(A4='Données projet'!$A$218,'Données projet'!$B$218,FE3+FD4-FM3)))</f>
        <v>1.2730870686066207</v>
      </c>
      <c r="FF4" s="18">
        <f>FE4*VLOOKUP('Données projet'!$B$16,Paramètres!$A$1:$I$89,3,0)*VLOOKUP('Données projet'!$B$16,Paramètres!$A$1:$I$89,5,0)</f>
        <v>1.1121688631347439</v>
      </c>
      <c r="FG4" s="14">
        <f>EXP(-1.0587+0.8836*LN(FF4)+0.284)</f>
        <v>0.50623075212543323</v>
      </c>
      <c r="FH4" s="22">
        <f t="shared" ref="FH4:FH67" si="22">(FF4+FG4)*0.475*44/12</f>
        <v>2.8187126632448081</v>
      </c>
      <c r="FI4" s="60">
        <f t="shared" ref="FI4:FI67" si="23">FH4+(EZ4+FA4)*44/12</f>
        <v>170.63114661616865</v>
      </c>
      <c r="FJ4" s="60">
        <f ca="1">AVERAGE(OFFSET($FI$3,0,0,'Données projet'!$E$16+1,1))-AVERAGE(OFFSET($H$3,0,0,'Données projet'!$E$16+1,1))</f>
        <v>363.28611056308665</v>
      </c>
      <c r="FK4" s="60">
        <f>$FK$3</f>
        <v>389.43647559455974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1.2975860072835741</v>
      </c>
      <c r="GB4" s="14">
        <f>EXP(-1.0587+0.8836*LN(GA4)+0.284)</f>
        <v>0.58012177912374829</v>
      </c>
      <c r="GC4" s="22">
        <f t="shared" ref="GC4:GC67" si="25">(GA4+GB4)*0.475*44/12</f>
        <v>3.2703410613260862</v>
      </c>
      <c r="GD4" s="60">
        <f t="shared" ref="GD4:GD67" si="26">GC4+(FU4+FV4)*44/12</f>
        <v>171.08277501424993</v>
      </c>
      <c r="GE4" s="60">
        <f ca="1">AVERAGE(OFFSET($GD$3,0,0,'Données projet'!$E$17+1,1))-AVERAGE(OFFSET($H$3,0,0,'Données projet'!$E$17+1,1))</f>
        <v>542.90832990875208</v>
      </c>
      <c r="GF4" s="60">
        <f>$GF$3</f>
        <v>304.94365539329362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2.4933333333333332</v>
      </c>
      <c r="N5" s="14">
        <f>IF('Données projet'!$A$36&gt;35,N4+M5-V4,IF(A5&lt;'Données projet'!$A$36,$K$205^A5,IF(A5='Données projet'!$A$36,'Données projet'!$B$36,N4+M5-V4)))</f>
        <v>1.6207506842533985</v>
      </c>
      <c r="O5" s="14">
        <f>N5*VLOOKUP('Données projet'!$B$9,Paramètres!$A$1:$I$89,3,0)*VLOOKUP('Données projet'!$B$9,Paramètres!$A$1:$I$89,5,0)</f>
        <v>1.2894692443920039</v>
      </c>
      <c r="P5" s="14">
        <f t="shared" ref="P5:P68" si="33">EXP(-1.0587+0.8836*LN(O5)+0.284)</f>
        <v>0.57691418040252707</v>
      </c>
      <c r="Q5" s="22">
        <f t="shared" si="2"/>
        <v>3.2506177981838085</v>
      </c>
      <c r="R5" s="60">
        <f t="shared" si="0"/>
        <v>173.84789908568465</v>
      </c>
      <c r="S5" s="60">
        <f ca="1">AVERAGE(OFFSET($R$3,0,0,'Données projet'!$E$9+1,1))-AVERAGE(OFFSET($H$3,0,0,'Données projet'!$E$9+1,1))</f>
        <v>336.25341821407534</v>
      </c>
      <c r="T5" s="60">
        <f t="shared" ref="T5:T68" si="34">$T$3</f>
        <v>360.3246221345039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174.29423362025418</v>
      </c>
      <c r="AN5" s="60">
        <f ca="1">AVERAGE(OFFSET($AM$3,0,0,'Données projet'!$E$10+1,1))-AVERAGE(OFFSET($H$3,0,0,'Données projet'!$E$10+1,1))</f>
        <v>516.30971934066179</v>
      </c>
      <c r="AO5" s="60">
        <f t="shared" ref="AO5:AO68" si="36">$AO$3</f>
        <v>290.84286505723571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0">
        <f t="shared" si="8"/>
        <v>173.84789908568465</v>
      </c>
      <c r="BI5" s="60">
        <f ca="1">AVERAGE(OFFSET($BH$3,0,0,'Données projet'!$E$11+1,1))-AVERAGE(OFFSET($H$3,0,0,'Données projet'!$E$11+1,1))</f>
        <v>336.25341821407534</v>
      </c>
      <c r="BJ5" s="60">
        <f t="shared" ref="BJ5:BJ68" si="38">$BJ$3</f>
        <v>360.3246221345039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2.4358974358974361</v>
      </c>
      <c r="BY5" s="13">
        <f>IF('Données projet'!$A$114&gt;35,BY4+BX5-CG4,IF(A5&lt;'Données projet'!$A$114,$BV$205^A5,IF(A5='Données projet'!$A$114,'Données projet'!$B$114,BY4+BX5-CG4)))</f>
        <v>1.6157222325766614</v>
      </c>
      <c r="BZ5" s="14">
        <f>BY5*VLOOKUP('Données projet'!$B$12,Paramètres!$A$1:$I$89,3,0)*VLOOKUP('Données projet'!$B$12,Paramètres!$A$1:$I$89,5,0)</f>
        <v>1.5375212765199511</v>
      </c>
      <c r="CA5" s="14">
        <f t="shared" ref="CA5:CA68" si="39">EXP(-1.0587+0.8836*LN(BZ5)+0.284)</f>
        <v>0.67394928852564717</v>
      </c>
      <c r="CB5" s="22">
        <f t="shared" si="10"/>
        <v>3.8516445674544162</v>
      </c>
      <c r="CC5" s="60">
        <f t="shared" si="11"/>
        <v>174.44892585495526</v>
      </c>
      <c r="CD5" s="60">
        <f ca="1">AVERAGE(OFFSET($CC$3,0,0,'Données projet'!$E$12+1,1))-AVERAGE(OFFSET($H$3,0,0,'Données projet'!$E$12+1,1))</f>
        <v>398.29746143975166</v>
      </c>
      <c r="CE5" s="60">
        <f t="shared" ref="CE5:CE68" si="40">$CE$3</f>
        <v>300.63705521148802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1.4055335507850097</v>
      </c>
      <c r="CV5" s="14">
        <f t="shared" ref="CV5:CV68" si="41">EXP(-1.0587+0.8836*LN(CU5)+0.284)</f>
        <v>0.62256480317525631</v>
      </c>
      <c r="CW5" s="22">
        <f t="shared" si="13"/>
        <v>3.5322712998141292</v>
      </c>
      <c r="CX5" s="60">
        <f t="shared" si="14"/>
        <v>174.12955258731498</v>
      </c>
      <c r="CY5" s="60">
        <f ca="1">AVERAGE(OFFSET($CX$3,0,0,'Données projet'!$E$13+1,1))-AVERAGE(OFFSET($H$3,0,0,'Données projet'!$E$13+1,1))</f>
        <v>496.33873798282525</v>
      </c>
      <c r="CZ5" s="60">
        <f t="shared" ref="CZ5:CZ68" si="42">$CZ$3</f>
        <v>280.25465074992246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0">
        <f t="shared" si="17"/>
        <v>173.81410309918456</v>
      </c>
      <c r="DT5" s="60">
        <f ca="1">AVERAGE(OFFSET($DS$3,0,0,'Données projet'!$E$14+1,1))-AVERAGE(OFFSET($H$3,0,0,'Données projet'!$E$14+1,1))</f>
        <v>312.59632808777332</v>
      </c>
      <c r="DU5" s="60">
        <f t="shared" ref="DU5:DU68" si="44">$DU$3</f>
        <v>302.59481222418219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3.3333333333333335</v>
      </c>
      <c r="EJ5" s="13">
        <f>IF('Données projet'!$A$192&gt;35,EJ4+EI5-ER4,IF(A5&lt;'Données projet'!$A$192,$EG$205^A5,IF(A5='Données projet'!$A$192,'Données projet'!$B$192,EJ4+EI5-ER4)))</f>
        <v>1.6847262157876479</v>
      </c>
      <c r="EK5" s="18">
        <f>EJ5*VLOOKUP('Données projet'!$B$15,Paramètres!$A$1:$I$89,3,0)*VLOOKUP('Données projet'!$B$15,Paramètres!$A$1:$I$89,5,0)</f>
        <v>1.1301143455503542</v>
      </c>
      <c r="EL5" s="14">
        <f t="shared" ref="EL5:EL68" si="45">EXP(-1.0587+0.8836*LN(EK5)+0.284)</f>
        <v>0.5134415452108555</v>
      </c>
      <c r="EM5" s="22">
        <f t="shared" si="19"/>
        <v>2.8625265097424397</v>
      </c>
      <c r="EN5" s="60">
        <f t="shared" si="20"/>
        <v>173.45980779724329</v>
      </c>
      <c r="EO5" s="60">
        <f ca="1">AVERAGE(OFFSET($EN$3,0,0,'Données projet'!$E$15+1,1))-AVERAGE(OFFSET($H$3,0,0,'Données projet'!$E$15+1,1))</f>
        <v>344.62096650402731</v>
      </c>
      <c r="EP5" s="60">
        <f t="shared" ref="EP5:EP68" si="46">$EP$3</f>
        <v>277.30931495079346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2.4933333333333332</v>
      </c>
      <c r="FE5" s="13">
        <f>IF('Données projet'!$A$218&gt;35,FE4+FD5-FM4,IF(A5&lt;'Données projet'!$A$218,$FB$205^A5,IF(A5='Données projet'!$A$218,'Données projet'!$B$218,FE4+FD5-FM4)))</f>
        <v>1.6207506842533985</v>
      </c>
      <c r="FF5" s="18">
        <f>FE5*VLOOKUP('Données projet'!$B$16,Paramètres!$A$1:$I$89,3,0)*VLOOKUP('Données projet'!$B$16,Paramètres!$A$1:$I$89,5,0)</f>
        <v>1.4158877977637692</v>
      </c>
      <c r="FG5" s="14">
        <f t="shared" ref="FG5:FG68" si="47">EXP(-1.0587+0.8836*LN(FF5)+0.284)</f>
        <v>0.62661551960081552</v>
      </c>
      <c r="FH5" s="22">
        <f t="shared" si="22"/>
        <v>3.5573599444099848</v>
      </c>
      <c r="FI5" s="60">
        <f t="shared" si="23"/>
        <v>174.15464123191083</v>
      </c>
      <c r="FJ5" s="60">
        <f ca="1">AVERAGE(OFFSET($FI$3,0,0,'Données projet'!$E$16+1,1))-AVERAGE(OFFSET($H$3,0,0,'Données projet'!$E$16+1,1))</f>
        <v>363.28611056308665</v>
      </c>
      <c r="FK5" s="60">
        <f t="shared" ref="FK5:FK68" si="48">$FK$3</f>
        <v>389.43647559455974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1.5642228226478332</v>
      </c>
      <c r="GB5" s="14">
        <f t="shared" ref="GB5:GB68" si="49">EXP(-1.0587+0.8836*LN(GA5)+0.284)</f>
        <v>0.68428075179095682</v>
      </c>
      <c r="GC5" s="22">
        <f t="shared" si="25"/>
        <v>3.9161437254808931</v>
      </c>
      <c r="GD5" s="60">
        <f t="shared" si="26"/>
        <v>174.51342501298171</v>
      </c>
      <c r="GE5" s="60">
        <f ca="1">AVERAGE(OFFSET($GD$3,0,0,'Données projet'!$E$17+1,1))-AVERAGE(OFFSET($H$3,0,0,'Données projet'!$E$17+1,1))</f>
        <v>542.90832990875208</v>
      </c>
      <c r="GF5" s="60">
        <f t="shared" ref="GF5:GF68" si="50">$GF$3</f>
        <v>304.94365539329362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2.4933333333333332</v>
      </c>
      <c r="N6" s="14">
        <f>IF('Données projet'!$A$36&gt;35,N5+M6-V5,IF(A6&lt;'Données projet'!$A$36,$K$205^A6,IF(A6='Données projet'!$A$36,'Données projet'!$B$36,N5+M6-V5)))</f>
        <v>2.0633567375583337</v>
      </c>
      <c r="O6" s="14">
        <f>N6*VLOOKUP('Données projet'!$B$9,Paramètres!$A$1:$I$89,3,0)*VLOOKUP('Données projet'!$B$9,Paramètres!$A$1:$I$89,5,0)</f>
        <v>1.6416066204014104</v>
      </c>
      <c r="P6" s="14">
        <f t="shared" si="33"/>
        <v>0.71410789921437878</v>
      </c>
      <c r="Q6" s="22">
        <f t="shared" si="2"/>
        <v>4.1028694549974993</v>
      </c>
      <c r="R6" s="60">
        <f t="shared" si="0"/>
        <v>177.45789002488237</v>
      </c>
      <c r="S6" s="60">
        <f ca="1">AVERAGE(OFFSET($R$3,0,0,'Données projet'!$E$9+1,1))-AVERAGE(OFFSET($H$3,0,0,'Données projet'!$E$9+1,1))</f>
        <v>336.25341821407534</v>
      </c>
      <c r="T6" s="60">
        <f t="shared" si="34"/>
        <v>360.3246221345039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177.78232179480699</v>
      </c>
      <c r="AN6" s="60">
        <f ca="1">AVERAGE(OFFSET($AM$3,0,0,'Données projet'!$E$10+1,1))-AVERAGE(OFFSET($H$3,0,0,'Données projet'!$E$10+1,1))</f>
        <v>516.30971934066179</v>
      </c>
      <c r="AO6" s="60">
        <f t="shared" si="36"/>
        <v>290.84286505723571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0">
        <f t="shared" si="8"/>
        <v>177.45789002488237</v>
      </c>
      <c r="BI6" s="60">
        <f ca="1">AVERAGE(OFFSET($BH$3,0,0,'Données projet'!$E$11+1,1))-AVERAGE(OFFSET($H$3,0,0,'Données projet'!$E$11+1,1))</f>
        <v>336.25341821407534</v>
      </c>
      <c r="BJ6" s="60">
        <f t="shared" si="38"/>
        <v>360.3246221345039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2.4358974358974361</v>
      </c>
      <c r="BY6" s="13">
        <f>IF('Données projet'!$A$114&gt;35,BY5+BX6-CG5,IF(A6&lt;'Données projet'!$A$114,$BV$205^A6,IF(A6='Données projet'!$A$114,'Données projet'!$B$114,BY5+BX6-CG5)))</f>
        <v>2.0537617042422203</v>
      </c>
      <c r="BZ6" s="14">
        <f>BY6*VLOOKUP('Données projet'!$B$12,Paramètres!$A$1:$I$89,3,0)*VLOOKUP('Données projet'!$B$12,Paramètres!$A$1:$I$89,5,0)</f>
        <v>1.9543596377568968</v>
      </c>
      <c r="CA6" s="14">
        <f t="shared" si="39"/>
        <v>0.83307409051865666</v>
      </c>
      <c r="CB6" s="22">
        <f t="shared" si="10"/>
        <v>4.8547804100799219</v>
      </c>
      <c r="CC6" s="60">
        <f t="shared" si="11"/>
        <v>178.2098009799648</v>
      </c>
      <c r="CD6" s="60">
        <f ca="1">AVERAGE(OFFSET($CC$3,0,0,'Données projet'!$E$12+1,1))-AVERAGE(OFFSET($H$3,0,0,'Données projet'!$E$12+1,1))</f>
        <v>398.29746143975166</v>
      </c>
      <c r="CE6" s="60">
        <f t="shared" si="40"/>
        <v>300.63705521148802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1.694352163012101</v>
      </c>
      <c r="CV6" s="14">
        <f t="shared" si="41"/>
        <v>0.73434428233124405</v>
      </c>
      <c r="CW6" s="22">
        <f t="shared" si="13"/>
        <v>4.2299796423063247</v>
      </c>
      <c r="CX6" s="60">
        <f t="shared" si="14"/>
        <v>177.5850002121912</v>
      </c>
      <c r="CY6" s="60">
        <f ca="1">AVERAGE(OFFSET($CX$3,0,0,'Données projet'!$E$13+1,1))-AVERAGE(OFFSET($H$3,0,0,'Données projet'!$E$13+1,1))</f>
        <v>496.33873798282525</v>
      </c>
      <c r="CZ6" s="60">
        <f t="shared" si="42"/>
        <v>280.25465074992246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0">
        <f t="shared" si="17"/>
        <v>177.43279037341409</v>
      </c>
      <c r="DT6" s="60">
        <f ca="1">AVERAGE(OFFSET($DS$3,0,0,'Données projet'!$E$14+1,1))-AVERAGE(OFFSET($H$3,0,0,'Données projet'!$E$14+1,1))</f>
        <v>312.59632808777332</v>
      </c>
      <c r="DU6" s="60">
        <f t="shared" si="44"/>
        <v>302.59481222418219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3.3333333333333335</v>
      </c>
      <c r="EJ6" s="13">
        <f>IF('Données projet'!$A$192&gt;35,EJ5+EI6-ER5,IF(A6&lt;'Données projet'!$A$192,$EG$205^A6,IF(A6='Données projet'!$A$192,'Données projet'!$B$192,EJ5+EI6-ER5)))</f>
        <v>2.1867241478865562</v>
      </c>
      <c r="EK6" s="18">
        <f>EJ6*VLOOKUP('Données projet'!$B$15,Paramètres!$A$1:$I$89,3,0)*VLOOKUP('Données projet'!$B$15,Paramètres!$A$1:$I$89,5,0)</f>
        <v>1.4668545584023018</v>
      </c>
      <c r="EL6" s="14">
        <f t="shared" si="45"/>
        <v>0.64650467023192038</v>
      </c>
      <c r="EM6" s="22">
        <f t="shared" si="19"/>
        <v>3.6807673232046039</v>
      </c>
      <c r="EN6" s="60">
        <f t="shared" si="20"/>
        <v>177.03578789308949</v>
      </c>
      <c r="EO6" s="60">
        <f ca="1">AVERAGE(OFFSET($EN$3,0,0,'Données projet'!$E$15+1,1))-AVERAGE(OFFSET($H$3,0,0,'Données projet'!$E$15+1,1))</f>
        <v>344.62096650402731</v>
      </c>
      <c r="EP6" s="60">
        <f t="shared" si="46"/>
        <v>277.30931495079346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2.4933333333333332</v>
      </c>
      <c r="FE6" s="13">
        <f>IF('Données projet'!$A$218&gt;35,FE5+FD6-FM5,IF(A6&lt;'Données projet'!$A$218,$FB$205^A6,IF(A6='Données projet'!$A$218,'Données projet'!$B$218,FE5+FD6-FM5)))</f>
        <v>2.0633567375583337</v>
      </c>
      <c r="FF6" s="18">
        <f>FE6*VLOOKUP('Données projet'!$B$16,Paramètres!$A$1:$I$89,3,0)*VLOOKUP('Données projet'!$B$16,Paramètres!$A$1:$I$89,5,0)</f>
        <v>1.8025484459309604</v>
      </c>
      <c r="FG6" s="14">
        <f t="shared" si="47"/>
        <v>0.77562852070138621</v>
      </c>
      <c r="FH6" s="22">
        <f t="shared" si="22"/>
        <v>4.4903248835513372</v>
      </c>
      <c r="FI6" s="60">
        <f t="shared" si="23"/>
        <v>177.84534545343621</v>
      </c>
      <c r="FJ6" s="60">
        <f ca="1">AVERAGE(OFFSET($FI$3,0,0,'Données projet'!$E$16+1,1))-AVERAGE(OFFSET($H$3,0,0,'Données projet'!$E$16+1,1))</f>
        <v>363.28611056308665</v>
      </c>
      <c r="FK6" s="60">
        <f t="shared" si="48"/>
        <v>389.43647559455974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1.885649987868306</v>
      </c>
      <c r="GB6" s="14">
        <f t="shared" si="49"/>
        <v>0.8071411281590839</v>
      </c>
      <c r="GC6" s="22">
        <f t="shared" si="25"/>
        <v>4.6899445270810372</v>
      </c>
      <c r="GD6" s="60">
        <f t="shared" si="26"/>
        <v>178.04496509696591</v>
      </c>
      <c r="GE6" s="60">
        <f ca="1">AVERAGE(OFFSET($GD$3,0,0,'Données projet'!$E$17+1,1))-AVERAGE(OFFSET($H$3,0,0,'Données projet'!$E$17+1,1))</f>
        <v>542.90832990875208</v>
      </c>
      <c r="GF6" s="60">
        <f t="shared" si="50"/>
        <v>304.94365539329362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2.4933333333333332</v>
      </c>
      <c r="N7" s="14">
        <f>IF('Données projet'!$A$36&gt;35,N6+M7-V6,IF(A7&lt;'Données projet'!$A$36,$K$205^A7,IF(A7='Données projet'!$A$36,'Données projet'!$B$36,N6+M7-V6)))</f>
        <v>2.6268327805078595</v>
      </c>
      <c r="O7" s="14">
        <f>N7*VLOOKUP('Données projet'!$B$9,Paramètres!$A$1:$I$89,3,0)*VLOOKUP('Données projet'!$B$9,Paramètres!$A$1:$I$89,5,0)</f>
        <v>2.0899081601720533</v>
      </c>
      <c r="P7" s="14">
        <f t="shared" si="33"/>
        <v>0.88392712303339283</v>
      </c>
      <c r="Q7" s="22">
        <f t="shared" si="2"/>
        <v>5.1794297849161515</v>
      </c>
      <c r="R7" s="60">
        <f t="shared" si="0"/>
        <v>181.2655518490931</v>
      </c>
      <c r="S7" s="60">
        <f ca="1">AVERAGE(OFFSET($R$3,0,0,'Données projet'!$E$9+1,1))-AVERAGE(OFFSET($H$3,0,0,'Données projet'!$E$9+1,1))</f>
        <v>336.25341821407534</v>
      </c>
      <c r="T7" s="60">
        <f t="shared" si="34"/>
        <v>360.3246221345039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181.3885838491268</v>
      </c>
      <c r="AN7" s="60">
        <f ca="1">AVERAGE(OFFSET($AM$3,0,0,'Données projet'!$E$10+1,1))-AVERAGE(OFFSET($H$3,0,0,'Données projet'!$E$10+1,1))</f>
        <v>516.30971934066179</v>
      </c>
      <c r="AO7" s="60">
        <f t="shared" si="36"/>
        <v>290.84286505723571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0">
        <f t="shared" si="8"/>
        <v>181.2655518490931</v>
      </c>
      <c r="BI7" s="60">
        <f ca="1">AVERAGE(OFFSET($BH$3,0,0,'Données projet'!$E$11+1,1))-AVERAGE(OFFSET($H$3,0,0,'Données projet'!$E$11+1,1))</f>
        <v>336.25341821407534</v>
      </c>
      <c r="BJ7" s="60">
        <f t="shared" si="38"/>
        <v>360.3246221345039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2.4358974358974361</v>
      </c>
      <c r="BY7" s="13">
        <f>IF('Données projet'!$A$114&gt;35,BY6+BX7-CG6,IF(A7&lt;'Données projet'!$A$114,$BV$205^A7,IF(A7='Données projet'!$A$114,'Données projet'!$B$114,BY6+BX7-CG6)))</f>
        <v>2.610558332842511</v>
      </c>
      <c r="BZ7" s="14">
        <f>BY7*VLOOKUP('Données projet'!$B$12,Paramètres!$A$1:$I$89,3,0)*VLOOKUP('Données projet'!$B$12,Paramètres!$A$1:$I$89,5,0)</f>
        <v>2.4842073095329336</v>
      </c>
      <c r="CA7" s="14">
        <f t="shared" si="39"/>
        <v>1.029769527335997</v>
      </c>
      <c r="CB7" s="22">
        <f t="shared" si="10"/>
        <v>6.1201763242133866</v>
      </c>
      <c r="CC7" s="60">
        <f t="shared" si="11"/>
        <v>182.20629838839034</v>
      </c>
      <c r="CD7" s="60">
        <f ca="1">AVERAGE(OFFSET($CC$3,0,0,'Données projet'!$E$12+1,1))-AVERAGE(OFFSET($H$3,0,0,'Données projet'!$E$12+1,1))</f>
        <v>398.29746143975166</v>
      </c>
      <c r="CE7" s="60">
        <f t="shared" si="40"/>
        <v>300.63705521148802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2.042519191875845</v>
      </c>
      <c r="CV7" s="14">
        <f t="shared" si="41"/>
        <v>0.86619340226463792</v>
      </c>
      <c r="CW7" s="22">
        <f t="shared" si="13"/>
        <v>5.0660077681280073</v>
      </c>
      <c r="CX7" s="60">
        <f t="shared" si="14"/>
        <v>181.15212983230495</v>
      </c>
      <c r="CY7" s="60">
        <f ca="1">AVERAGE(OFFSET($CX$3,0,0,'Données projet'!$E$13+1,1))-AVERAGE(OFFSET($H$3,0,0,'Données projet'!$E$13+1,1))</f>
        <v>496.33873798282525</v>
      </c>
      <c r="CZ7" s="60">
        <f t="shared" si="42"/>
        <v>280.25465074992246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0">
        <f t="shared" si="17"/>
        <v>181.25615849813238</v>
      </c>
      <c r="DT7" s="60">
        <f ca="1">AVERAGE(OFFSET($DS$3,0,0,'Données projet'!$E$14+1,1))-AVERAGE(OFFSET($H$3,0,0,'Données projet'!$E$14+1,1))</f>
        <v>312.59632808777332</v>
      </c>
      <c r="DU7" s="60">
        <f t="shared" si="44"/>
        <v>302.59481222418219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3.3333333333333335</v>
      </c>
      <c r="EJ7" s="13">
        <f>IF('Données projet'!$A$192&gt;35,EJ6+EI7-ER6,IF(A7&lt;'Données projet'!$A$192,$EG$205^A7,IF(A7='Données projet'!$A$192,'Données projet'!$B$192,EJ6+EI7-ER6)))</f>
        <v>2.8383024221621684</v>
      </c>
      <c r="EK7" s="18">
        <f>EJ7*VLOOKUP('Données projet'!$B$15,Paramètres!$A$1:$I$89,3,0)*VLOOKUP('Données projet'!$B$15,Paramètres!$A$1:$I$89,5,0)</f>
        <v>1.9039332647863827</v>
      </c>
      <c r="EL7" s="14">
        <f t="shared" si="45"/>
        <v>0.81405233474053373</v>
      </c>
      <c r="EM7" s="22">
        <f t="shared" si="19"/>
        <v>4.7338249191760466</v>
      </c>
      <c r="EN7" s="60">
        <f t="shared" si="20"/>
        <v>180.81994698335299</v>
      </c>
      <c r="EO7" s="60">
        <f ca="1">AVERAGE(OFFSET($EN$3,0,0,'Données projet'!$E$15+1,1))-AVERAGE(OFFSET($H$3,0,0,'Données projet'!$E$15+1,1))</f>
        <v>344.62096650402731</v>
      </c>
      <c r="EP7" s="60">
        <f t="shared" si="46"/>
        <v>277.30931495079346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2.4933333333333332</v>
      </c>
      <c r="FE7" s="13">
        <f>IF('Données projet'!$A$218&gt;35,FE6+FD7-FM6,IF(A7&lt;'Données projet'!$A$218,$FB$205^A7,IF(A7='Données projet'!$A$218,'Données projet'!$B$218,FE6+FD7-FM6)))</f>
        <v>2.6268327805078595</v>
      </c>
      <c r="FF7" s="18">
        <f>FE7*VLOOKUP('Données projet'!$B$16,Paramètres!$A$1:$I$89,3,0)*VLOOKUP('Données projet'!$B$16,Paramètres!$A$1:$I$89,5,0)</f>
        <v>2.2948011170516667</v>
      </c>
      <c r="FG7" s="14">
        <f t="shared" si="47"/>
        <v>0.96007772438938166</v>
      </c>
      <c r="FH7" s="22">
        <f t="shared" si="22"/>
        <v>5.6689139821764911</v>
      </c>
      <c r="FI7" s="60">
        <f t="shared" si="23"/>
        <v>181.75503604635344</v>
      </c>
      <c r="FJ7" s="60">
        <f ca="1">AVERAGE(OFFSET($FI$3,0,0,'Données projet'!$E$16+1,1))-AVERAGE(OFFSET($H$3,0,0,'Données projet'!$E$16+1,1))</f>
        <v>363.28611056308665</v>
      </c>
      <c r="FK7" s="60">
        <f t="shared" si="48"/>
        <v>389.43647559455974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2.2731261974102144</v>
      </c>
      <c r="GB7" s="14">
        <f t="shared" si="49"/>
        <v>0.95206068424520052</v>
      </c>
      <c r="GC7" s="22">
        <f t="shared" si="25"/>
        <v>5.617200485549847</v>
      </c>
      <c r="GD7" s="60">
        <f t="shared" si="26"/>
        <v>181.70332254972681</v>
      </c>
      <c r="GE7" s="60">
        <f ca="1">AVERAGE(OFFSET($GD$3,0,0,'Données projet'!$E$17+1,1))-AVERAGE(OFFSET($H$3,0,0,'Données projet'!$E$17+1,1))</f>
        <v>542.90832990875208</v>
      </c>
      <c r="GF7" s="60">
        <f t="shared" si="50"/>
        <v>304.94365539329362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2.4933333333333332</v>
      </c>
      <c r="N8" s="14">
        <f>IF('Données projet'!$A$36&gt;35,N7+M8-V7,IF(A8&lt;'Données projet'!$A$36,$K$205^A8,IF(A8='Données projet'!$A$36,'Données projet'!$B$36,N7+M8-V7)))</f>
        <v>3.3441868442565297</v>
      </c>
      <c r="O8" s="14">
        <f>N8*VLOOKUP('Données projet'!$B$9,Paramètres!$A$1:$I$89,3,0)*VLOOKUP('Données projet'!$B$9,Paramètres!$A$1:$I$89,5,0)</f>
        <v>2.6606350532904952</v>
      </c>
      <c r="P8" s="14">
        <f t="shared" si="33"/>
        <v>1.0941303963920053</v>
      </c>
      <c r="Q8" s="22">
        <f t="shared" si="2"/>
        <v>6.5395498248636885</v>
      </c>
      <c r="R8" s="60">
        <f t="shared" si="0"/>
        <v>185.33059770131104</v>
      </c>
      <c r="S8" s="60">
        <f ca="1">AVERAGE(OFFSET($R$3,0,0,'Données projet'!$E$9+1,1))-AVERAGE(OFFSET($H$3,0,0,'Données projet'!$E$9+1,1))</f>
        <v>336.25341821407534</v>
      </c>
      <c r="T8" s="60">
        <f t="shared" si="34"/>
        <v>360.3246221345039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185.14229339232202</v>
      </c>
      <c r="AN8" s="60">
        <f ca="1">AVERAGE(OFFSET($AM$3,0,0,'Données projet'!$E$10+1,1))-AVERAGE(OFFSET($H$3,0,0,'Données projet'!$E$10+1,1))</f>
        <v>516.30971934066179</v>
      </c>
      <c r="AO8" s="60">
        <f t="shared" si="36"/>
        <v>290.84286505723571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0">
        <f t="shared" si="8"/>
        <v>185.33059770131104</v>
      </c>
      <c r="BI8" s="60">
        <f ca="1">AVERAGE(OFFSET($BH$3,0,0,'Données projet'!$E$11+1,1))-AVERAGE(OFFSET($H$3,0,0,'Données projet'!$E$11+1,1))</f>
        <v>336.25341821407534</v>
      </c>
      <c r="BJ8" s="60">
        <f t="shared" si="38"/>
        <v>360.3246221345039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2.4358974358974361</v>
      </c>
      <c r="BY8" s="13">
        <f>IF('Données projet'!$A$114&gt;35,BY7+BX8-CG7,IF(A8&lt;'Données projet'!$A$114,$BV$205^A8,IF(A8='Données projet'!$A$114,'Données projet'!$B$114,BY7+BX8-CG7)))</f>
        <v>3.3183084459586891</v>
      </c>
      <c r="BZ8" s="14">
        <f>BY8*VLOOKUP('Données projet'!$B$12,Paramètres!$A$1:$I$89,3,0)*VLOOKUP('Données projet'!$B$12,Paramètres!$A$1:$I$89,5,0)</f>
        <v>3.1577023171742886</v>
      </c>
      <c r="CA8" s="14">
        <f t="shared" si="39"/>
        <v>1.2729063254981332</v>
      </c>
      <c r="CB8" s="22">
        <f t="shared" si="10"/>
        <v>7.7166433859878012</v>
      </c>
      <c r="CC8" s="60">
        <f t="shared" si="11"/>
        <v>186.50769126243515</v>
      </c>
      <c r="CD8" s="60">
        <f ca="1">AVERAGE(OFFSET($CC$3,0,0,'Données projet'!$E$12+1,1))-AVERAGE(OFFSET($H$3,0,0,'Données projet'!$E$12+1,1))</f>
        <v>398.29746143975166</v>
      </c>
      <c r="CE8" s="60">
        <f t="shared" si="40"/>
        <v>300.63705521148802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2.4622299544651152</v>
      </c>
      <c r="CV8" s="14">
        <f t="shared" si="41"/>
        <v>1.021715601495419</v>
      </c>
      <c r="CW8" s="22">
        <f t="shared" si="13"/>
        <v>6.0678718432979295</v>
      </c>
      <c r="CX8" s="60">
        <f t="shared" si="14"/>
        <v>184.85891971974527</v>
      </c>
      <c r="CY8" s="60">
        <f ca="1">AVERAGE(OFFSET($CX$3,0,0,'Données projet'!$E$13+1,1))-AVERAGE(OFFSET($H$3,0,0,'Données projet'!$E$13+1,1))</f>
        <v>496.33873798282525</v>
      </c>
      <c r="CZ8" s="60">
        <f t="shared" si="42"/>
        <v>280.25465074992246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0">
        <f t="shared" si="17"/>
        <v>185.3470463579701</v>
      </c>
      <c r="DT8" s="60">
        <f ca="1">AVERAGE(OFFSET($DS$3,0,0,'Données projet'!$E$14+1,1))-AVERAGE(OFFSET($H$3,0,0,'Données projet'!$E$14+1,1))</f>
        <v>312.59632808777332</v>
      </c>
      <c r="DU8" s="60">
        <f t="shared" si="44"/>
        <v>302.59481222418219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3.3333333333333335</v>
      </c>
      <c r="EJ8" s="13">
        <f>IF('Données projet'!$A$192&gt;35,EJ7+EI8-ER7,IF(A8&lt;'Données projet'!$A$192,$EG$205^A8,IF(A8='Données projet'!$A$192,'Données projet'!$B$192,EJ7+EI8-ER7)))</f>
        <v>3.6840314986403868</v>
      </c>
      <c r="EK8" s="18">
        <f>EJ8*VLOOKUP('Données projet'!$B$15,Paramètres!$A$1:$I$89,3,0)*VLOOKUP('Données projet'!$B$15,Paramètres!$A$1:$I$89,5,0)</f>
        <v>2.4712483292879717</v>
      </c>
      <c r="EL8" s="14">
        <f t="shared" si="45"/>
        <v>1.0250215260762008</v>
      </c>
      <c r="EM8" s="22">
        <f t="shared" si="19"/>
        <v>6.0893366647592657</v>
      </c>
      <c r="EN8" s="60">
        <f t="shared" si="20"/>
        <v>184.88038454120661</v>
      </c>
      <c r="EO8" s="60">
        <f ca="1">AVERAGE(OFFSET($EN$3,0,0,'Données projet'!$E$15+1,1))-AVERAGE(OFFSET($H$3,0,0,'Données projet'!$E$15+1,1))</f>
        <v>344.62096650402731</v>
      </c>
      <c r="EP8" s="60">
        <f t="shared" si="46"/>
        <v>277.30931495079346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2.4933333333333332</v>
      </c>
      <c r="FE8" s="13">
        <f>IF('Données projet'!$A$218&gt;35,FE7+FD8-FM7,IF(A8&lt;'Données projet'!$A$218,$FB$205^A8,IF(A8='Données projet'!$A$218,'Données projet'!$B$218,FE7+FD8-FM7)))</f>
        <v>3.3441868442565297</v>
      </c>
      <c r="FF8" s="18">
        <f>FE8*VLOOKUP('Données projet'!$B$16,Paramètres!$A$1:$I$89,3,0)*VLOOKUP('Données projet'!$B$16,Paramètres!$A$1:$I$89,5,0)</f>
        <v>2.9214816271425046</v>
      </c>
      <c r="FG8" s="14">
        <f t="shared" si="47"/>
        <v>1.1883900762637927</v>
      </c>
      <c r="FH8" s="22">
        <f t="shared" si="22"/>
        <v>7.1580265500992999</v>
      </c>
      <c r="FI8" s="60">
        <f t="shared" si="23"/>
        <v>185.94907442654664</v>
      </c>
      <c r="FJ8" s="60">
        <f ca="1">AVERAGE(OFFSET($FI$3,0,0,'Données projet'!$E$16+1,1))-AVERAGE(OFFSET($H$3,0,0,'Données projet'!$E$16+1,1))</f>
        <v>363.28611056308665</v>
      </c>
      <c r="FK8" s="60">
        <f t="shared" si="48"/>
        <v>389.43647559455974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2.740223659001499</v>
      </c>
      <c r="GB8" s="14">
        <f t="shared" si="49"/>
        <v>1.1230000737947632</v>
      </c>
      <c r="GC8" s="22">
        <f t="shared" si="25"/>
        <v>6.7284480012868242</v>
      </c>
      <c r="GD8" s="60">
        <f t="shared" si="26"/>
        <v>185.51949587773419</v>
      </c>
      <c r="GE8" s="60">
        <f ca="1">AVERAGE(OFFSET($GD$3,0,0,'Données projet'!$E$17+1,1))-AVERAGE(OFFSET($H$3,0,0,'Données projet'!$E$17+1,1))</f>
        <v>542.90832990875208</v>
      </c>
      <c r="GF8" s="60">
        <f t="shared" si="50"/>
        <v>304.94365539329362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2.4933333333333332</v>
      </c>
      <c r="N9" s="14">
        <f>IF('Données projet'!$A$36&gt;35,N8+M9-V8,IF(A9&lt;'Données projet'!$A$36,$K$205^A9,IF(A9='Données projet'!$A$36,'Données projet'!$B$36,N8+M9-V8)))</f>
        <v>4.2574410264273705</v>
      </c>
      <c r="O9" s="14">
        <f>N9*VLOOKUP('Données projet'!$B$9,Paramètres!$A$1:$I$89,3,0)*VLOOKUP('Données projet'!$B$9,Paramètres!$A$1:$I$89,5,0)</f>
        <v>3.3872200806256161</v>
      </c>
      <c r="P9" s="14">
        <f t="shared" si="33"/>
        <v>1.3543212931409303</v>
      </c>
      <c r="Q9" s="22">
        <f t="shared" si="2"/>
        <v>8.2581845593100685</v>
      </c>
      <c r="R9" s="60">
        <f t="shared" si="0"/>
        <v>189.72843665556906</v>
      </c>
      <c r="S9" s="60">
        <f ca="1">AVERAGE(OFFSET($R$3,0,0,'Données projet'!$E$9+1,1))-AVERAGE(OFFSET($H$3,0,0,'Données projet'!$E$9+1,1))</f>
        <v>336.25341821407534</v>
      </c>
      <c r="T9" s="60">
        <f t="shared" si="34"/>
        <v>360.3246221345039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189.07846666012946</v>
      </c>
      <c r="AN9" s="60">
        <f ca="1">AVERAGE(OFFSET($AM$3,0,0,'Données projet'!$E$10+1,1))-AVERAGE(OFFSET($H$3,0,0,'Données projet'!$E$10+1,1))</f>
        <v>516.30971934066179</v>
      </c>
      <c r="AO9" s="60">
        <f t="shared" si="36"/>
        <v>290.84286505723571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0">
        <f t="shared" si="8"/>
        <v>189.72843665556906</v>
      </c>
      <c r="BI9" s="60">
        <f ca="1">AVERAGE(OFFSET($BH$3,0,0,'Données projet'!$E$11+1,1))-AVERAGE(OFFSET($H$3,0,0,'Données projet'!$E$11+1,1))</f>
        <v>336.25341821407534</v>
      </c>
      <c r="BJ9" s="60">
        <f t="shared" si="38"/>
        <v>360.3246221345039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2.4358974358974361</v>
      </c>
      <c r="BY9" s="13">
        <f>IF('Données projet'!$A$114&gt;35,BY8+BX9-CG8,IF(A9&lt;'Données projet'!$A$114,$BV$205^A9,IF(A9='Données projet'!$A$114,'Données projet'!$B$114,BY8+BX9-CG8)))</f>
        <v>4.2179371378119086</v>
      </c>
      <c r="BZ9" s="14">
        <f>BY9*VLOOKUP('Données projet'!$B$12,Paramètres!$A$1:$I$89,3,0)*VLOOKUP('Données projet'!$B$12,Paramètres!$A$1:$I$89,5,0)</f>
        <v>4.0137889803418121</v>
      </c>
      <c r="CA9" s="14">
        <f t="shared" si="39"/>
        <v>1.5734496608040387</v>
      </c>
      <c r="CB9" s="22">
        <f t="shared" si="10"/>
        <v>9.7311072999956902</v>
      </c>
      <c r="CC9" s="60">
        <f t="shared" si="11"/>
        <v>191.20135939625467</v>
      </c>
      <c r="CD9" s="60">
        <f ca="1">AVERAGE(OFFSET($CC$3,0,0,'Données projet'!$E$12+1,1))-AVERAGE(OFFSET($H$3,0,0,'Données projet'!$E$12+1,1))</f>
        <v>398.29746143975166</v>
      </c>
      <c r="CE9" s="60">
        <f t="shared" si="40"/>
        <v>300.63705521148802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2.9681857447309605</v>
      </c>
      <c r="CV9" s="14">
        <f t="shared" si="41"/>
        <v>1.2051613041728233</v>
      </c>
      <c r="CW9" s="22">
        <f t="shared" si="13"/>
        <v>7.2685794435074236</v>
      </c>
      <c r="CX9" s="60">
        <f t="shared" si="14"/>
        <v>188.73883153976641</v>
      </c>
      <c r="CY9" s="60">
        <f ca="1">AVERAGE(OFFSET($CX$3,0,0,'Données projet'!$E$13+1,1))-AVERAGE(OFFSET($H$3,0,0,'Données projet'!$E$13+1,1))</f>
        <v>496.33873798282525</v>
      </c>
      <c r="CZ9" s="60">
        <f t="shared" si="42"/>
        <v>280.25465074992246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0">
        <f t="shared" si="17"/>
        <v>189.78516218149196</v>
      </c>
      <c r="DT9" s="60">
        <f ca="1">AVERAGE(OFFSET($DS$3,0,0,'Données projet'!$E$14+1,1))-AVERAGE(OFFSET($H$3,0,0,'Données projet'!$E$14+1,1))</f>
        <v>312.59632808777332</v>
      </c>
      <c r="DU9" s="60">
        <f t="shared" si="44"/>
        <v>302.59481222418219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3.3333333333333335</v>
      </c>
      <c r="EJ9" s="13">
        <f>IF('Données projet'!$A$192&gt;35,EJ8+EI9-ER8,IF(A9&lt;'Données projet'!$A$192,$EG$205^A9,IF(A9='Données projet'!$A$192,'Données projet'!$B$192,EJ8+EI9-ER8)))</f>
        <v>4.7817624989501848</v>
      </c>
      <c r="EK9" s="18">
        <f>EJ9*VLOOKUP('Données projet'!$B$15,Paramètres!$A$1:$I$89,3,0)*VLOOKUP('Données projet'!$B$15,Paramètres!$A$1:$I$89,5,0)</f>
        <v>3.2076062842957844</v>
      </c>
      <c r="EL9" s="14">
        <f t="shared" si="45"/>
        <v>1.2906653345014574</v>
      </c>
      <c r="EM9" s="22">
        <f t="shared" si="19"/>
        <v>7.8344897360718626</v>
      </c>
      <c r="EN9" s="60">
        <f t="shared" si="20"/>
        <v>189.30474183233085</v>
      </c>
      <c r="EO9" s="60">
        <f ca="1">AVERAGE(OFFSET($EN$3,0,0,'Données projet'!$E$15+1,1))-AVERAGE(OFFSET($H$3,0,0,'Données projet'!$E$15+1,1))</f>
        <v>344.62096650402731</v>
      </c>
      <c r="EP9" s="60">
        <f t="shared" si="46"/>
        <v>277.30931495079346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2.4933333333333332</v>
      </c>
      <c r="FE9" s="13">
        <f>IF('Données projet'!$A$218&gt;35,FE8+FD9-FM8,IF(A9&lt;'Données projet'!$A$218,$FB$205^A9,IF(A9='Données projet'!$A$218,'Données projet'!$B$218,FE8+FD9-FM8)))</f>
        <v>4.2574410264273705</v>
      </c>
      <c r="FF9" s="18">
        <f>FE9*VLOOKUP('Données projet'!$B$16,Paramètres!$A$1:$I$89,3,0)*VLOOKUP('Données projet'!$B$16,Paramètres!$A$1:$I$89,5,0)</f>
        <v>3.7193004806869516</v>
      </c>
      <c r="FG9" s="14">
        <f t="shared" si="47"/>
        <v>1.4709965011014925</v>
      </c>
      <c r="FH9" s="22">
        <f t="shared" si="22"/>
        <v>9.0397672432815401</v>
      </c>
      <c r="FI9" s="60">
        <f t="shared" si="23"/>
        <v>190.51001933954052</v>
      </c>
      <c r="FJ9" s="60">
        <f ca="1">AVERAGE(OFFSET($FI$3,0,0,'Données projet'!$E$16+1,1))-AVERAGE(OFFSET($H$3,0,0,'Données projet'!$E$16+1,1))</f>
        <v>363.28611056308665</v>
      </c>
      <c r="FK9" s="60">
        <f t="shared" si="48"/>
        <v>389.43647559455974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3.3033034901038101</v>
      </c>
      <c r="GB9" s="14">
        <f t="shared" si="49"/>
        <v>1.3246310730107231</v>
      </c>
      <c r="GC9" s="22">
        <f t="shared" si="25"/>
        <v>8.0603193640911446</v>
      </c>
      <c r="GD9" s="60">
        <f t="shared" si="26"/>
        <v>189.53057146035013</v>
      </c>
      <c r="GE9" s="60">
        <f ca="1">AVERAGE(OFFSET($GD$3,0,0,'Données projet'!$E$17+1,1))-AVERAGE(OFFSET($H$3,0,0,'Données projet'!$E$17+1,1))</f>
        <v>542.90832990875208</v>
      </c>
      <c r="GF9" s="60">
        <f t="shared" si="50"/>
        <v>304.94365539329362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2.4933333333333332</v>
      </c>
      <c r="N10" s="14">
        <f>IF('Données projet'!$A$36&gt;35,N9+M10-V9,IF(A10&lt;'Données projet'!$A$36,$K$205^A10,IF(A10='Données projet'!$A$36,'Données projet'!$B$36,N9+M10-V9)))</f>
        <v>5.4200931160999835</v>
      </c>
      <c r="O10" s="14">
        <f>N10*VLOOKUP('Données projet'!$B$9,Paramètres!$A$1:$I$89,3,0)*VLOOKUP('Données projet'!$B$9,Paramètres!$A$1:$I$89,5,0)</f>
        <v>4.312226083169147</v>
      </c>
      <c r="P10" s="14">
        <f t="shared" si="33"/>
        <v>1.6763871756998234</v>
      </c>
      <c r="Q10" s="22">
        <f t="shared" si="2"/>
        <v>10.430168092530124</v>
      </c>
      <c r="R10" s="60">
        <f t="shared" si="0"/>
        <v>194.55434902826636</v>
      </c>
      <c r="S10" s="60">
        <f ca="1">AVERAGE(OFFSET($R$3,0,0,'Données projet'!$E$9+1,1))-AVERAGE(OFFSET($H$3,0,0,'Données projet'!$E$9+1,1))</f>
        <v>336.25341821407534</v>
      </c>
      <c r="T10" s="60">
        <f t="shared" si="34"/>
        <v>360.3246221345039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193.23901385890804</v>
      </c>
      <c r="AN10" s="60">
        <f ca="1">AVERAGE(OFFSET($AM$3,0,0,'Données projet'!$E$10+1,1))-AVERAGE(OFFSET($H$3,0,0,'Données projet'!$E$10+1,1))</f>
        <v>516.30971934066179</v>
      </c>
      <c r="AO10" s="60">
        <f t="shared" si="36"/>
        <v>290.84286505723571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0">
        <f t="shared" si="8"/>
        <v>194.55434902826636</v>
      </c>
      <c r="BI10" s="60">
        <f ca="1">AVERAGE(OFFSET($BH$3,0,0,'Données projet'!$E$11+1,1))-AVERAGE(OFFSET($H$3,0,0,'Données projet'!$E$11+1,1))</f>
        <v>336.25341821407534</v>
      </c>
      <c r="BJ10" s="60">
        <f t="shared" si="38"/>
        <v>360.3246221345039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2.4358974358974361</v>
      </c>
      <c r="BY10" s="13">
        <f>IF('Données projet'!$A$114&gt;35,BY9+BX10-CG9,IF(A10&lt;'Données projet'!$A$114,$BV$205^A10,IF(A10='Données projet'!$A$114,'Données projet'!$B$114,BY9+BX10-CG9)))</f>
        <v>5.3614647306823651</v>
      </c>
      <c r="BZ10" s="14">
        <f>BY10*VLOOKUP('Données projet'!$B$12,Paramètres!$A$1:$I$89,3,0)*VLOOKUP('Données projet'!$B$12,Paramètres!$A$1:$I$89,5,0)</f>
        <v>5.1019698377173386</v>
      </c>
      <c r="CA10" s="14">
        <f t="shared" si="39"/>
        <v>1.9449536745097864</v>
      </c>
      <c r="CB10" s="22">
        <f t="shared" si="10"/>
        <v>12.273391783795576</v>
      </c>
      <c r="CC10" s="60">
        <f t="shared" si="11"/>
        <v>196.39757271953181</v>
      </c>
      <c r="CD10" s="60">
        <f ca="1">AVERAGE(OFFSET($CC$3,0,0,'Données projet'!$E$12+1,1))-AVERAGE(OFFSET($H$3,0,0,'Données projet'!$E$12+1,1))</f>
        <v>398.29746143975166</v>
      </c>
      <c r="CE10" s="60">
        <f t="shared" si="40"/>
        <v>300.63705521148802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3.5781087786895851</v>
      </c>
      <c r="CV10" s="14">
        <f t="shared" si="41"/>
        <v>1.4215440842341414</v>
      </c>
      <c r="CW10" s="22">
        <f t="shared" si="13"/>
        <v>8.707728736258824</v>
      </c>
      <c r="CX10" s="60">
        <f t="shared" si="14"/>
        <v>192.83190967199505</v>
      </c>
      <c r="CY10" s="60">
        <f ca="1">AVERAGE(OFFSET($CX$3,0,0,'Données projet'!$E$13+1,1))-AVERAGE(OFFSET($H$3,0,0,'Données projet'!$E$13+1,1))</f>
        <v>496.33873798282525</v>
      </c>
      <c r="CZ10" s="60">
        <f t="shared" si="42"/>
        <v>280.25465074992246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0">
        <f t="shared" si="17"/>
        <v>194.67166451260897</v>
      </c>
      <c r="DT10" s="60">
        <f ca="1">AVERAGE(OFFSET($DS$3,0,0,'Données projet'!$E$14+1,1))-AVERAGE(OFFSET($H$3,0,0,'Données projet'!$E$14+1,1))</f>
        <v>312.59632808777332</v>
      </c>
      <c r="DU10" s="60">
        <f t="shared" si="44"/>
        <v>302.59481222418219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3.3333333333333335</v>
      </c>
      <c r="EJ10" s="13">
        <f>IF('Données projet'!$A$192&gt;35,EJ9+EI10-ER9,IF(A10&lt;'Données projet'!$A$192,$EG$205^A10,IF(A10='Données projet'!$A$192,'Données projet'!$B$192,EJ9+EI10-ER9)))</f>
        <v>6.2065844455469161</v>
      </c>
      <c r="EK10" s="18">
        <f>EJ10*VLOOKUP('Données projet'!$B$15,Paramètres!$A$1:$I$89,3,0)*VLOOKUP('Données projet'!$B$15,Paramètres!$A$1:$I$89,5,0)</f>
        <v>4.1633768460728717</v>
      </c>
      <c r="EL10" s="14">
        <f t="shared" si="45"/>
        <v>1.6251531926949223</v>
      </c>
      <c r="EM10" s="22">
        <f t="shared" si="19"/>
        <v>10.081689817520575</v>
      </c>
      <c r="EN10" s="60">
        <f t="shared" si="20"/>
        <v>194.20587075325682</v>
      </c>
      <c r="EO10" s="60">
        <f ca="1">AVERAGE(OFFSET($EN$3,0,0,'Données projet'!$E$15+1,1))-AVERAGE(OFFSET($H$3,0,0,'Données projet'!$E$15+1,1))</f>
        <v>344.62096650402731</v>
      </c>
      <c r="EP10" s="60">
        <f t="shared" si="46"/>
        <v>277.30931495079346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2.4933333333333332</v>
      </c>
      <c r="FE10" s="13">
        <f>IF('Données projet'!$A$218&gt;35,FE9+FD10-FM9,IF(A10&lt;'Données projet'!$A$218,$FB$205^A10,IF(A10='Données projet'!$A$218,'Données projet'!$B$218,FE9+FD10-FM9)))</f>
        <v>5.4200931160999835</v>
      </c>
      <c r="FF10" s="18">
        <f>FE10*VLOOKUP('Données projet'!$B$16,Paramètres!$A$1:$I$89,3,0)*VLOOKUP('Données projet'!$B$16,Paramètres!$A$1:$I$89,5,0)</f>
        <v>4.7349933462249458</v>
      </c>
      <c r="FG10" s="14">
        <f t="shared" si="47"/>
        <v>1.8208084613561826</v>
      </c>
      <c r="FH10" s="22">
        <f t="shared" si="22"/>
        <v>11.418021481537131</v>
      </c>
      <c r="FI10" s="60">
        <f t="shared" si="23"/>
        <v>195.54220241727336</v>
      </c>
      <c r="FJ10" s="60">
        <f ca="1">AVERAGE(OFFSET($FI$3,0,0,'Données projet'!$E$16+1,1))-AVERAGE(OFFSET($H$3,0,0,'Données projet'!$E$16+1,1))</f>
        <v>363.28611056308665</v>
      </c>
      <c r="FK10" s="60">
        <f t="shared" si="48"/>
        <v>389.43647559455974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3.982088802090022</v>
      </c>
      <c r="GB10" s="14">
        <f t="shared" si="49"/>
        <v>1.5624642602705792</v>
      </c>
      <c r="GC10" s="22">
        <f t="shared" si="25"/>
        <v>9.6567632502780452</v>
      </c>
      <c r="GD10" s="60">
        <f t="shared" si="26"/>
        <v>193.78094418601427</v>
      </c>
      <c r="GE10" s="60">
        <f ca="1">AVERAGE(OFFSET($GD$3,0,0,'Données projet'!$E$17+1,1))-AVERAGE(OFFSET($H$3,0,0,'Données projet'!$E$17+1,1))</f>
        <v>542.90832990875208</v>
      </c>
      <c r="GF10" s="60">
        <f t="shared" si="50"/>
        <v>304.94365539329362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2.4933333333333332</v>
      </c>
      <c r="N11" s="14">
        <f>IF('Données projet'!$A$36&gt;35,N10+M11-V10,IF(A11&lt;'Données projet'!$A$36,$K$205^A11,IF(A11='Données projet'!$A$36,'Données projet'!$B$36,N10+M11-V10)))</f>
        <v>6.9002504567506522</v>
      </c>
      <c r="O11" s="14">
        <f>N11*VLOOKUP('Données projet'!$B$9,Paramètres!$A$1:$I$89,3,0)*VLOOKUP('Données projet'!$B$9,Paramètres!$A$1:$I$89,5,0)</f>
        <v>5.4898392633908193</v>
      </c>
      <c r="P11" s="14">
        <f t="shared" si="33"/>
        <v>2.0750422939399171</v>
      </c>
      <c r="Q11" s="22">
        <f t="shared" si="2"/>
        <v>13.175502045684366</v>
      </c>
      <c r="R11" s="60">
        <f t="shared" si="0"/>
        <v>199.92877491190492</v>
      </c>
      <c r="S11" s="60">
        <f ca="1">AVERAGE(OFFSET($R$3,0,0,'Données projet'!$E$9+1,1))-AVERAGE(OFFSET($H$3,0,0,'Données projet'!$E$9+1,1))</f>
        <v>336.25341821407534</v>
      </c>
      <c r="T11" s="60">
        <f t="shared" si="34"/>
        <v>360.3246221345039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197.67412159271069</v>
      </c>
      <c r="AN11" s="60">
        <f ca="1">AVERAGE(OFFSET($AM$3,0,0,'Données projet'!$E$10+1,1))-AVERAGE(OFFSET($H$3,0,0,'Données projet'!$E$10+1,1))</f>
        <v>516.30971934066179</v>
      </c>
      <c r="AO11" s="60">
        <f t="shared" si="36"/>
        <v>290.84286505723571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0">
        <f t="shared" si="8"/>
        <v>199.92877491190492</v>
      </c>
      <c r="BI11" s="60">
        <f ca="1">AVERAGE(OFFSET($BH$3,0,0,'Données projet'!$E$11+1,1))-AVERAGE(OFFSET($H$3,0,0,'Données projet'!$E$11+1,1))</f>
        <v>336.25341821407534</v>
      </c>
      <c r="BJ11" s="60">
        <f t="shared" si="38"/>
        <v>360.3246221345039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2.4358974358974361</v>
      </c>
      <c r="BY11" s="13">
        <f>IF('Données projet'!$A$114&gt;35,BY10+BX11-CG10,IF(A11&lt;'Données projet'!$A$114,$BV$205^A11,IF(A11='Données projet'!$A$114,'Données projet'!$B$114,BY10+BX11-CG10)))</f>
        <v>6.815014809173471</v>
      </c>
      <c r="BZ11" s="14">
        <f>BY11*VLOOKUP('Données projet'!$B$12,Paramètres!$A$1:$I$89,3,0)*VLOOKUP('Données projet'!$B$12,Paramètres!$A$1:$I$89,5,0)</f>
        <v>6.4851680924094746</v>
      </c>
      <c r="CA11" s="14">
        <f t="shared" si="39"/>
        <v>2.4041727487208409</v>
      </c>
      <c r="CB11" s="22">
        <f t="shared" si="10"/>
        <v>15.4822686316353</v>
      </c>
      <c r="CC11" s="60">
        <f t="shared" si="11"/>
        <v>202.23554149785585</v>
      </c>
      <c r="CD11" s="60">
        <f ca="1">AVERAGE(OFFSET($CC$3,0,0,'Données projet'!$E$12+1,1))-AVERAGE(OFFSET($H$3,0,0,'Données projet'!$E$12+1,1))</f>
        <v>398.29746143975166</v>
      </c>
      <c r="CE11" s="60">
        <f t="shared" si="40"/>
        <v>300.63705521148802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4.3133629540748091</v>
      </c>
      <c r="CV11" s="14">
        <f t="shared" si="41"/>
        <v>1.6767776864592203</v>
      </c>
      <c r="CW11" s="22">
        <f t="shared" si="13"/>
        <v>10.432828282263435</v>
      </c>
      <c r="CX11" s="60">
        <f t="shared" si="14"/>
        <v>197.186101148484</v>
      </c>
      <c r="CY11" s="60">
        <f ca="1">AVERAGE(OFFSET($CX$3,0,0,'Données projet'!$E$13+1,1))-AVERAGE(OFFSET($H$3,0,0,'Données projet'!$E$13+1,1))</f>
        <v>496.33873798282525</v>
      </c>
      <c r="CZ11" s="60">
        <f t="shared" si="42"/>
        <v>280.25465074992246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0">
        <f t="shared" si="17"/>
        <v>200.13499008101996</v>
      </c>
      <c r="DT11" s="60">
        <f ca="1">AVERAGE(OFFSET($DS$3,0,0,'Données projet'!$E$14+1,1))-AVERAGE(OFFSET($H$3,0,0,'Données projet'!$E$14+1,1))</f>
        <v>312.59632808777332</v>
      </c>
      <c r="DU11" s="60">
        <f t="shared" si="44"/>
        <v>302.59481222418219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3.3333333333333335</v>
      </c>
      <c r="EJ11" s="13">
        <f>IF('Données projet'!$A$192&gt;35,EJ10+EI11-ER10,IF(A11&lt;'Données projet'!$A$192,$EG$205^A11,IF(A11='Données projet'!$A$192,'Données projet'!$B$192,EJ10+EI11-ER10)))</f>
        <v>8.0559606396516319</v>
      </c>
      <c r="EK11" s="18">
        <f>EJ11*VLOOKUP('Données projet'!$B$15,Paramètres!$A$1:$I$89,3,0)*VLOOKUP('Données projet'!$B$15,Paramètres!$A$1:$I$89,5,0)</f>
        <v>5.4039383970783144</v>
      </c>
      <c r="EL11" s="14">
        <f t="shared" si="45"/>
        <v>2.0463266728603036</v>
      </c>
      <c r="EM11" s="22">
        <f t="shared" si="19"/>
        <v>12.975878330143091</v>
      </c>
      <c r="EN11" s="60">
        <f t="shared" si="20"/>
        <v>199.72915119636366</v>
      </c>
      <c r="EO11" s="60">
        <f ca="1">AVERAGE(OFFSET($EN$3,0,0,'Données projet'!$E$15+1,1))-AVERAGE(OFFSET($H$3,0,0,'Données projet'!$E$15+1,1))</f>
        <v>344.62096650402731</v>
      </c>
      <c r="EP11" s="60">
        <f t="shared" si="46"/>
        <v>277.30931495079346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2.4933333333333332</v>
      </c>
      <c r="FE11" s="13">
        <f>IF('Données projet'!$A$218&gt;35,FE10+FD11-FM10,IF(A11&lt;'Données projet'!$A$218,$FB$205^A11,IF(A11='Données projet'!$A$218,'Données projet'!$B$218,FE10+FD11-FM10)))</f>
        <v>6.9002504567506522</v>
      </c>
      <c r="FF11" s="18">
        <f>FE11*VLOOKUP('Données projet'!$B$16,Paramètres!$A$1:$I$89,3,0)*VLOOKUP('Données projet'!$B$16,Paramètres!$A$1:$I$89,5,0)</f>
        <v>6.0280587990173711</v>
      </c>
      <c r="FG11" s="14">
        <f t="shared" si="47"/>
        <v>2.2538078441816265</v>
      </c>
      <c r="FH11" s="22">
        <f t="shared" si="22"/>
        <v>14.424251070238251</v>
      </c>
      <c r="FI11" s="60">
        <f t="shared" si="23"/>
        <v>201.17752393645881</v>
      </c>
      <c r="FJ11" s="60">
        <f ca="1">AVERAGE(OFFSET($FI$3,0,0,'Données projet'!$E$16+1,1))-AVERAGE(OFFSET($H$3,0,0,'Données projet'!$E$16+1,1))</f>
        <v>363.28611056308665</v>
      </c>
      <c r="FK11" s="60">
        <f t="shared" si="48"/>
        <v>389.43647559455974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4.8003555456638995</v>
      </c>
      <c r="GB11" s="14">
        <f t="shared" si="49"/>
        <v>1.8429996203200378</v>
      </c>
      <c r="GC11" s="22">
        <f t="shared" si="25"/>
        <v>11.570510247422023</v>
      </c>
      <c r="GD11" s="60">
        <f t="shared" si="26"/>
        <v>198.32378311364258</v>
      </c>
      <c r="GE11" s="60">
        <f ca="1">AVERAGE(OFFSET($GD$3,0,0,'Données projet'!$E$17+1,1))-AVERAGE(OFFSET($H$3,0,0,'Données projet'!$E$17+1,1))</f>
        <v>542.90832990875208</v>
      </c>
      <c r="GF11" s="60">
        <f t="shared" si="50"/>
        <v>304.94365539329362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2.4933333333333332</v>
      </c>
      <c r="N12" s="14">
        <f>IF('Données projet'!$A$36&gt;35,N11+M12-V11,IF(A12&lt;'Données projet'!$A$36,$K$205^A12,IF(A12='Données projet'!$A$36,'Données projet'!$B$36,N11+M12-V11)))</f>
        <v>8.784619626636184</v>
      </c>
      <c r="O12" s="14">
        <f>N12*VLOOKUP('Données projet'!$B$9,Paramètres!$A$1:$I$89,3,0)*VLOOKUP('Données projet'!$B$9,Paramètres!$A$1:$I$89,5,0)</f>
        <v>6.9890433749517484</v>
      </c>
      <c r="P12" s="14">
        <f t="shared" si="33"/>
        <v>2.5685000363009434</v>
      </c>
      <c r="Q12" s="22">
        <f t="shared" si="2"/>
        <v>16.646054774598436</v>
      </c>
      <c r="R12" s="60">
        <f t="shared" si="0"/>
        <v>206.00401352715451</v>
      </c>
      <c r="S12" s="60">
        <f ca="1">AVERAGE(OFFSET($R$3,0,0,'Données projet'!$E$9+1,1))-AVERAGE(OFFSET($H$3,0,0,'Données projet'!$E$9+1,1))</f>
        <v>336.25341821407534</v>
      </c>
      <c r="T12" s="60">
        <f t="shared" si="34"/>
        <v>360.3246221345039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202.44391287603133</v>
      </c>
      <c r="AN12" s="60">
        <f ca="1">AVERAGE(OFFSET($AM$3,0,0,'Données projet'!$E$10+1,1))-AVERAGE(OFFSET($H$3,0,0,'Données projet'!$E$10+1,1))</f>
        <v>516.30971934066179</v>
      </c>
      <c r="AO12" s="60">
        <f t="shared" si="36"/>
        <v>290.84286505723571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0">
        <f t="shared" si="8"/>
        <v>206.00401352715451</v>
      </c>
      <c r="BI12" s="60">
        <f ca="1">AVERAGE(OFFSET($BH$3,0,0,'Données projet'!$E$11+1,1))-AVERAGE(OFFSET($H$3,0,0,'Données projet'!$E$11+1,1))</f>
        <v>336.25341821407534</v>
      </c>
      <c r="BJ12" s="60">
        <f t="shared" si="38"/>
        <v>360.3246221345039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2.4358974358974361</v>
      </c>
      <c r="BY12" s="13">
        <f>IF('Données projet'!$A$114&gt;35,BY11+BX12-CG11,IF(A12&lt;'Données projet'!$A$114,$BV$205^A12,IF(A12='Données projet'!$A$114,'Données projet'!$B$114,BY11+BX12-CG11)))</f>
        <v>8.6626377645391397</v>
      </c>
      <c r="BZ12" s="14">
        <f>BY12*VLOOKUP('Données projet'!$B$12,Paramètres!$A$1:$I$89,3,0)*VLOOKUP('Données projet'!$B$12,Paramètres!$A$1:$I$89,5,0)</f>
        <v>8.2433660967354445</v>
      </c>
      <c r="CA12" s="14">
        <f t="shared" si="39"/>
        <v>2.9718171087795939</v>
      </c>
      <c r="CB12" s="22">
        <f t="shared" si="10"/>
        <v>19.53311074960536</v>
      </c>
      <c r="CC12" s="60">
        <f t="shared" si="11"/>
        <v>208.89106950216143</v>
      </c>
      <c r="CD12" s="60">
        <f ca="1">AVERAGE(OFFSET($CC$3,0,0,'Données projet'!$E$12+1,1))-AVERAGE(OFFSET($H$3,0,0,'Données projet'!$E$12+1,1))</f>
        <v>398.29746143975166</v>
      </c>
      <c r="CE12" s="60">
        <f t="shared" si="40"/>
        <v>300.63705521148802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5.1997021679141717</v>
      </c>
      <c r="CV12" s="14">
        <f t="shared" si="41"/>
        <v>1.977837649208241</v>
      </c>
      <c r="CW12" s="22">
        <f t="shared" si="13"/>
        <v>12.500881848154869</v>
      </c>
      <c r="CX12" s="60">
        <f t="shared" si="14"/>
        <v>201.85884060071095</v>
      </c>
      <c r="CY12" s="60">
        <f ca="1">AVERAGE(OFFSET($CX$3,0,0,'Données projet'!$E$13+1,1))-AVERAGE(OFFSET($H$3,0,0,'Données projet'!$E$13+1,1))</f>
        <v>496.33873798282525</v>
      </c>
      <c r="CZ12" s="60">
        <f t="shared" si="42"/>
        <v>280.25465074992246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0">
        <f t="shared" si="17"/>
        <v>206.33826886995783</v>
      </c>
      <c r="DT12" s="60">
        <f ca="1">AVERAGE(OFFSET($DS$3,0,0,'Données projet'!$E$14+1,1))-AVERAGE(OFFSET($H$3,0,0,'Données projet'!$E$14+1,1))</f>
        <v>312.59632808777332</v>
      </c>
      <c r="DU12" s="60">
        <f t="shared" si="44"/>
        <v>302.59481222418219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3.3333333333333335</v>
      </c>
      <c r="EJ12" s="13">
        <f>IF('Données projet'!$A$192&gt;35,EJ11+EI12-ER11,IF(A12&lt;'Données projet'!$A$192,$EG$205^A12,IF(A12='Données projet'!$A$192,'Données projet'!$B$192,EJ11+EI12-ER11)))</f>
        <v>10.456395525912733</v>
      </c>
      <c r="EK12" s="18">
        <f>EJ12*VLOOKUP('Données projet'!$B$15,Paramètres!$A$1:$I$89,3,0)*VLOOKUP('Données projet'!$B$15,Paramètres!$A$1:$I$89,5,0)</f>
        <v>7.0141501187822621</v>
      </c>
      <c r="EL12" s="14">
        <f t="shared" si="45"/>
        <v>2.5766511556462244</v>
      </c>
      <c r="EM12" s="22">
        <f t="shared" si="19"/>
        <v>16.70397888629628</v>
      </c>
      <c r="EN12" s="60">
        <f t="shared" si="20"/>
        <v>206.06193763885236</v>
      </c>
      <c r="EO12" s="60">
        <f ca="1">AVERAGE(OFFSET($EN$3,0,0,'Données projet'!$E$15+1,1))-AVERAGE(OFFSET($H$3,0,0,'Données projet'!$E$15+1,1))</f>
        <v>344.62096650402731</v>
      </c>
      <c r="EP12" s="60">
        <f t="shared" si="46"/>
        <v>277.30931495079346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2.4933333333333332</v>
      </c>
      <c r="FE12" s="13">
        <f>IF('Données projet'!$A$218&gt;35,FE11+FD12-FM11,IF(A12&lt;'Données projet'!$A$218,$FB$205^A12,IF(A12='Données projet'!$A$218,'Données projet'!$B$218,FE11+FD12-FM11)))</f>
        <v>8.784619626636184</v>
      </c>
      <c r="FF12" s="18">
        <f>FE12*VLOOKUP('Données projet'!$B$16,Paramètres!$A$1:$I$89,3,0)*VLOOKUP('Données projet'!$B$16,Paramètres!$A$1:$I$89,5,0)</f>
        <v>7.6742437058293707</v>
      </c>
      <c r="FG12" s="14">
        <f t="shared" si="47"/>
        <v>2.7897771271950154</v>
      </c>
      <c r="FH12" s="22">
        <f t="shared" si="22"/>
        <v>18.224836284184136</v>
      </c>
      <c r="FI12" s="60">
        <f t="shared" si="23"/>
        <v>207.58279503674021</v>
      </c>
      <c r="FJ12" s="60">
        <f ca="1">AVERAGE(OFFSET($FI$3,0,0,'Données projet'!$E$16+1,1))-AVERAGE(OFFSET($H$3,0,0,'Données projet'!$E$16+1,1))</f>
        <v>363.28611056308665</v>
      </c>
      <c r="FK12" s="60">
        <f t="shared" si="48"/>
        <v>389.43647559455974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5.7867653159044812</v>
      </c>
      <c r="GB12" s="14">
        <f t="shared" si="49"/>
        <v>2.1739041889582755</v>
      </c>
      <c r="GC12" s="22">
        <f t="shared" si="25"/>
        <v>13.864832720969302</v>
      </c>
      <c r="GD12" s="60">
        <f t="shared" si="26"/>
        <v>203.22279147352538</v>
      </c>
      <c r="GE12" s="60">
        <f ca="1">AVERAGE(OFFSET($GD$3,0,0,'Données projet'!$E$17+1,1))-AVERAGE(OFFSET($H$3,0,0,'Données projet'!$E$17+1,1))</f>
        <v>542.90832990875208</v>
      </c>
      <c r="GF12" s="60">
        <f t="shared" si="50"/>
        <v>304.94365539329362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2.4933333333333332</v>
      </c>
      <c r="N13" s="14">
        <f>IF('Données projet'!$A$36&gt;35,N12+M13-V12,IF(A13&lt;'Données projet'!$A$36,$K$205^A13,IF(A13='Données projet'!$A$36,'Données projet'!$B$36,N12+M13-V12)))</f>
        <v>11.183585649298445</v>
      </c>
      <c r="O13" s="14">
        <f>N13*VLOOKUP('Données projet'!$B$9,Paramètres!$A$1:$I$89,3,0)*VLOOKUP('Données projet'!$B$9,Paramètres!$A$1:$I$89,5,0)</f>
        <v>8.8976607425818433</v>
      </c>
      <c r="P13" s="14">
        <f t="shared" si="33"/>
        <v>3.1793050463331762</v>
      </c>
      <c r="Q13" s="22">
        <f t="shared" si="2"/>
        <v>21.03404874902699</v>
      </c>
      <c r="R13" s="60">
        <f t="shared" si="0"/>
        <v>212.97271073407188</v>
      </c>
      <c r="S13" s="60">
        <f ca="1">AVERAGE(OFFSET($R$3,0,0,'Données projet'!$E$9+1,1))-AVERAGE(OFFSET($H$3,0,0,'Données projet'!$E$9+1,1))</f>
        <v>336.25341821407534</v>
      </c>
      <c r="T13" s="60">
        <f t="shared" si="34"/>
        <v>360.3246221345039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207.62044061408039</v>
      </c>
      <c r="AN13" s="60">
        <f ca="1">AVERAGE(OFFSET($AM$3,0,0,'Données projet'!$E$10+1,1))-AVERAGE(OFFSET($H$3,0,0,'Données projet'!$E$10+1,1))</f>
        <v>516.30971934066179</v>
      </c>
      <c r="AO13" s="60">
        <f t="shared" si="36"/>
        <v>290.84286505723571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0">
        <f t="shared" si="8"/>
        <v>212.97271073407188</v>
      </c>
      <c r="BI13" s="60">
        <f ca="1">AVERAGE(OFFSET($BH$3,0,0,'Données projet'!$E$11+1,1))-AVERAGE(OFFSET($H$3,0,0,'Données projet'!$E$11+1,1))</f>
        <v>336.25341821407534</v>
      </c>
      <c r="BJ13" s="60">
        <f t="shared" si="38"/>
        <v>360.3246221345039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2.4358974358974361</v>
      </c>
      <c r="BY13" s="13">
        <f>IF('Données projet'!$A$114&gt;35,BY12+BX13-CG12,IF(A13&lt;'Données projet'!$A$114,$BV$205^A13,IF(A13='Données projet'!$A$114,'Données projet'!$B$114,BY12+BX13-CG12)))</f>
        <v>11.011170942520771</v>
      </c>
      <c r="BZ13" s="14">
        <f>BY13*VLOOKUP('Données projet'!$B$12,Paramètres!$A$1:$I$89,3,0)*VLOOKUP('Données projet'!$B$12,Paramètres!$A$1:$I$89,5,0)</f>
        <v>10.478230268902767</v>
      </c>
      <c r="CA13" s="14">
        <f t="shared" si="39"/>
        <v>3.67348682940279</v>
      </c>
      <c r="CB13" s="22">
        <f t="shared" si="10"/>
        <v>24.647573946215513</v>
      </c>
      <c r="CC13" s="60">
        <f t="shared" si="11"/>
        <v>216.5862359312604</v>
      </c>
      <c r="CD13" s="60">
        <f ca="1">AVERAGE(OFFSET($CC$3,0,0,'Données projet'!$E$12+1,1))-AVERAGE(OFFSET($H$3,0,0,'Données projet'!$E$12+1,1))</f>
        <v>398.29746143975166</v>
      </c>
      <c r="CE13" s="60">
        <f t="shared" si="40"/>
        <v>300.63705521148802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6.2681724035000874</v>
      </c>
      <c r="CV13" s="14">
        <f t="shared" si="41"/>
        <v>2.3329519459947301</v>
      </c>
      <c r="CW13" s="22">
        <f t="shared" si="13"/>
        <v>14.98029157537014</v>
      </c>
      <c r="CX13" s="60">
        <f t="shared" si="14"/>
        <v>206.91895356041502</v>
      </c>
      <c r="CY13" s="60">
        <f ca="1">AVERAGE(OFFSET($CX$3,0,0,'Données projet'!$E$13+1,1))-AVERAGE(OFFSET($H$3,0,0,'Données projet'!$E$13+1,1))</f>
        <v>496.33873798282525</v>
      </c>
      <c r="CZ13" s="60">
        <f t="shared" si="42"/>
        <v>280.25465074992246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0">
        <f t="shared" si="17"/>
        <v>213.48875977378654</v>
      </c>
      <c r="DT13" s="60">
        <f ca="1">AVERAGE(OFFSET($DS$3,0,0,'Données projet'!$E$14+1,1))-AVERAGE(OFFSET($H$3,0,0,'Données projet'!$E$14+1,1))</f>
        <v>312.59632808777332</v>
      </c>
      <c r="DU13" s="60">
        <f t="shared" si="44"/>
        <v>302.59481222418219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3.3333333333333335</v>
      </c>
      <c r="EJ13" s="13">
        <f>IF('Données projet'!$A$192&gt;35,EJ12+EI13-ER12,IF(A13&lt;'Données projet'!$A$192,$EG$205^A13,IF(A13='Données projet'!$A$192,'Données projet'!$B$192,EJ12+EI13-ER12)))</f>
        <v>13.572088082974533</v>
      </c>
      <c r="EK13" s="18">
        <f>EJ13*VLOOKUP('Données projet'!$B$15,Paramètres!$A$1:$I$89,3,0)*VLOOKUP('Données projet'!$B$15,Paramètres!$A$1:$I$89,5,0)</f>
        <v>9.1041566860593175</v>
      </c>
      <c r="EL13" s="14">
        <f t="shared" si="45"/>
        <v>3.2444141328681457</v>
      </c>
      <c r="EM13" s="22">
        <f t="shared" si="19"/>
        <v>21.507094176298665</v>
      </c>
      <c r="EN13" s="60">
        <f t="shared" si="20"/>
        <v>213.44575616134355</v>
      </c>
      <c r="EO13" s="60">
        <f ca="1">AVERAGE(OFFSET($EN$3,0,0,'Données projet'!$E$15+1,1))-AVERAGE(OFFSET($H$3,0,0,'Données projet'!$E$15+1,1))</f>
        <v>344.62096650402731</v>
      </c>
      <c r="EP13" s="60">
        <f t="shared" si="46"/>
        <v>277.30931495079346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2.4933333333333332</v>
      </c>
      <c r="FE13" s="13">
        <f>IF('Données projet'!$A$218&gt;35,FE12+FD13-FM12,IF(A13&lt;'Données projet'!$A$218,$FB$205^A13,IF(A13='Données projet'!$A$218,'Données projet'!$B$218,FE12+FD13-FM12)))</f>
        <v>11.183585649298445</v>
      </c>
      <c r="FF13" s="18">
        <f>FE13*VLOOKUP('Données projet'!$B$16,Paramètres!$A$1:$I$89,3,0)*VLOOKUP('Données projet'!$B$16,Paramètres!$A$1:$I$89,5,0)</f>
        <v>9.769980423227123</v>
      </c>
      <c r="FG13" s="14">
        <f t="shared" si="47"/>
        <v>3.4532031821224263</v>
      </c>
      <c r="FH13" s="22">
        <f t="shared" si="22"/>
        <v>23.030378112650464</v>
      </c>
      <c r="FI13" s="60">
        <f t="shared" si="23"/>
        <v>214.96904009769534</v>
      </c>
      <c r="FJ13" s="60">
        <f ca="1">AVERAGE(OFFSET($FI$3,0,0,'Données projet'!$E$16+1,1))-AVERAGE(OFFSET($H$3,0,0,'Données projet'!$E$16+1,1))</f>
        <v>363.28611056308665</v>
      </c>
      <c r="FK13" s="60">
        <f t="shared" si="48"/>
        <v>389.43647559455974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6.9758692877662263</v>
      </c>
      <c r="GB13" s="14">
        <f t="shared" si="49"/>
        <v>2.5642215932468222</v>
      </c>
      <c r="GC13" s="22">
        <f t="shared" si="25"/>
        <v>16.61565828443106</v>
      </c>
      <c r="GD13" s="60">
        <f t="shared" si="26"/>
        <v>208.55432026947594</v>
      </c>
      <c r="GE13" s="60">
        <f ca="1">AVERAGE(OFFSET($GD$3,0,0,'Données projet'!$E$17+1,1))-AVERAGE(OFFSET($H$3,0,0,'Données projet'!$E$17+1,1))</f>
        <v>542.90832990875208</v>
      </c>
      <c r="GF13" s="60">
        <f t="shared" si="50"/>
        <v>304.94365539329362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2.4933333333333332</v>
      </c>
      <c r="N14" s="14">
        <f>IF('Données projet'!$A$36&gt;35,N13+M14-V13,IF(A14&lt;'Données projet'!$A$36,$K$205^A14,IF(A14='Données projet'!$A$36,'Données projet'!$B$36,N13+M14-V13)))</f>
        <v>14.237678270776428</v>
      </c>
      <c r="O14" s="14">
        <f>N14*VLOOKUP('Données projet'!$B$9,Paramètres!$A$1:$I$89,3,0)*VLOOKUP('Données projet'!$B$9,Paramètres!$A$1:$I$89,5,0)</f>
        <v>11.327496832229725</v>
      </c>
      <c r="P14" s="14">
        <f t="shared" si="33"/>
        <v>3.9353632216399443</v>
      </c>
      <c r="Q14" s="22">
        <f t="shared" si="2"/>
        <v>26.582814593823006</v>
      </c>
      <c r="R14" s="60">
        <f t="shared" si="0"/>
        <v>221.07861320293713</v>
      </c>
      <c r="S14" s="60">
        <f ca="1">AVERAGE(OFFSET($R$3,0,0,'Données projet'!$E$9+1,1))-AVERAGE(OFFSET($H$3,0,0,'Données projet'!$E$9+1,1))</f>
        <v>336.25341821407534</v>
      </c>
      <c r="T14" s="60">
        <f t="shared" si="34"/>
        <v>360.3246221345039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213.29008170735133</v>
      </c>
      <c r="AN14" s="60">
        <f ca="1">AVERAGE(OFFSET($AM$3,0,0,'Données projet'!$E$10+1,1))-AVERAGE(OFFSET($H$3,0,0,'Données projet'!$E$10+1,1))</f>
        <v>516.30971934066179</v>
      </c>
      <c r="AO14" s="60">
        <f t="shared" si="36"/>
        <v>290.84286505723571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0">
        <f t="shared" si="8"/>
        <v>221.07861320293713</v>
      </c>
      <c r="BI14" s="60">
        <f ca="1">AVERAGE(OFFSET($BH$3,0,0,'Données projet'!$E$11+1,1))-AVERAGE(OFFSET($H$3,0,0,'Données projet'!$E$11+1,1))</f>
        <v>336.25341821407534</v>
      </c>
      <c r="BJ14" s="60">
        <f t="shared" si="38"/>
        <v>360.3246221345039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2.4358974358974361</v>
      </c>
      <c r="BY14" s="13">
        <f>IF('Données projet'!$A$114&gt;35,BY13+BX14-CG13,IF(A14&lt;'Données projet'!$A$114,$BV$205^A14,IF(A14='Données projet'!$A$114,'Données projet'!$B$114,BY13+BX14-CG13)))</f>
        <v>13.996416428924077</v>
      </c>
      <c r="BZ14" s="14">
        <f>BY14*VLOOKUP('Données projet'!$B$12,Paramètres!$A$1:$I$89,3,0)*VLOOKUP('Données projet'!$B$12,Paramètres!$A$1:$I$89,5,0)</f>
        <v>13.318989873764153</v>
      </c>
      <c r="CA14" s="14">
        <f t="shared" si="39"/>
        <v>4.5408263671169857</v>
      </c>
      <c r="CB14" s="22">
        <f t="shared" si="10"/>
        <v>31.105846619534645</v>
      </c>
      <c r="CC14" s="60">
        <f t="shared" si="11"/>
        <v>225.60164522864878</v>
      </c>
      <c r="CD14" s="60">
        <f ca="1">AVERAGE(OFFSET($CC$3,0,0,'Données projet'!$E$12+1,1))-AVERAGE(OFFSET($H$3,0,0,'Données projet'!$E$12+1,1))</f>
        <v>398.29746143975166</v>
      </c>
      <c r="CE14" s="60">
        <f t="shared" si="40"/>
        <v>300.63705521148802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7.5561991843392455</v>
      </c>
      <c r="CV14" s="14">
        <f t="shared" si="41"/>
        <v>2.7518258561310041</v>
      </c>
      <c r="CW14" s="22">
        <f t="shared" si="13"/>
        <v>17.953143612152349</v>
      </c>
      <c r="CX14" s="60">
        <f t="shared" si="14"/>
        <v>212.44894222126649</v>
      </c>
      <c r="CY14" s="60">
        <f ca="1">AVERAGE(OFFSET($CX$3,0,0,'Données projet'!$E$13+1,1))-AVERAGE(OFFSET($H$3,0,0,'Données projet'!$E$13+1,1))</f>
        <v>496.33873798282525</v>
      </c>
      <c r="CZ14" s="60">
        <f t="shared" si="42"/>
        <v>280.25465074992246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0">
        <f t="shared" si="17"/>
        <v>221.84985885474788</v>
      </c>
      <c r="DT14" s="60">
        <f ca="1">AVERAGE(OFFSET($DS$3,0,0,'Données projet'!$E$14+1,1))-AVERAGE(OFFSET($H$3,0,0,'Données projet'!$E$14+1,1))</f>
        <v>312.59632808777332</v>
      </c>
      <c r="DU14" s="60">
        <f t="shared" si="44"/>
        <v>302.59481222418219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3.3333333333333335</v>
      </c>
      <c r="EJ14" s="13">
        <f>IF('Données projet'!$A$192&gt;35,EJ13+EI14-ER13,IF(A14&lt;'Données projet'!$A$192,$EG$205^A14,IF(A14='Données projet'!$A$192,'Données projet'!$B$192,EJ13+EI14-ER13)))</f>
        <v>17.616163665149852</v>
      </c>
      <c r="EK14" s="18">
        <f>EJ14*VLOOKUP('Données projet'!$B$15,Paramètres!$A$1:$I$89,3,0)*VLOOKUP('Données projet'!$B$15,Paramètres!$A$1:$I$89,5,0)</f>
        <v>11.816922586582521</v>
      </c>
      <c r="EL14" s="14">
        <f t="shared" si="45"/>
        <v>4.0852340614632361</v>
      </c>
      <c r="EM14" s="22">
        <f t="shared" si="19"/>
        <v>27.696256162013025</v>
      </c>
      <c r="EN14" s="60">
        <f t="shared" si="20"/>
        <v>222.19205477112715</v>
      </c>
      <c r="EO14" s="60">
        <f ca="1">AVERAGE(OFFSET($EN$3,0,0,'Données projet'!$E$15+1,1))-AVERAGE(OFFSET($H$3,0,0,'Données projet'!$E$15+1,1))</f>
        <v>344.62096650402731</v>
      </c>
      <c r="EP14" s="60">
        <f t="shared" si="46"/>
        <v>277.30931495079346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2.4933333333333332</v>
      </c>
      <c r="FE14" s="13">
        <f>IF('Données projet'!$A$218&gt;35,FE13+FD14-FM13,IF(A14&lt;'Données projet'!$A$218,$FB$205^A14,IF(A14='Données projet'!$A$218,'Données projet'!$B$218,FE13+FD14-FM13)))</f>
        <v>14.237678270776428</v>
      </c>
      <c r="FF14" s="18">
        <f>FE14*VLOOKUP('Données projet'!$B$16,Paramètres!$A$1:$I$89,3,0)*VLOOKUP('Données projet'!$B$16,Paramètres!$A$1:$I$89,5,0)</f>
        <v>12.438035737350289</v>
      </c>
      <c r="FG14" s="14">
        <f t="shared" si="47"/>
        <v>4.2743960084761534</v>
      </c>
      <c r="FH14" s="22">
        <f t="shared" si="22"/>
        <v>29.10748529064772</v>
      </c>
      <c r="FI14" s="60">
        <f t="shared" si="23"/>
        <v>223.60328389976186</v>
      </c>
      <c r="FJ14" s="60">
        <f ca="1">AVERAGE(OFFSET($FI$3,0,0,'Données projet'!$E$16+1,1))-AVERAGE(OFFSET($H$3,0,0,'Données projet'!$E$16+1,1))</f>
        <v>363.28611056308665</v>
      </c>
      <c r="FK14" s="60">
        <f t="shared" si="48"/>
        <v>389.43647559455974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8.4093184470872249</v>
      </c>
      <c r="GB14" s="14">
        <f t="shared" si="49"/>
        <v>3.0246192139792929</v>
      </c>
      <c r="GC14" s="22">
        <f t="shared" si="25"/>
        <v>19.914108093024186</v>
      </c>
      <c r="GD14" s="60">
        <f t="shared" si="26"/>
        <v>214.40990670213833</v>
      </c>
      <c r="GE14" s="60">
        <f ca="1">AVERAGE(OFFSET($GD$3,0,0,'Données projet'!$E$17+1,1))-AVERAGE(OFFSET($H$3,0,0,'Données projet'!$E$17+1,1))</f>
        <v>542.90832990875208</v>
      </c>
      <c r="GF14" s="60">
        <f t="shared" si="50"/>
        <v>304.94365539329362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2.4933333333333332</v>
      </c>
      <c r="N15" s="14">
        <f>IF('Données projet'!$A$36&gt;35,N14+M15-V14,IF(A15&lt;'Données projet'!$A$36,$K$205^A15,IF(A15='Données projet'!$A$36,'Données projet'!$B$36,N14+M15-V14)))</f>
        <v>18.125804093506943</v>
      </c>
      <c r="O15" s="14">
        <f>N15*VLOOKUP('Données projet'!$B$9,Paramètres!$A$1:$I$89,3,0)*VLOOKUP('Données projet'!$B$9,Paramètres!$A$1:$I$89,5,0)</f>
        <v>14.420889736794125</v>
      </c>
      <c r="P15" s="14">
        <f t="shared" si="33"/>
        <v>4.8712166528651375</v>
      </c>
      <c r="Q15" s="22">
        <f t="shared" si="2"/>
        <v>33.600418628656548</v>
      </c>
      <c r="R15" s="60">
        <f t="shared" si="0"/>
        <v>230.63019608138941</v>
      </c>
      <c r="S15" s="60">
        <f ca="1">AVERAGE(OFFSET($R$3,0,0,'Données projet'!$E$9+1,1))-AVERAGE(OFFSET($H$3,0,0,'Données projet'!$E$9+1,1))</f>
        <v>336.25341821407534</v>
      </c>
      <c r="T15" s="60">
        <f t="shared" si="34"/>
        <v>360.3246221345039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219.55641249162716</v>
      </c>
      <c r="AN15" s="60">
        <f ca="1">AVERAGE(OFFSET($AM$3,0,0,'Données projet'!$E$10+1,1))-AVERAGE(OFFSET($H$3,0,0,'Données projet'!$E$10+1,1))</f>
        <v>516.30971934066179</v>
      </c>
      <c r="AO15" s="60">
        <f t="shared" si="36"/>
        <v>290.84286505723571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0">
        <f t="shared" si="8"/>
        <v>230.63019608138941</v>
      </c>
      <c r="BI15" s="60">
        <f ca="1">AVERAGE(OFFSET($BH$3,0,0,'Données projet'!$E$11+1,1))-AVERAGE(OFFSET($H$3,0,0,'Données projet'!$E$11+1,1))</f>
        <v>336.25341821407534</v>
      </c>
      <c r="BJ15" s="60">
        <f t="shared" si="38"/>
        <v>360.3246221345039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2.4358974358974361</v>
      </c>
      <c r="BY15" s="13">
        <f>IF('Données projet'!$A$114&gt;35,BY14+BX15-CG14,IF(A15&lt;'Données projet'!$A$114,$BV$205^A15,IF(A15='Données projet'!$A$114,'Données projet'!$B$114,BY14+BX15-CG14)))</f>
        <v>17.790993698532919</v>
      </c>
      <c r="BZ15" s="14">
        <f>BY15*VLOOKUP('Données projet'!$B$12,Paramètres!$A$1:$I$89,3,0)*VLOOKUP('Données projet'!$B$12,Paramètres!$A$1:$I$89,5,0)</f>
        <v>16.929909603523928</v>
      </c>
      <c r="CA15" s="14">
        <f t="shared" si="39"/>
        <v>5.6129516870098515</v>
      </c>
      <c r="CB15" s="22">
        <f t="shared" si="10"/>
        <v>39.262150081012997</v>
      </c>
      <c r="CC15" s="60">
        <f t="shared" si="11"/>
        <v>236.29192753374588</v>
      </c>
      <c r="CD15" s="60">
        <f ca="1">AVERAGE(OFFSET($CC$3,0,0,'Données projet'!$E$12+1,1))-AVERAGE(OFFSET($H$3,0,0,'Données projet'!$E$12+1,1))</f>
        <v>398.29746143975166</v>
      </c>
      <c r="CE15" s="60">
        <f t="shared" si="40"/>
        <v>300.63705521148802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9.1088984855501316</v>
      </c>
      <c r="CV15" s="14">
        <f t="shared" si="41"/>
        <v>3.2459072101643005</v>
      </c>
      <c r="CW15" s="22">
        <f t="shared" si="13"/>
        <v>21.517953253369303</v>
      </c>
      <c r="CX15" s="60">
        <f t="shared" si="14"/>
        <v>218.54773070610219</v>
      </c>
      <c r="CY15" s="60">
        <f ca="1">AVERAGE(OFFSET($CX$3,0,0,'Données projet'!$E$13+1,1))-AVERAGE(OFFSET($H$3,0,0,'Données projet'!$E$13+1,1))</f>
        <v>496.33873798282525</v>
      </c>
      <c r="CZ15" s="60">
        <f t="shared" si="42"/>
        <v>280.25465074992246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0">
        <f t="shared" si="17"/>
        <v>231.75638335816086</v>
      </c>
      <c r="DT15" s="60">
        <f ca="1">AVERAGE(OFFSET($DS$3,0,0,'Données projet'!$E$14+1,1))-AVERAGE(OFFSET($H$3,0,0,'Données projet'!$E$14+1,1))</f>
        <v>312.59632808777332</v>
      </c>
      <c r="DU15" s="60">
        <f t="shared" si="44"/>
        <v>302.59481222418219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3.3333333333333335</v>
      </c>
      <c r="EJ15" s="13">
        <f>IF('Données projet'!$A$192&gt;35,EJ14+EI15-ER14,IF(A15&lt;'Données projet'!$A$192,$EG$205^A15,IF(A15='Données projet'!$A$192,'Données projet'!$B$192,EJ14+EI15-ER14)))</f>
        <v>22.865252596366318</v>
      </c>
      <c r="EK15" s="18">
        <f>EJ15*VLOOKUP('Données projet'!$B$15,Paramètres!$A$1:$I$89,3,0)*VLOOKUP('Données projet'!$B$15,Paramètres!$A$1:$I$89,5,0)</f>
        <v>15.338011441642525</v>
      </c>
      <c r="EL15" s="14">
        <f t="shared" si="45"/>
        <v>5.1439602509023024</v>
      </c>
      <c r="EM15" s="22">
        <f t="shared" si="19"/>
        <v>35.672767364515572</v>
      </c>
      <c r="EN15" s="60">
        <f t="shared" si="20"/>
        <v>232.70254481724845</v>
      </c>
      <c r="EO15" s="60">
        <f ca="1">AVERAGE(OFFSET($EN$3,0,0,'Données projet'!$E$15+1,1))-AVERAGE(OFFSET($H$3,0,0,'Données projet'!$E$15+1,1))</f>
        <v>344.62096650402731</v>
      </c>
      <c r="EP15" s="60">
        <f t="shared" si="46"/>
        <v>277.30931495079346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2.4933333333333332</v>
      </c>
      <c r="FE15" s="13">
        <f>IF('Données projet'!$A$218&gt;35,FE14+FD15-FM14,IF(A15&lt;'Données projet'!$A$218,$FB$205^A15,IF(A15='Données projet'!$A$218,'Données projet'!$B$218,FE14+FD15-FM14)))</f>
        <v>18.125804093506943</v>
      </c>
      <c r="FF15" s="18">
        <f>FE15*VLOOKUP('Données projet'!$B$16,Paramètres!$A$1:$I$89,3,0)*VLOOKUP('Données projet'!$B$16,Paramètres!$A$1:$I$89,5,0)</f>
        <v>15.834702456087667</v>
      </c>
      <c r="FG15" s="14">
        <f t="shared" si="47"/>
        <v>5.2908735089394296</v>
      </c>
      <c r="FH15" s="22">
        <f t="shared" si="22"/>
        <v>36.793711472422189</v>
      </c>
      <c r="FI15" s="60">
        <f t="shared" si="23"/>
        <v>233.82348892515506</v>
      </c>
      <c r="FJ15" s="60">
        <f ca="1">AVERAGE(OFFSET($FI$3,0,0,'Données projet'!$E$16+1,1))-AVERAGE(OFFSET($H$3,0,0,'Données projet'!$E$16+1,1))</f>
        <v>363.28611056308665</v>
      </c>
      <c r="FK15" s="60">
        <f t="shared" si="48"/>
        <v>389.43647559455974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10.137322508112241</v>
      </c>
      <c r="GB15" s="14">
        <f t="shared" si="49"/>
        <v>3.5676797253661268</v>
      </c>
      <c r="GC15" s="22">
        <f t="shared" si="25"/>
        <v>23.869545556641487</v>
      </c>
      <c r="GD15" s="60">
        <f t="shared" si="26"/>
        <v>220.89932300937437</v>
      </c>
      <c r="GE15" s="60">
        <f ca="1">AVERAGE(OFFSET($GD$3,0,0,'Données projet'!$E$17+1,1))-AVERAGE(OFFSET($H$3,0,0,'Données projet'!$E$17+1,1))</f>
        <v>542.90832990875208</v>
      </c>
      <c r="GF15" s="60">
        <f t="shared" si="50"/>
        <v>304.94365539329362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2.4933333333333332</v>
      </c>
      <c r="N16" s="14">
        <f>IF('Données projet'!$A$36&gt;35,N15+M16-V15,IF(A16&lt;'Données projet'!$A$36,$K$205^A16,IF(A16='Données projet'!$A$36,'Données projet'!$B$36,N15+M16-V15)))</f>
        <v>23.075726799540639</v>
      </c>
      <c r="O16" s="14">
        <f>N16*VLOOKUP('Données projet'!$B$9,Paramètres!$A$1:$I$89,3,0)*VLOOKUP('Données projet'!$B$9,Paramètres!$A$1:$I$89,5,0)</f>
        <v>18.359048241714532</v>
      </c>
      <c r="P16" s="14">
        <f t="shared" si="33"/>
        <v>6.0296217509656884</v>
      </c>
      <c r="Q16" s="22">
        <f t="shared" si="2"/>
        <v>42.47693357058472</v>
      </c>
      <c r="R16" s="60">
        <f t="shared" si="0"/>
        <v>242.01793382220353</v>
      </c>
      <c r="S16" s="60">
        <f ca="1">AVERAGE(OFFSET($R$3,0,0,'Données projet'!$E$9+1,1))-AVERAGE(OFFSET($H$3,0,0,'Données projet'!$E$9+1,1))</f>
        <v>336.25341821407534</v>
      </c>
      <c r="T16" s="60">
        <f t="shared" si="34"/>
        <v>360.3246221345039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226.54366252015072</v>
      </c>
      <c r="AN16" s="60">
        <f ca="1">AVERAGE(OFFSET($AM$3,0,0,'Données projet'!$E$10+1,1))-AVERAGE(OFFSET($H$3,0,0,'Données projet'!$E$10+1,1))</f>
        <v>516.30971934066179</v>
      </c>
      <c r="AO16" s="60">
        <f t="shared" si="36"/>
        <v>290.84286505723571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0">
        <f t="shared" si="8"/>
        <v>242.01793382220353</v>
      </c>
      <c r="BI16" s="60">
        <f ca="1">AVERAGE(OFFSET($BH$3,0,0,'Données projet'!$E$11+1,1))-AVERAGE(OFFSET($H$3,0,0,'Données projet'!$E$11+1,1))</f>
        <v>336.25341821407534</v>
      </c>
      <c r="BJ16" s="60">
        <f t="shared" si="38"/>
        <v>360.3246221345039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2.4358974358974361</v>
      </c>
      <c r="BY16" s="13">
        <f>IF('Données projet'!$A$114&gt;35,BY15+BX16-CG15,IF(A16&lt;'Données projet'!$A$114,$BV$205^A16,IF(A16='Données projet'!$A$114,'Données projet'!$B$114,BY15+BX16-CG15)))</f>
        <v>22.614321200613873</v>
      </c>
      <c r="BZ16" s="14">
        <f>BY16*VLOOKUP('Données projet'!$B$12,Paramètres!$A$1:$I$89,3,0)*VLOOKUP('Données projet'!$B$12,Paramètres!$A$1:$I$89,5,0)</f>
        <v>21.519788054504161</v>
      </c>
      <c r="CA16" s="14">
        <f t="shared" si="39"/>
        <v>6.9382143454892127</v>
      </c>
      <c r="CB16" s="22">
        <f t="shared" si="10"/>
        <v>49.564354179988463</v>
      </c>
      <c r="CC16" s="60">
        <f t="shared" si="11"/>
        <v>249.10535443160728</v>
      </c>
      <c r="CD16" s="60">
        <f ca="1">AVERAGE(OFFSET($CC$3,0,0,'Données projet'!$E$12+1,1))-AVERAGE(OFFSET($H$3,0,0,'Données projet'!$E$12+1,1))</f>
        <v>398.29746143975166</v>
      </c>
      <c r="CE16" s="60">
        <f t="shared" si="40"/>
        <v>300.63705521148802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10.98065702026792</v>
      </c>
      <c r="CV16" s="14">
        <f t="shared" si="41"/>
        <v>3.8286992592655618</v>
      </c>
      <c r="CW16" s="22">
        <f t="shared" si="13"/>
        <v>25.792962186854144</v>
      </c>
      <c r="CX16" s="60">
        <f t="shared" si="14"/>
        <v>225.33396243847295</v>
      </c>
      <c r="CY16" s="60">
        <f ca="1">AVERAGE(OFFSET($CX$3,0,0,'Données projet'!$E$13+1,1))-AVERAGE(OFFSET($H$3,0,0,'Données projet'!$E$13+1,1))</f>
        <v>496.33873798282525</v>
      </c>
      <c r="CZ16" s="60">
        <f t="shared" si="42"/>
        <v>280.25465074992246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0">
        <f t="shared" si="17"/>
        <v>243.63402726856214</v>
      </c>
      <c r="DT16" s="60">
        <f ca="1">AVERAGE(OFFSET($DS$3,0,0,'Données projet'!$E$14+1,1))-AVERAGE(OFFSET($H$3,0,0,'Données projet'!$E$14+1,1))</f>
        <v>312.59632808777332</v>
      </c>
      <c r="DU16" s="60">
        <f t="shared" si="44"/>
        <v>302.59481222418219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3.3333333333333335</v>
      </c>
      <c r="EJ16" s="13">
        <f>IF('Données projet'!$A$192&gt;35,EJ15+EI16-ER15,IF(A16&lt;'Données projet'!$A$192,$EG$205^A16,IF(A16='Données projet'!$A$192,'Données projet'!$B$192,EJ15+EI16-ER15)))</f>
        <v>29.678412748283769</v>
      </c>
      <c r="EK16" s="18">
        <f>EJ16*VLOOKUP('Données projet'!$B$15,Paramètres!$A$1:$I$89,3,0)*VLOOKUP('Données projet'!$B$15,Paramètres!$A$1:$I$89,5,0)</f>
        <v>19.90827927154875</v>
      </c>
      <c r="EL16" s="14">
        <f t="shared" si="45"/>
        <v>6.4770651239957129</v>
      </c>
      <c r="EM16" s="22">
        <f t="shared" si="19"/>
        <v>45.954474822239945</v>
      </c>
      <c r="EN16" s="60">
        <f t="shared" si="20"/>
        <v>245.49547507385876</v>
      </c>
      <c r="EO16" s="60">
        <f ca="1">AVERAGE(OFFSET($EN$3,0,0,'Données projet'!$E$15+1,1))-AVERAGE(OFFSET($H$3,0,0,'Données projet'!$E$15+1,1))</f>
        <v>344.62096650402731</v>
      </c>
      <c r="EP16" s="60">
        <f t="shared" si="46"/>
        <v>277.30931495079346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2.4933333333333332</v>
      </c>
      <c r="FE16" s="13">
        <f>IF('Données projet'!$A$218&gt;35,FE15+FD16-FM15,IF(A16&lt;'Données projet'!$A$218,$FB$205^A16,IF(A16='Données projet'!$A$218,'Données projet'!$B$218,FE15+FD16-FM15)))</f>
        <v>23.075726799540639</v>
      </c>
      <c r="FF16" s="18">
        <f>FE16*VLOOKUP('Données projet'!$B$16,Paramètres!$A$1:$I$89,3,0)*VLOOKUP('Données projet'!$B$16,Paramètres!$A$1:$I$89,5,0)</f>
        <v>20.158954932078704</v>
      </c>
      <c r="FG16" s="14">
        <f t="shared" si="47"/>
        <v>6.5490755728028107</v>
      </c>
      <c r="FH16" s="22">
        <f t="shared" si="22"/>
        <v>46.516486462668638</v>
      </c>
      <c r="FI16" s="60">
        <f t="shared" si="23"/>
        <v>246.05748671428745</v>
      </c>
      <c r="FJ16" s="60">
        <f ca="1">AVERAGE(OFFSET($FI$3,0,0,'Données projet'!$E$16+1,1))-AVERAGE(OFFSET($H$3,0,0,'Données projet'!$E$16+1,1))</f>
        <v>363.28611056308665</v>
      </c>
      <c r="FK16" s="60">
        <f t="shared" si="48"/>
        <v>389.43647559455974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12.220408619330426</v>
      </c>
      <c r="GB16" s="14">
        <f t="shared" si="49"/>
        <v>4.2082449797185175</v>
      </c>
      <c r="GC16" s="22">
        <f t="shared" si="25"/>
        <v>28.613238351676909</v>
      </c>
      <c r="GD16" s="60">
        <f t="shared" si="26"/>
        <v>228.15423860329571</v>
      </c>
      <c r="GE16" s="60">
        <f ca="1">AVERAGE(OFFSET($GD$3,0,0,'Données projet'!$E$17+1,1))-AVERAGE(OFFSET($H$3,0,0,'Données projet'!$E$17+1,1))</f>
        <v>542.90832990875208</v>
      </c>
      <c r="GF16" s="60">
        <f t="shared" si="50"/>
        <v>304.94365539329362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2.4933333333333332</v>
      </c>
      <c r="N17" s="14">
        <f>IF('Données projet'!$A$36&gt;35,N16+M17-V16,IF(A17&lt;'Données projet'!$A$36,$K$205^A17,IF(A17='Données projet'!$A$36,'Données projet'!$B$36,N16+M17-V16)))</f>
        <v>29.37740938719443</v>
      </c>
      <c r="O17" s="14">
        <f>N17*VLOOKUP('Données projet'!$B$9,Paramètres!$A$1:$I$89,3,0)*VLOOKUP('Données projet'!$B$9,Paramètres!$A$1:$I$89,5,0)</f>
        <v>23.372666908451887</v>
      </c>
      <c r="P17" s="14">
        <f t="shared" si="33"/>
        <v>7.4635026627966923</v>
      </c>
      <c r="Q17" s="22">
        <f t="shared" si="2"/>
        <v>53.706328669924602</v>
      </c>
      <c r="R17" s="60">
        <f t="shared" si="0"/>
        <v>255.7361904421978</v>
      </c>
      <c r="S17" s="60">
        <f ca="1">AVERAGE(OFFSET($R$3,0,0,'Données projet'!$E$9+1,1))-AVERAGE(OFFSET($H$3,0,0,'Données projet'!$E$9+1,1))</f>
        <v>336.25341821407534</v>
      </c>
      <c r="T17" s="60">
        <f t="shared" si="34"/>
        <v>360.3246221345039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234.400863286803</v>
      </c>
      <c r="AN17" s="60">
        <f ca="1">AVERAGE(OFFSET($AM$3,0,0,'Données projet'!$E$10+1,1))-AVERAGE(OFFSET($H$3,0,0,'Données projet'!$E$10+1,1))</f>
        <v>516.30971934066179</v>
      </c>
      <c r="AO17" s="60">
        <f t="shared" si="36"/>
        <v>290.84286505723571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0">
        <f t="shared" si="8"/>
        <v>255.7361904421978</v>
      </c>
      <c r="BI17" s="60">
        <f ca="1">AVERAGE(OFFSET($BH$3,0,0,'Données projet'!$E$11+1,1))-AVERAGE(OFFSET($H$3,0,0,'Données projet'!$E$11+1,1))</f>
        <v>336.25341821407534</v>
      </c>
      <c r="BJ17" s="60">
        <f t="shared" si="38"/>
        <v>360.3246221345039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2.4358974358974361</v>
      </c>
      <c r="BY17" s="13">
        <f>IF('Données projet'!$A$114&gt;35,BY16+BX17-CG16,IF(A17&lt;'Données projet'!$A$114,$BV$205^A17,IF(A17='Données projet'!$A$114,'Données projet'!$B$114,BY16+BX17-CG16)))</f>
        <v>28.745304058350921</v>
      </c>
      <c r="BZ17" s="14">
        <f>BY17*VLOOKUP('Données projet'!$B$12,Paramètres!$A$1:$I$89,3,0)*VLOOKUP('Données projet'!$B$12,Paramètres!$A$1:$I$89,5,0)</f>
        <v>27.354031341926738</v>
      </c>
      <c r="CA17" s="14">
        <f t="shared" si="39"/>
        <v>8.5763820870506962</v>
      </c>
      <c r="CB17" s="22">
        <f t="shared" si="10"/>
        <v>62.578803388802356</v>
      </c>
      <c r="CC17" s="60">
        <f t="shared" si="11"/>
        <v>264.60866516107558</v>
      </c>
      <c r="CD17" s="60">
        <f ca="1">AVERAGE(OFFSET($CC$3,0,0,'Données projet'!$E$12+1,1))-AVERAGE(OFFSET($H$3,0,0,'Données projet'!$E$12+1,1))</f>
        <v>398.29746143975166</v>
      </c>
      <c r="CE17" s="60">
        <f t="shared" si="40"/>
        <v>300.63705521148802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13.237037254068934</v>
      </c>
      <c r="CV17" s="14">
        <f t="shared" si="41"/>
        <v>4.5161297192961545</v>
      </c>
      <c r="CW17" s="22">
        <f t="shared" si="13"/>
        <v>30.920099145277529</v>
      </c>
      <c r="CX17" s="60">
        <f t="shared" si="14"/>
        <v>232.94996091755073</v>
      </c>
      <c r="CY17" s="60">
        <f ca="1">AVERAGE(OFFSET($CX$3,0,0,'Données projet'!$E$13+1,1))-AVERAGE(OFFSET($H$3,0,0,'Données projet'!$E$13+1,1))</f>
        <v>496.33873798282525</v>
      </c>
      <c r="CZ17" s="60">
        <f t="shared" si="42"/>
        <v>280.25465074992246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0">
        <f t="shared" si="17"/>
        <v>258.02412968638174</v>
      </c>
      <c r="DT17" s="60">
        <f ca="1">AVERAGE(OFFSET($DS$3,0,0,'Données projet'!$E$14+1,1))-AVERAGE(OFFSET($H$3,0,0,'Données projet'!$E$14+1,1))</f>
        <v>312.59632808777332</v>
      </c>
      <c r="DU17" s="60">
        <f t="shared" si="44"/>
        <v>302.59481222418219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3.3333333333333335</v>
      </c>
      <c r="EJ17" s="13">
        <f>IF('Données projet'!$A$192&gt;35,EJ16+EI17-ER16,IF(A17&lt;'Données projet'!$A$192,$EG$205^A17,IF(A17='Données projet'!$A$192,'Données projet'!$B$192,EJ16+EI17-ER16)))</f>
        <v>38.521690479704915</v>
      </c>
      <c r="EK17" s="18">
        <f>EJ17*VLOOKUP('Données projet'!$B$15,Paramètres!$A$1:$I$89,3,0)*VLOOKUP('Données projet'!$B$15,Paramètres!$A$1:$I$89,5,0)</f>
        <v>25.840349973786058</v>
      </c>
      <c r="EL17" s="14">
        <f t="shared" si="45"/>
        <v>8.1556564542120462</v>
      </c>
      <c r="EM17" s="22">
        <f t="shared" si="19"/>
        <v>59.209711195430032</v>
      </c>
      <c r="EN17" s="60">
        <f t="shared" si="20"/>
        <v>261.23957296770323</v>
      </c>
      <c r="EO17" s="60">
        <f ca="1">AVERAGE(OFFSET($EN$3,0,0,'Données projet'!$E$15+1,1))-AVERAGE(OFFSET($H$3,0,0,'Données projet'!$E$15+1,1))</f>
        <v>344.62096650402731</v>
      </c>
      <c r="EP17" s="60">
        <f t="shared" si="46"/>
        <v>277.30931495079346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2.4933333333333332</v>
      </c>
      <c r="FE17" s="13">
        <f>IF('Données projet'!$A$218&gt;35,FE16+FD17-FM16,IF(A17&lt;'Données projet'!$A$218,$FB$205^A17,IF(A17='Données projet'!$A$218,'Données projet'!$B$218,FE16+FD17-FM16)))</f>
        <v>29.37740938719443</v>
      </c>
      <c r="FF17" s="18">
        <f>FE17*VLOOKUP('Données projet'!$B$16,Paramètres!$A$1:$I$89,3,0)*VLOOKUP('Données projet'!$B$16,Paramètres!$A$1:$I$89,5,0)</f>
        <v>25.664104840653053</v>
      </c>
      <c r="FG17" s="14">
        <f t="shared" si="47"/>
        <v>8.1064857789200797</v>
      </c>
      <c r="FH17" s="22">
        <f t="shared" si="22"/>
        <v>58.817111995756541</v>
      </c>
      <c r="FI17" s="60">
        <f t="shared" si="23"/>
        <v>260.84697376802973</v>
      </c>
      <c r="FJ17" s="60">
        <f ca="1">AVERAGE(OFFSET($FI$3,0,0,'Données projet'!$E$16+1,1))-AVERAGE(OFFSET($H$3,0,0,'Données projet'!$E$16+1,1))</f>
        <v>363.28611056308665</v>
      </c>
      <c r="FK17" s="60">
        <f t="shared" si="48"/>
        <v>389.43647559455974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14.731541460173487</v>
      </c>
      <c r="GB17" s="14">
        <f t="shared" si="49"/>
        <v>4.9638216355053304</v>
      </c>
      <c r="GC17" s="22">
        <f t="shared" si="25"/>
        <v>34.302757391640604</v>
      </c>
      <c r="GD17" s="60">
        <f t="shared" si="26"/>
        <v>236.33261916391379</v>
      </c>
      <c r="GE17" s="60">
        <f ca="1">AVERAGE(OFFSET($GD$3,0,0,'Données projet'!$E$17+1,1))-AVERAGE(OFFSET($H$3,0,0,'Données projet'!$E$17+1,1))</f>
        <v>542.90832990875208</v>
      </c>
      <c r="GF17" s="60">
        <f t="shared" si="50"/>
        <v>304.94365539329362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37.4</v>
      </c>
      <c r="L18" s="13">
        <f>VLOOKUP(A18,'Données projet'!$A$35:$I$55,9,0)</f>
        <v>2.4933333333333332</v>
      </c>
      <c r="M18" s="13">
        <f t="array" ref="M18">INDEX(L:L,MIN(IF(ISNUMBER(L18:L214),ROW(L18:L214),"")))</f>
        <v>2.4933333333333332</v>
      </c>
      <c r="N18" s="14">
        <f>IF('Données projet'!$A$36&gt;35,N17+M18-V17,IF(A18&lt;'Données projet'!$A$36,$K$205^A18,IF(A18='Données projet'!$A$36,'Données projet'!$B$36,N17+M18-V17)))</f>
        <v>37.4</v>
      </c>
      <c r="O18" s="14">
        <f>N18*VLOOKUP('Données projet'!$B$9,Paramètres!$A$1:$I$89,3,0)*VLOOKUP('Données projet'!$B$9,Paramètres!$A$1:$I$89,5,0)</f>
        <v>29.755439999999997</v>
      </c>
      <c r="P18" s="14">
        <f t="shared" si="33"/>
        <v>9.2383692208639729</v>
      </c>
      <c r="Q18" s="22">
        <f t="shared" si="2"/>
        <v>67.91421772633808</v>
      </c>
      <c r="R18" s="60">
        <f t="shared" si="0"/>
        <v>272.41096765921912</v>
      </c>
      <c r="S18" s="60">
        <f ca="1">AVERAGE(OFFSET($R$3,0,0,'Données projet'!$E$9+1,1))-AVERAGE(OFFSET($H$3,0,0,'Données projet'!$E$9+1,1))</f>
        <v>336.25341821407534</v>
      </c>
      <c r="T18" s="60">
        <f t="shared" si="34"/>
        <v>360.3246221345039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243.30683204586495</v>
      </c>
      <c r="AN18" s="60">
        <f ca="1">AVERAGE(OFFSET($AM$3,0,0,'Données projet'!$E$10+1,1))-AVERAGE(OFFSET($H$3,0,0,'Données projet'!$E$10+1,1))</f>
        <v>516.30971934066179</v>
      </c>
      <c r="AO18" s="60">
        <f t="shared" si="36"/>
        <v>290.84286505723571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0">
        <f t="shared" si="8"/>
        <v>272.41096765921912</v>
      </c>
      <c r="BI18" s="60">
        <f ca="1">AVERAGE(OFFSET($BH$3,0,0,'Données projet'!$E$11+1,1))-AVERAGE(OFFSET($H$3,0,0,'Données projet'!$E$11+1,1))</f>
        <v>336.25341821407534</v>
      </c>
      <c r="BJ18" s="60">
        <f t="shared" si="38"/>
        <v>360.3246221345039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36.53846153846154</v>
      </c>
      <c r="BW18" s="13">
        <f>VLOOKUP(A18,'Données projet'!$A$113:$I$133,9,0)</f>
        <v>2.4358974358974361</v>
      </c>
      <c r="BX18" s="13">
        <f t="array" ref="BX18">INDEX(BW:BW,MIN(IF(ISNUMBER(BW18:BW214),ROW(BW18:BW214),"")))</f>
        <v>2.4358974358974361</v>
      </c>
      <c r="BY18" s="13">
        <f>IF('Données projet'!$A$114&gt;35,BY17+BX18-CG17,IF(A18&lt;'Données projet'!$A$114,$BV$205^A18,IF(A18='Données projet'!$A$114,'Données projet'!$B$114,BY17+BX18-CG17)))</f>
        <v>36.53846153846154</v>
      </c>
      <c r="BZ18" s="14">
        <f>BY18*VLOOKUP('Données projet'!$B$12,Paramètres!$A$1:$I$89,3,0)*VLOOKUP('Données projet'!$B$12,Paramètres!$A$1:$I$89,5,0)</f>
        <v>34.770000000000003</v>
      </c>
      <c r="CA18" s="14">
        <f t="shared" si="39"/>
        <v>10.601334297333203</v>
      </c>
      <c r="CB18" s="22">
        <f t="shared" si="10"/>
        <v>79.021740567855332</v>
      </c>
      <c r="CC18" s="60">
        <f t="shared" si="11"/>
        <v>283.51849050073639</v>
      </c>
      <c r="CD18" s="60">
        <f ca="1">AVERAGE(OFFSET($CC$3,0,0,'Données projet'!$E$12+1,1))-AVERAGE(OFFSET($H$3,0,0,'Données projet'!$E$12+1,1))</f>
        <v>398.29746143975166</v>
      </c>
      <c r="CE18" s="60">
        <f t="shared" si="40"/>
        <v>300.63705521148802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15.957073874741019</v>
      </c>
      <c r="CV18" s="14">
        <f t="shared" si="41"/>
        <v>5.3269860755326848</v>
      </c>
      <c r="CW18" s="22">
        <f t="shared" si="13"/>
        <v>37.069737746726702</v>
      </c>
      <c r="CX18" s="60">
        <f t="shared" si="14"/>
        <v>241.56648767960775</v>
      </c>
      <c r="CY18" s="60">
        <f ca="1">AVERAGE(OFFSET($CX$3,0,0,'Données projet'!$E$13+1,1))-AVERAGE(OFFSET($H$3,0,0,'Données projet'!$E$13+1,1))</f>
        <v>496.33873798282525</v>
      </c>
      <c r="CZ18" s="60">
        <f t="shared" si="42"/>
        <v>280.25465074992246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0">
        <f t="shared" si="17"/>
        <v>275.61521021573253</v>
      </c>
      <c r="DT18" s="60">
        <f ca="1">AVERAGE(OFFSET($DS$3,0,0,'Données projet'!$E$14+1,1))-AVERAGE(OFFSET($H$3,0,0,'Données projet'!$E$14+1,1))</f>
        <v>312.59632808777332</v>
      </c>
      <c r="DU18" s="60">
        <f t="shared" si="44"/>
        <v>302.59481222418219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50</v>
      </c>
      <c r="EH18" s="13">
        <f>VLOOKUP(A18,'Données projet'!$A$191:$I$211,9,0)</f>
        <v>3.3333333333333335</v>
      </c>
      <c r="EI18" s="13">
        <f t="array" ref="EI18">INDEX(EH:EH,MIN(IF(ISNUMBER(EH18:EH214),ROW(EH18:EH214),"")))</f>
        <v>3.3333333333333335</v>
      </c>
      <c r="EJ18" s="13">
        <f>IF('Données projet'!$A$192&gt;35,EJ17+EI18-ER17,IF(A18&lt;'Données projet'!$A$192,$EG$205^A18,IF(A18='Données projet'!$A$192,'Données projet'!$B$192,EJ17+EI18-ER17)))</f>
        <v>50</v>
      </c>
      <c r="EK18" s="18">
        <f>EJ18*VLOOKUP('Données projet'!$B$15,Paramètres!$A$1:$I$89,3,0)*VLOOKUP('Données projet'!$B$15,Paramètres!$A$1:$I$89,5,0)</f>
        <v>33.54</v>
      </c>
      <c r="EL18" s="14">
        <f t="shared" si="45"/>
        <v>10.269270252156668</v>
      </c>
      <c r="EM18" s="22">
        <f t="shared" si="19"/>
        <v>76.301145689172856</v>
      </c>
      <c r="EN18" s="60">
        <f t="shared" si="20"/>
        <v>280.79789562205389</v>
      </c>
      <c r="EO18" s="60">
        <f ca="1">AVERAGE(OFFSET($EN$3,0,0,'Données projet'!$E$15+1,1))-AVERAGE(OFFSET($H$3,0,0,'Données projet'!$E$15+1,1))</f>
        <v>344.62096650402731</v>
      </c>
      <c r="EP18" s="60">
        <f t="shared" si="46"/>
        <v>277.30931495079346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37.4</v>
      </c>
      <c r="FC18" s="13">
        <f>VLOOKUP(A18,'Données projet'!$A$217:$I$237,9,0)</f>
        <v>2.4933333333333332</v>
      </c>
      <c r="FD18" s="13">
        <f t="array" ref="FD18">INDEX(FC:FC,MIN(IF(ISNUMBER(FC18:FC214),ROW(FC18:FC214),"")))</f>
        <v>2.4933333333333332</v>
      </c>
      <c r="FE18" s="13">
        <f>IF('Données projet'!$A$218&gt;35,FE17+FD18-FM17,IF(A18&lt;'Données projet'!$A$218,$FB$205^A18,IF(A18='Données projet'!$A$218,'Données projet'!$B$218,FE17+FD18-FM17)))</f>
        <v>37.4</v>
      </c>
      <c r="FF18" s="18">
        <f>FE18*VLOOKUP('Données projet'!$B$16,Paramètres!$A$1:$I$89,3,0)*VLOOKUP('Données projet'!$B$16,Paramètres!$A$1:$I$89,5,0)</f>
        <v>32.672640000000008</v>
      </c>
      <c r="FG18" s="14">
        <f t="shared" si="47"/>
        <v>10.03425765259713</v>
      </c>
      <c r="FH18" s="22">
        <f t="shared" si="22"/>
        <v>74.381180078273346</v>
      </c>
      <c r="FI18" s="60">
        <f t="shared" si="23"/>
        <v>278.87793001115438</v>
      </c>
      <c r="FJ18" s="60">
        <f ca="1">AVERAGE(OFFSET($FI$3,0,0,'Données projet'!$E$16+1,1))-AVERAGE(OFFSET($H$3,0,0,'Données projet'!$E$16+1,1))</f>
        <v>363.28611056308665</v>
      </c>
      <c r="FK18" s="60">
        <f t="shared" si="48"/>
        <v>389.43647559455974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17.758678989631132</v>
      </c>
      <c r="GB18" s="14">
        <f t="shared" si="49"/>
        <v>5.8550596146042126</v>
      </c>
      <c r="GC18" s="22">
        <f t="shared" si="25"/>
        <v>41.127261402376554</v>
      </c>
      <c r="GD18" s="60">
        <f t="shared" si="26"/>
        <v>245.62401133525759</v>
      </c>
      <c r="GE18" s="60">
        <f ca="1">AVERAGE(OFFSET($GD$3,0,0,'Données projet'!$E$17+1,1))-AVERAGE(OFFSET($H$3,0,0,'Données projet'!$E$17+1,1))</f>
        <v>542.90832990875208</v>
      </c>
      <c r="GF18" s="60">
        <f t="shared" si="50"/>
        <v>304.94365539329362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11.54</v>
      </c>
      <c r="N19" s="14">
        <f>IF('Données projet'!$A$36&gt;35,N18+M19-V18,IF(A19&lt;'Données projet'!$A$36,$K$205^A19,IF(A19='Données projet'!$A$36,'Données projet'!$B$36,N18+M19-V18)))</f>
        <v>48.94</v>
      </c>
      <c r="O19" s="14">
        <f>N19*VLOOKUP('Données projet'!$B$9,Paramètres!$A$1:$I$89,3,0)*VLOOKUP('Données projet'!$B$9,Paramètres!$A$1:$I$89,5,0)</f>
        <v>38.936664</v>
      </c>
      <c r="P19" s="14">
        <f t="shared" si="33"/>
        <v>11.71636916173216</v>
      </c>
      <c r="Q19" s="22">
        <f t="shared" si="2"/>
        <v>88.220699423350183</v>
      </c>
      <c r="R19" s="60">
        <f t="shared" si="0"/>
        <v>295.16274534546426</v>
      </c>
      <c r="S19" s="60">
        <f ca="1">AVERAGE(OFFSET($R$3,0,0,'Données projet'!$E$9+1,1))-AVERAGE(OFFSET($H$3,0,0,'Données projet'!$E$9+1,1))</f>
        <v>336.25341821407534</v>
      </c>
      <c r="T19" s="60">
        <f t="shared" si="34"/>
        <v>360.3246221345039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253.47615920895097</v>
      </c>
      <c r="AN19" s="60">
        <f ca="1">AVERAGE(OFFSET($AM$3,0,0,'Données projet'!$E$10+1,1))-AVERAGE(OFFSET($H$3,0,0,'Données projet'!$E$10+1,1))</f>
        <v>516.30971934066179</v>
      </c>
      <c r="AO19" s="60">
        <f t="shared" si="36"/>
        <v>290.84286505723571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0">
        <f t="shared" si="8"/>
        <v>295.16274534546426</v>
      </c>
      <c r="BI19" s="60">
        <f ca="1">AVERAGE(OFFSET($BH$3,0,0,'Données projet'!$E$11+1,1))-AVERAGE(OFFSET($H$3,0,0,'Données projet'!$E$11+1,1))</f>
        <v>336.25341821407534</v>
      </c>
      <c r="BJ19" s="60">
        <f t="shared" si="38"/>
        <v>360.3246221345039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6.2820512820512802</v>
      </c>
      <c r="BY19" s="13">
        <f>IF('Données projet'!$A$114&gt;35,BY18+BX19-CG18,IF(A19&lt;'Données projet'!$A$114,$BV$205^A19,IF(A19='Données projet'!$A$114,'Données projet'!$B$114,BY18+BX19-CG18)))</f>
        <v>42.820512820512818</v>
      </c>
      <c r="BZ19" s="14">
        <f>BY19*VLOOKUP('Données projet'!$B$12,Paramètres!$A$1:$I$89,3,0)*VLOOKUP('Données projet'!$B$12,Paramètres!$A$1:$I$89,5,0)</f>
        <v>40.747999999999998</v>
      </c>
      <c r="CA19" s="14">
        <f t="shared" si="39"/>
        <v>12.196690104400222</v>
      </c>
      <c r="CB19" s="22">
        <f t="shared" si="10"/>
        <v>92.212001931830386</v>
      </c>
      <c r="CC19" s="60">
        <f t="shared" si="11"/>
        <v>299.15404785394446</v>
      </c>
      <c r="CD19" s="60">
        <f ca="1">AVERAGE(OFFSET($CC$3,0,0,'Données projet'!$E$12+1,1))-AVERAGE(OFFSET($H$3,0,0,'Données projet'!$E$12+1,1))</f>
        <v>398.29746143975166</v>
      </c>
      <c r="CE19" s="60">
        <f t="shared" si="40"/>
        <v>300.63705521148802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19.236042156311996</v>
      </c>
      <c r="CV19" s="14">
        <f t="shared" si="41"/>
        <v>6.2834290449348904</v>
      </c>
      <c r="CW19" s="22">
        <f t="shared" si="13"/>
        <v>44.446412342171662</v>
      </c>
      <c r="CX19" s="60">
        <f t="shared" si="14"/>
        <v>251.38845826428573</v>
      </c>
      <c r="CY19" s="60">
        <f ca="1">AVERAGE(OFFSET($CX$3,0,0,'Données projet'!$E$13+1,1))-AVERAGE(OFFSET($H$3,0,0,'Données projet'!$E$13+1,1))</f>
        <v>496.33873798282525</v>
      </c>
      <c r="CZ19" s="60">
        <f t="shared" si="42"/>
        <v>280.25465074992246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49.6</v>
      </c>
      <c r="DP19" s="18">
        <f>DO19*VLOOKUP('Données projet'!$B$14,Paramètres!$A$1:$I$89,3,0)*VLOOKUP('Données projet'!$B$14,Paramètres!$A$1:$I$89,5,0)</f>
        <v>38.688000000000002</v>
      </c>
      <c r="DQ19" s="14">
        <f t="shared" si="43"/>
        <v>11.650229083154354</v>
      </c>
      <c r="DR19" s="22">
        <f t="shared" si="16"/>
        <v>87.672415653160499</v>
      </c>
      <c r="DS19" s="60">
        <f t="shared" si="17"/>
        <v>294.61446157527456</v>
      </c>
      <c r="DT19" s="60">
        <f ca="1">AVERAGE(OFFSET($DS$3,0,0,'Données projet'!$E$14+1,1))-AVERAGE(OFFSET($H$3,0,0,'Données projet'!$E$14+1,1))</f>
        <v>312.59632808777332</v>
      </c>
      <c r="DU19" s="60">
        <f t="shared" si="44"/>
        <v>302.59481222418219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8.2051282051282044</v>
      </c>
      <c r="EJ19" s="13">
        <f>IF('Données projet'!$A$192&gt;35,EJ18+EI19-ER18,IF(A19&lt;'Données projet'!$A$192,$EG$205^A19,IF(A19='Données projet'!$A$192,'Données projet'!$B$192,EJ18+EI19-ER18)))</f>
        <v>58.205128205128204</v>
      </c>
      <c r="EK19" s="18">
        <f>EJ19*VLOOKUP('Données projet'!$B$15,Paramètres!$A$1:$I$89,3,0)*VLOOKUP('Données projet'!$B$15,Paramètres!$A$1:$I$89,5,0)</f>
        <v>39.043999999999997</v>
      </c>
      <c r="EL19" s="14">
        <f t="shared" si="45"/>
        <v>11.744903368873258</v>
      </c>
      <c r="EM19" s="22">
        <f t="shared" si="19"/>
        <v>88.457340034120918</v>
      </c>
      <c r="EN19" s="60">
        <f t="shared" si="20"/>
        <v>295.39938595623499</v>
      </c>
      <c r="EO19" s="60">
        <f ca="1">AVERAGE(OFFSET($EN$3,0,0,'Données projet'!$E$15+1,1))-AVERAGE(OFFSET($H$3,0,0,'Données projet'!$E$15+1,1))</f>
        <v>344.62096650402731</v>
      </c>
      <c r="EP19" s="60">
        <f t="shared" si="46"/>
        <v>277.30931495079346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11.54</v>
      </c>
      <c r="FE19" s="13">
        <f>IF('Données projet'!$A$218&gt;35,FE18+FD19-FM18,IF(A19&lt;'Données projet'!$A$218,$FB$205^A19,IF(A19='Données projet'!$A$218,'Données projet'!$B$218,FE18+FD19-FM18)))</f>
        <v>48.94</v>
      </c>
      <c r="FF19" s="18">
        <f>FE19*VLOOKUP('Données projet'!$B$16,Paramètres!$A$1:$I$89,3,0)*VLOOKUP('Données projet'!$B$16,Paramètres!$A$1:$I$89,5,0)</f>
        <v>42.753984000000003</v>
      </c>
      <c r="FG19" s="14">
        <f t="shared" si="47"/>
        <v>12.72573807250034</v>
      </c>
      <c r="FH19" s="22">
        <f t="shared" si="22"/>
        <v>96.627182609604759</v>
      </c>
      <c r="FI19" s="60">
        <f t="shared" si="23"/>
        <v>303.56922853171881</v>
      </c>
      <c r="FJ19" s="60">
        <f ca="1">AVERAGE(OFFSET($FI$3,0,0,'Données projet'!$E$16+1,1))-AVERAGE(OFFSET($H$3,0,0,'Données projet'!$E$16+1,1))</f>
        <v>363.28611056308665</v>
      </c>
      <c r="FK19" s="60">
        <f t="shared" si="48"/>
        <v>389.43647559455974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21.407853367508512</v>
      </c>
      <c r="GB19" s="14">
        <f t="shared" si="49"/>
        <v>6.906316464991046</v>
      </c>
      <c r="GC19" s="22">
        <f t="shared" si="25"/>
        <v>49.313845791603399</v>
      </c>
      <c r="GD19" s="60">
        <f t="shared" si="26"/>
        <v>256.25589171371746</v>
      </c>
      <c r="GE19" s="60">
        <f ca="1">AVERAGE(OFFSET($GD$3,0,0,'Données projet'!$E$17+1,1))-AVERAGE(OFFSET($H$3,0,0,'Données projet'!$E$17+1,1))</f>
        <v>542.90832990875208</v>
      </c>
      <c r="GF19" s="60">
        <f t="shared" si="50"/>
        <v>304.94365539329362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11.54</v>
      </c>
      <c r="N20" s="14">
        <f>IF('Données projet'!$A$36&gt;35,N19+M20-V19,IF(A20&lt;'Données projet'!$A$36,$K$205^A20,IF(A20='Données projet'!$A$36,'Données projet'!$B$36,N19+M20-V19)))</f>
        <v>60.48</v>
      </c>
      <c r="O20" s="14">
        <f>N20*VLOOKUP('Données projet'!$B$9,Paramètres!$A$1:$I$89,3,0)*VLOOKUP('Données projet'!$B$9,Paramètres!$A$1:$I$89,5,0)</f>
        <v>48.117888000000001</v>
      </c>
      <c r="P20" s="14">
        <f t="shared" si="33"/>
        <v>14.126615953608919</v>
      </c>
      <c r="Q20" s="22">
        <f t="shared" si="2"/>
        <v>108.40917771920219</v>
      </c>
      <c r="R20" s="60">
        <f t="shared" si="0"/>
        <v>317.7753020350749</v>
      </c>
      <c r="S20" s="60">
        <f ca="1">AVERAGE(OFFSET($R$3,0,0,'Données projet'!$E$9+1,1))-AVERAGE(OFFSET($H$3,0,0,'Données projet'!$E$9+1,1))</f>
        <v>336.25341821407534</v>
      </c>
      <c r="T20" s="60">
        <f t="shared" si="34"/>
        <v>360.3246221345039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265.16640185982811</v>
      </c>
      <c r="AN20" s="60">
        <f ca="1">AVERAGE(OFFSET($AM$3,0,0,'Données projet'!$E$10+1,1))-AVERAGE(OFFSET($H$3,0,0,'Données projet'!$E$10+1,1))</f>
        <v>516.30971934066179</v>
      </c>
      <c r="AO20" s="60">
        <f t="shared" si="36"/>
        <v>290.84286505723571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0">
        <f t="shared" si="8"/>
        <v>317.7753020350749</v>
      </c>
      <c r="BI20" s="60">
        <f ca="1">AVERAGE(OFFSET($BH$3,0,0,'Données projet'!$E$11+1,1))-AVERAGE(OFFSET($H$3,0,0,'Données projet'!$E$11+1,1))</f>
        <v>336.25341821407534</v>
      </c>
      <c r="BJ20" s="60">
        <f t="shared" si="38"/>
        <v>360.3246221345039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6.2820512820512802</v>
      </c>
      <c r="BY20" s="13">
        <f>IF('Données projet'!$A$114&gt;35,BY19+BX20-CG19,IF(A20&lt;'Données projet'!$A$114,$BV$205^A20,IF(A20='Données projet'!$A$114,'Données projet'!$B$114,BY19+BX20-CG19)))</f>
        <v>49.102564102564095</v>
      </c>
      <c r="BZ20" s="14">
        <f>BY20*VLOOKUP('Données projet'!$B$12,Paramètres!$A$1:$I$89,3,0)*VLOOKUP('Données projet'!$B$12,Paramètres!$A$1:$I$89,5,0)</f>
        <v>46.725999999999992</v>
      </c>
      <c r="CA20" s="14">
        <f t="shared" si="39"/>
        <v>13.764931291666562</v>
      </c>
      <c r="CB20" s="22">
        <f t="shared" si="10"/>
        <v>105.35503866631923</v>
      </c>
      <c r="CC20" s="60">
        <f t="shared" si="11"/>
        <v>314.72116298219197</v>
      </c>
      <c r="CD20" s="60">
        <f ca="1">AVERAGE(OFFSET($CC$3,0,0,'Données projet'!$E$12+1,1))-AVERAGE(OFFSET($H$3,0,0,'Données projet'!$E$12+1,1))</f>
        <v>398.29746143975166</v>
      </c>
      <c r="CE20" s="60">
        <f t="shared" si="40"/>
        <v>300.63705521148802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23.188795185384055</v>
      </c>
      <c r="CV20" s="14">
        <f t="shared" si="41"/>
        <v>7.4115982288884323</v>
      </c>
      <c r="CW20" s="22">
        <f t="shared" si="13"/>
        <v>53.29568519652458</v>
      </c>
      <c r="CX20" s="60">
        <f t="shared" si="14"/>
        <v>262.66180951239733</v>
      </c>
      <c r="CY20" s="60">
        <f ca="1">AVERAGE(OFFSET($CX$3,0,0,'Données projet'!$E$13+1,1))-AVERAGE(OFFSET($H$3,0,0,'Données projet'!$E$13+1,1))</f>
        <v>496.33873798282525</v>
      </c>
      <c r="CZ20" s="60">
        <f t="shared" si="42"/>
        <v>280.25465074992246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59.2</v>
      </c>
      <c r="DP20" s="18">
        <f>DO20*VLOOKUP('Données projet'!$B$14,Paramètres!$A$1:$I$89,3,0)*VLOOKUP('Données projet'!$B$14,Paramètres!$A$1:$I$89,5,0)</f>
        <v>46.176000000000002</v>
      </c>
      <c r="DQ20" s="14">
        <f t="shared" si="43"/>
        <v>13.621668778540489</v>
      </c>
      <c r="DR20" s="22">
        <f t="shared" si="16"/>
        <v>104.14760645595801</v>
      </c>
      <c r="DS20" s="60">
        <f t="shared" si="17"/>
        <v>313.51373077183075</v>
      </c>
      <c r="DT20" s="60">
        <f ca="1">AVERAGE(OFFSET($DS$3,0,0,'Données projet'!$E$14+1,1))-AVERAGE(OFFSET($H$3,0,0,'Données projet'!$E$14+1,1))</f>
        <v>312.59632808777332</v>
      </c>
      <c r="DU20" s="60">
        <f t="shared" si="44"/>
        <v>302.59481222418219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8.2051282051282044</v>
      </c>
      <c r="EJ20" s="13">
        <f>IF('Données projet'!$A$192&gt;35,EJ19+EI20-ER19,IF(A20&lt;'Données projet'!$A$192,$EG$205^A20,IF(A20='Données projet'!$A$192,'Données projet'!$B$192,EJ19+EI20-ER19)))</f>
        <v>66.410256410256409</v>
      </c>
      <c r="EK20" s="18">
        <f>EJ20*VLOOKUP('Données projet'!$B$15,Paramètres!$A$1:$I$89,3,0)*VLOOKUP('Données projet'!$B$15,Paramètres!$A$1:$I$89,5,0)</f>
        <v>44.548000000000002</v>
      </c>
      <c r="EL20" s="14">
        <f t="shared" si="45"/>
        <v>13.196436493358</v>
      </c>
      <c r="EM20" s="22">
        <f t="shared" si="19"/>
        <v>100.57156022593183</v>
      </c>
      <c r="EN20" s="60">
        <f t="shared" si="20"/>
        <v>309.93768454180457</v>
      </c>
      <c r="EO20" s="60">
        <f ca="1">AVERAGE(OFFSET($EN$3,0,0,'Données projet'!$E$15+1,1))-AVERAGE(OFFSET($H$3,0,0,'Données projet'!$E$15+1,1))</f>
        <v>344.62096650402731</v>
      </c>
      <c r="EP20" s="60">
        <f t="shared" si="46"/>
        <v>277.30931495079346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11.54</v>
      </c>
      <c r="FE20" s="13">
        <f>IF('Données projet'!$A$218&gt;35,FE19+FD20-FM19,IF(A20&lt;'Données projet'!$A$218,$FB$205^A20,IF(A20='Données projet'!$A$218,'Données projet'!$B$218,FE19+FD20-FM19)))</f>
        <v>60.48</v>
      </c>
      <c r="FF20" s="18">
        <f>FE20*VLOOKUP('Données projet'!$B$16,Paramètres!$A$1:$I$89,3,0)*VLOOKUP('Données projet'!$B$16,Paramètres!$A$1:$I$89,5,0)</f>
        <v>52.835328000000004</v>
      </c>
      <c r="FG20" s="14">
        <f t="shared" si="47"/>
        <v>15.343628388186952</v>
      </c>
      <c r="FH20" s="22">
        <f t="shared" si="22"/>
        <v>118.74501570942562</v>
      </c>
      <c r="FI20" s="60">
        <f t="shared" si="23"/>
        <v>328.11114002529837</v>
      </c>
      <c r="FJ20" s="60">
        <f ca="1">AVERAGE(OFFSET($FI$3,0,0,'Données projet'!$E$16+1,1))-AVERAGE(OFFSET($H$3,0,0,'Données projet'!$E$16+1,1))</f>
        <v>363.28611056308665</v>
      </c>
      <c r="FK20" s="60">
        <f t="shared" si="48"/>
        <v>389.43647559455974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25.80688496437903</v>
      </c>
      <c r="GB20" s="14">
        <f t="shared" si="49"/>
        <v>8.146323052908933</v>
      </c>
      <c r="GC20" s="22">
        <f t="shared" si="25"/>
        <v>59.135170630109862</v>
      </c>
      <c r="GD20" s="60">
        <f t="shared" si="26"/>
        <v>268.50129494598258</v>
      </c>
      <c r="GE20" s="60">
        <f ca="1">AVERAGE(OFFSET($GD$3,0,0,'Données projet'!$E$17+1,1))-AVERAGE(OFFSET($H$3,0,0,'Données projet'!$E$17+1,1))</f>
        <v>542.90832990875208</v>
      </c>
      <c r="GF20" s="60">
        <f t="shared" si="50"/>
        <v>304.94365539329362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11.54</v>
      </c>
      <c r="N21" s="14">
        <f>IF('Données projet'!$A$36&gt;35,N20+M21-V20,IF(A21&lt;'Données projet'!$A$36,$K$205^A21,IF(A21='Données projet'!$A$36,'Données projet'!$B$36,N20+M21-V20)))</f>
        <v>72.02</v>
      </c>
      <c r="O21" s="14">
        <f>N21*VLOOKUP('Données projet'!$B$9,Paramètres!$A$1:$I$89,3,0)*VLOOKUP('Données projet'!$B$9,Paramètres!$A$1:$I$89,5,0)</f>
        <v>57.299111999999994</v>
      </c>
      <c r="P21" s="14">
        <f t="shared" si="33"/>
        <v>16.483580059789663</v>
      </c>
      <c r="Q21" s="22">
        <f t="shared" si="2"/>
        <v>128.50485533746698</v>
      </c>
      <c r="R21" s="60">
        <f t="shared" si="0"/>
        <v>340.27420852947012</v>
      </c>
      <c r="S21" s="60">
        <f ca="1">AVERAGE(OFFSET($R$3,0,0,'Données projet'!$E$9+1,1))-AVERAGE(OFFSET($H$3,0,0,'Données projet'!$E$9+1,1))</f>
        <v>336.25341821407534</v>
      </c>
      <c r="T21" s="60">
        <f t="shared" si="34"/>
        <v>360.3246221345039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278.6867268862473</v>
      </c>
      <c r="AN21" s="60">
        <f ca="1">AVERAGE(OFFSET($AM$3,0,0,'Données projet'!$E$10+1,1))-AVERAGE(OFFSET($H$3,0,0,'Données projet'!$E$10+1,1))</f>
        <v>516.30971934066179</v>
      </c>
      <c r="AO21" s="60">
        <f t="shared" si="36"/>
        <v>290.84286505723571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0">
        <f t="shared" si="8"/>
        <v>340.27420852947012</v>
      </c>
      <c r="BI21" s="60">
        <f ca="1">AVERAGE(OFFSET($BH$3,0,0,'Données projet'!$E$11+1,1))-AVERAGE(OFFSET($H$3,0,0,'Données projet'!$E$11+1,1))</f>
        <v>336.25341821407534</v>
      </c>
      <c r="BJ21" s="60">
        <f t="shared" si="38"/>
        <v>360.3246221345039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6.2820512820512802</v>
      </c>
      <c r="BY21" s="13">
        <f>IF('Données projet'!$A$114&gt;35,BY20+BX21-CG20,IF(A21&lt;'Données projet'!$A$114,$BV$205^A21,IF(A21='Données projet'!$A$114,'Données projet'!$B$114,BY20+BX21-CG20)))</f>
        <v>55.384615384615373</v>
      </c>
      <c r="BZ21" s="14">
        <f>BY21*VLOOKUP('Données projet'!$B$12,Paramètres!$A$1:$I$89,3,0)*VLOOKUP('Données projet'!$B$12,Paramètres!$A$1:$I$89,5,0)</f>
        <v>52.703999999999994</v>
      </c>
      <c r="CA21" s="14">
        <f t="shared" si="39"/>
        <v>15.30992453291827</v>
      </c>
      <c r="CB21" s="22">
        <f t="shared" si="10"/>
        <v>118.45758522816597</v>
      </c>
      <c r="CC21" s="60">
        <f t="shared" si="11"/>
        <v>330.22693842016906</v>
      </c>
      <c r="CD21" s="60">
        <f ca="1">AVERAGE(OFFSET($CC$3,0,0,'Données projet'!$E$12+1,1))-AVERAGE(OFFSET($H$3,0,0,'Données projet'!$E$12+1,1))</f>
        <v>398.29746143975166</v>
      </c>
      <c r="CE21" s="60">
        <f t="shared" si="40"/>
        <v>300.63705521148802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27.953786843477392</v>
      </c>
      <c r="CV21" s="14">
        <f t="shared" si="41"/>
        <v>8.7423265089215931</v>
      </c>
      <c r="CW21" s="22">
        <f t="shared" si="13"/>
        <v>63.912397422094891</v>
      </c>
      <c r="CX21" s="60">
        <f t="shared" si="14"/>
        <v>275.68175061409801</v>
      </c>
      <c r="CY21" s="60">
        <f ca="1">AVERAGE(OFFSET($CX$3,0,0,'Données projet'!$E$13+1,1))-AVERAGE(OFFSET($H$3,0,0,'Données projet'!$E$13+1,1))</f>
        <v>496.33873798282525</v>
      </c>
      <c r="CZ21" s="60">
        <f t="shared" si="42"/>
        <v>280.25465074992246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68.8</v>
      </c>
      <c r="DP21" s="18">
        <f>DO21*VLOOKUP('Données projet'!$B$14,Paramètres!$A$1:$I$89,3,0)*VLOOKUP('Données projet'!$B$14,Paramètres!$A$1:$I$89,5,0)</f>
        <v>53.664000000000001</v>
      </c>
      <c r="DQ21" s="14">
        <f t="shared" si="43"/>
        <v>15.556073979202782</v>
      </c>
      <c r="DR21" s="22">
        <f t="shared" si="16"/>
        <v>120.55829551377816</v>
      </c>
      <c r="DS21" s="60">
        <f t="shared" si="17"/>
        <v>332.32764870578126</v>
      </c>
      <c r="DT21" s="60">
        <f ca="1">AVERAGE(OFFSET($DS$3,0,0,'Données projet'!$E$14+1,1))-AVERAGE(OFFSET($H$3,0,0,'Données projet'!$E$14+1,1))</f>
        <v>312.59632808777332</v>
      </c>
      <c r="DU21" s="60">
        <f t="shared" si="44"/>
        <v>302.59481222418219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8.2051282051282044</v>
      </c>
      <c r="EJ21" s="13">
        <f>IF('Données projet'!$A$192&gt;35,EJ20+EI21-ER20,IF(A21&lt;'Données projet'!$A$192,$EG$205^A21,IF(A21='Données projet'!$A$192,'Données projet'!$B$192,EJ20+EI21-ER20)))</f>
        <v>74.615384615384613</v>
      </c>
      <c r="EK21" s="18">
        <f>EJ21*VLOOKUP('Données projet'!$B$15,Paramètres!$A$1:$I$89,3,0)*VLOOKUP('Données projet'!$B$15,Paramètres!$A$1:$I$89,5,0)</f>
        <v>50.052</v>
      </c>
      <c r="EL21" s="14">
        <f t="shared" si="45"/>
        <v>14.62718807768414</v>
      </c>
      <c r="EM21" s="22">
        <f t="shared" si="19"/>
        <v>112.64958590196655</v>
      </c>
      <c r="EN21" s="60">
        <f t="shared" si="20"/>
        <v>324.41893909396964</v>
      </c>
      <c r="EO21" s="60">
        <f ca="1">AVERAGE(OFFSET($EN$3,0,0,'Données projet'!$E$15+1,1))-AVERAGE(OFFSET($H$3,0,0,'Données projet'!$E$15+1,1))</f>
        <v>344.62096650402731</v>
      </c>
      <c r="EP21" s="60">
        <f t="shared" si="46"/>
        <v>277.30931495079346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11.54</v>
      </c>
      <c r="FE21" s="13">
        <f>IF('Données projet'!$A$218&gt;35,FE20+FD21-FM20,IF(A21&lt;'Données projet'!$A$218,$FB$205^A21,IF(A21='Données projet'!$A$218,'Données projet'!$B$218,FE20+FD21-FM20)))</f>
        <v>72.02</v>
      </c>
      <c r="FF21" s="18">
        <f>FE21*VLOOKUP('Données projet'!$B$16,Paramètres!$A$1:$I$89,3,0)*VLOOKUP('Données projet'!$B$16,Paramètres!$A$1:$I$89,5,0)</f>
        <v>62.916672000000005</v>
      </c>
      <c r="FG21" s="14">
        <f t="shared" si="47"/>
        <v>17.90364569794426</v>
      </c>
      <c r="FH21" s="22">
        <f t="shared" si="22"/>
        <v>140.76205332391956</v>
      </c>
      <c r="FI21" s="60">
        <f t="shared" si="23"/>
        <v>352.53140651592264</v>
      </c>
      <c r="FJ21" s="60">
        <f ca="1">AVERAGE(OFFSET($FI$3,0,0,'Données projet'!$E$16+1,1))-AVERAGE(OFFSET($H$3,0,0,'Données projet'!$E$16+1,1))</f>
        <v>363.28611056308665</v>
      </c>
      <c r="FK21" s="60">
        <f t="shared" si="48"/>
        <v>389.43647559455974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31.109859551611933</v>
      </c>
      <c r="GB21" s="14">
        <f t="shared" si="49"/>
        <v>9.6089687778941872</v>
      </c>
      <c r="GC21" s="22">
        <f t="shared" si="25"/>
        <v>70.918626007223153</v>
      </c>
      <c r="GD21" s="60">
        <f t="shared" si="26"/>
        <v>282.68797919922628</v>
      </c>
      <c r="GE21" s="60">
        <f ca="1">AVERAGE(OFFSET($GD$3,0,0,'Données projet'!$E$17+1,1))-AVERAGE(OFFSET($H$3,0,0,'Données projet'!$E$17+1,1))</f>
        <v>542.90832990875208</v>
      </c>
      <c r="GF21" s="60">
        <f t="shared" si="50"/>
        <v>304.94365539329362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11.54</v>
      </c>
      <c r="N22" s="14">
        <f>IF('Données projet'!$A$36&gt;35,N21+M22-V21,IF(A22&lt;'Données projet'!$A$36,$K$205^A22,IF(A22='Données projet'!$A$36,'Données projet'!$B$36,N21+M22-V21)))</f>
        <v>83.56</v>
      </c>
      <c r="O22" s="14">
        <f>N22*VLOOKUP('Données projet'!$B$9,Paramètres!$A$1:$I$89,3,0)*VLOOKUP('Données projet'!$B$9,Paramètres!$A$1:$I$89,5,0)</f>
        <v>66.480336000000008</v>
      </c>
      <c r="P22" s="14">
        <f t="shared" si="33"/>
        <v>18.796793982740784</v>
      </c>
      <c r="Q22" s="22">
        <f t="shared" si="2"/>
        <v>148.52433471994019</v>
      </c>
      <c r="R22" s="60">
        <f t="shared" si="0"/>
        <v>362.67642896296371</v>
      </c>
      <c r="S22" s="60">
        <f ca="1">AVERAGE(OFFSET($R$3,0,0,'Données projet'!$E$9+1,1))-AVERAGE(OFFSET($H$3,0,0,'Données projet'!$E$9+1,1))</f>
        <v>336.25341821407534</v>
      </c>
      <c r="T22" s="60">
        <f t="shared" si="34"/>
        <v>360.3246221345039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294.40829648405634</v>
      </c>
      <c r="AN22" s="60">
        <f ca="1">AVERAGE(OFFSET($AM$3,0,0,'Données projet'!$E$10+1,1))-AVERAGE(OFFSET($H$3,0,0,'Données projet'!$E$10+1,1))</f>
        <v>516.30971934066179</v>
      </c>
      <c r="AO22" s="60">
        <f t="shared" si="36"/>
        <v>290.84286505723571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0">
        <f t="shared" si="8"/>
        <v>362.67642896296371</v>
      </c>
      <c r="BI22" s="60">
        <f ca="1">AVERAGE(OFFSET($BH$3,0,0,'Données projet'!$E$11+1,1))-AVERAGE(OFFSET($H$3,0,0,'Données projet'!$E$11+1,1))</f>
        <v>336.25341821407534</v>
      </c>
      <c r="BJ22" s="60">
        <f t="shared" si="38"/>
        <v>360.3246221345039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6.2820512820512802</v>
      </c>
      <c r="BY22" s="13">
        <f>IF('Données projet'!$A$114&gt;35,BY21+BX22-CG21,IF(A22&lt;'Données projet'!$A$114,$BV$205^A22,IF(A22='Données projet'!$A$114,'Données projet'!$B$114,BY21+BX22-CG21)))</f>
        <v>61.66666666666665</v>
      </c>
      <c r="BZ22" s="14">
        <f>BY22*VLOOKUP('Données projet'!$B$12,Paramètres!$A$1:$I$89,3,0)*VLOOKUP('Données projet'!$B$12,Paramètres!$A$1:$I$89,5,0)</f>
        <v>58.681999999999981</v>
      </c>
      <c r="CA22" s="14">
        <f t="shared" si="39"/>
        <v>16.834607713213735</v>
      </c>
      <c r="CB22" s="22">
        <f t="shared" si="10"/>
        <v>131.52475843384721</v>
      </c>
      <c r="CC22" s="60">
        <f t="shared" si="11"/>
        <v>345.67685267687074</v>
      </c>
      <c r="CD22" s="60">
        <f ca="1">AVERAGE(OFFSET($CC$3,0,0,'Données projet'!$E$12+1,1))-AVERAGE(OFFSET($H$3,0,0,'Données projet'!$E$12+1,1))</f>
        <v>398.29746143975166</v>
      </c>
      <c r="CE22" s="60">
        <f t="shared" si="40"/>
        <v>300.63705521148802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33.697921459200977</v>
      </c>
      <c r="CV22" s="14">
        <f t="shared" si="41"/>
        <v>10.31198270984201</v>
      </c>
      <c r="CW22" s="22">
        <f t="shared" si="13"/>
        <v>76.650583094416518</v>
      </c>
      <c r="CX22" s="60">
        <f t="shared" si="14"/>
        <v>290.80267733744006</v>
      </c>
      <c r="CY22" s="60">
        <f ca="1">AVERAGE(OFFSET($CX$3,0,0,'Données projet'!$E$13+1,1))-AVERAGE(OFFSET($H$3,0,0,'Données projet'!$E$13+1,1))</f>
        <v>496.33873798282525</v>
      </c>
      <c r="CZ22" s="60">
        <f t="shared" si="42"/>
        <v>280.25465074992246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78.399999999999991</v>
      </c>
      <c r="DP22" s="18">
        <f>DO22*VLOOKUP('Données projet'!$B$14,Paramètres!$A$1:$I$89,3,0)*VLOOKUP('Données projet'!$B$14,Paramètres!$A$1:$I$89,5,0)</f>
        <v>61.151999999999994</v>
      </c>
      <c r="DQ22" s="14">
        <f t="shared" si="43"/>
        <v>17.459207591071255</v>
      </c>
      <c r="DR22" s="22">
        <f t="shared" si="16"/>
        <v>136.9145198877824</v>
      </c>
      <c r="DS22" s="60">
        <f t="shared" si="17"/>
        <v>351.06661413080593</v>
      </c>
      <c r="DT22" s="60">
        <f ca="1">AVERAGE(OFFSET($DS$3,0,0,'Données projet'!$E$14+1,1))-AVERAGE(OFFSET($H$3,0,0,'Données projet'!$E$14+1,1))</f>
        <v>312.59632808777332</v>
      </c>
      <c r="DU22" s="60">
        <f t="shared" si="44"/>
        <v>302.59481222418219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8.2051282051282044</v>
      </c>
      <c r="EJ22" s="13">
        <f>IF('Données projet'!$A$192&gt;35,EJ21+EI22-ER21,IF(A22&lt;'Données projet'!$A$192,$EG$205^A22,IF(A22='Données projet'!$A$192,'Données projet'!$B$192,EJ21+EI22-ER21)))</f>
        <v>82.820512820512818</v>
      </c>
      <c r="EK22" s="18">
        <f>EJ22*VLOOKUP('Données projet'!$B$15,Paramètres!$A$1:$I$89,3,0)*VLOOKUP('Données projet'!$B$15,Paramètres!$A$1:$I$89,5,0)</f>
        <v>55.556000000000004</v>
      </c>
      <c r="EL22" s="14">
        <f t="shared" si="45"/>
        <v>16.039703993592667</v>
      </c>
      <c r="EM22" s="22">
        <f t="shared" si="19"/>
        <v>124.69585112217392</v>
      </c>
      <c r="EN22" s="60">
        <f t="shared" si="20"/>
        <v>338.84794536519746</v>
      </c>
      <c r="EO22" s="60">
        <f ca="1">AVERAGE(OFFSET($EN$3,0,0,'Données projet'!$E$15+1,1))-AVERAGE(OFFSET($H$3,0,0,'Données projet'!$E$15+1,1))</f>
        <v>344.62096650402731</v>
      </c>
      <c r="EP22" s="60">
        <f t="shared" si="46"/>
        <v>277.30931495079346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11.54</v>
      </c>
      <c r="FE22" s="13">
        <f>IF('Données projet'!$A$218&gt;35,FE21+FD22-FM21,IF(A22&lt;'Données projet'!$A$218,$FB$205^A22,IF(A22='Données projet'!$A$218,'Données projet'!$B$218,FE21+FD22-FM21)))</f>
        <v>83.56</v>
      </c>
      <c r="FF22" s="18">
        <f>FE22*VLOOKUP('Données projet'!$B$16,Paramètres!$A$1:$I$89,3,0)*VLOOKUP('Données projet'!$B$16,Paramètres!$A$1:$I$89,5,0)</f>
        <v>72.998016000000007</v>
      </c>
      <c r="FG22" s="14">
        <f t="shared" si="47"/>
        <v>20.416143732342558</v>
      </c>
      <c r="FH22" s="22">
        <f t="shared" si="22"/>
        <v>162.69632820049665</v>
      </c>
      <c r="FI22" s="60">
        <f t="shared" si="23"/>
        <v>376.84842244352018</v>
      </c>
      <c r="FJ22" s="60">
        <f ca="1">AVERAGE(OFFSET($FI$3,0,0,'Données projet'!$E$16+1,1))-AVERAGE(OFFSET($H$3,0,0,'Données projet'!$E$16+1,1))</f>
        <v>363.28611056308665</v>
      </c>
      <c r="FK22" s="60">
        <f t="shared" si="48"/>
        <v>389.43647559455974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37.502525494917215</v>
      </c>
      <c r="GB22" s="14">
        <f t="shared" si="49"/>
        <v>11.334227770598273</v>
      </c>
      <c r="GC22" s="22">
        <f t="shared" si="25"/>
        <v>85.057345270772814</v>
      </c>
      <c r="GD22" s="60">
        <f t="shared" si="26"/>
        <v>299.20943951379633</v>
      </c>
      <c r="GE22" s="60">
        <f ca="1">AVERAGE(OFFSET($GD$3,0,0,'Données projet'!$E$17+1,1))-AVERAGE(OFFSET($H$3,0,0,'Données projet'!$E$17+1,1))</f>
        <v>542.90832990875208</v>
      </c>
      <c r="GF22" s="60">
        <f t="shared" si="50"/>
        <v>304.94365539329362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95.1</v>
      </c>
      <c r="L23" s="13">
        <f>VLOOKUP(A23,'Données projet'!$A$35:$I$55,9,0)</f>
        <v>11.54</v>
      </c>
      <c r="M23" s="13">
        <f t="array" ref="M23">INDEX(L:L,MIN(IF(ISNUMBER(L23:L219),ROW(L23:L219),"")))</f>
        <v>11.54</v>
      </c>
      <c r="N23" s="14">
        <f>IF('Données projet'!$A$36&gt;35,N22+M23-V22,IF(A23&lt;'Données projet'!$A$36,$K$205^A23,IF(A23='Données projet'!$A$36,'Données projet'!$B$36,N22+M23-V22)))</f>
        <v>95.1</v>
      </c>
      <c r="O23" s="14">
        <f>N23*VLOOKUP('Données projet'!$B$9,Paramètres!$A$1:$I$89,3,0)*VLOOKUP('Données projet'!$B$9,Paramètres!$A$1:$I$89,5,0)</f>
        <v>75.661559999999994</v>
      </c>
      <c r="P23" s="14">
        <f t="shared" si="33"/>
        <v>21.072995399411479</v>
      </c>
      <c r="Q23" s="22">
        <f t="shared" si="2"/>
        <v>168.47935065397499</v>
      </c>
      <c r="R23" s="60">
        <f t="shared" si="0"/>
        <v>384.99405354087071</v>
      </c>
      <c r="S23" s="60">
        <f ca="1">AVERAGE(OFFSET($R$3,0,0,'Données projet'!$E$9+1,1))-AVERAGE(OFFSET($H$3,0,0,'Données projet'!$E$9+1,1))</f>
        <v>336.25341821407534</v>
      </c>
      <c r="T23" s="60">
        <f t="shared" si="34"/>
        <v>360.3246221345039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43.1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312.77674802649938</v>
      </c>
      <c r="AN23" s="60">
        <f ca="1">AVERAGE(OFFSET($AM$3,0,0,'Données projet'!$E$10+1,1))-AVERAGE(OFFSET($H$3,0,0,'Données projet'!$E$10+1,1))</f>
        <v>516.30971934066179</v>
      </c>
      <c r="AO23" s="60">
        <f t="shared" si="36"/>
        <v>290.84286505723571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0">
        <f t="shared" si="8"/>
        <v>384.99405354087071</v>
      </c>
      <c r="BI23" s="60">
        <f ca="1">AVERAGE(OFFSET($BH$3,0,0,'Données projet'!$E$11+1,1))-AVERAGE(OFFSET($H$3,0,0,'Données projet'!$E$11+1,1))</f>
        <v>336.25341821407534</v>
      </c>
      <c r="BJ23" s="60">
        <f t="shared" si="38"/>
        <v>360.3246221345039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67.948717948717942</v>
      </c>
      <c r="BW23" s="13">
        <f>VLOOKUP(A23,'Données projet'!$A$113:$I$133,9,0)</f>
        <v>6.2820512820512802</v>
      </c>
      <c r="BX23" s="13">
        <f t="array" ref="BX23">INDEX(BW:BW,MIN(IF(ISNUMBER(BW23:BW219),ROW(BW23:BW219),"")))</f>
        <v>6.2820512820512802</v>
      </c>
      <c r="BY23" s="13">
        <f>IF('Données projet'!$A$114&gt;35,BY22+BX23-CG22,IF(A23&lt;'Données projet'!$A$114,$BV$205^A23,IF(A23='Données projet'!$A$114,'Données projet'!$B$114,BY22+BX23-CG22)))</f>
        <v>67.948717948717928</v>
      </c>
      <c r="BZ23" s="14">
        <f>BY23*VLOOKUP('Données projet'!$B$12,Paramètres!$A$1:$I$89,3,0)*VLOOKUP('Données projet'!$B$12,Paramètres!$A$1:$I$89,5,0)</f>
        <v>64.659999999999982</v>
      </c>
      <c r="CA23" s="14">
        <f t="shared" si="39"/>
        <v>18.341285436472681</v>
      </c>
      <c r="CB23" s="22">
        <f t="shared" si="10"/>
        <v>144.56057213518989</v>
      </c>
      <c r="CC23" s="60">
        <f t="shared" si="11"/>
        <v>361.07527502208563</v>
      </c>
      <c r="CD23" s="60">
        <f ca="1">AVERAGE(OFFSET($CC$3,0,0,'Données projet'!$E$12+1,1))-AVERAGE(OFFSET($H$3,0,0,'Données projet'!$E$12+1,1))</f>
        <v>398.29746143975166</v>
      </c>
      <c r="CE23" s="60">
        <f t="shared" si="40"/>
        <v>300.63705521148802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16.666666666666668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40.622399999999999</v>
      </c>
      <c r="CV23" s="14">
        <f t="shared" si="41"/>
        <v>12.163465560290264</v>
      </c>
      <c r="CW23" s="22">
        <f t="shared" si="13"/>
        <v>91.935382517505545</v>
      </c>
      <c r="CX23" s="60">
        <f t="shared" si="14"/>
        <v>308.45008540440125</v>
      </c>
      <c r="CY23" s="60">
        <f ca="1">AVERAGE(OFFSET($CX$3,0,0,'Données projet'!$E$13+1,1))-AVERAGE(OFFSET($H$3,0,0,'Données projet'!$E$13+1,1))</f>
        <v>496.33873798282525</v>
      </c>
      <c r="CZ23" s="60">
        <f t="shared" si="42"/>
        <v>280.25465074992246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87.999999999999986</v>
      </c>
      <c r="DP23" s="18">
        <f>DO23*VLOOKUP('Données projet'!$B$14,Paramètres!$A$1:$I$89,3,0)*VLOOKUP('Données projet'!$B$14,Paramètres!$A$1:$I$89,5,0)</f>
        <v>68.639999999999986</v>
      </c>
      <c r="DQ23" s="14">
        <f t="shared" si="43"/>
        <v>19.335336956640202</v>
      </c>
      <c r="DR23" s="22">
        <f t="shared" si="16"/>
        <v>153.22371186614834</v>
      </c>
      <c r="DS23" s="60">
        <f t="shared" si="17"/>
        <v>369.73841475304403</v>
      </c>
      <c r="DT23" s="60">
        <f ca="1">AVERAGE(OFFSET($DS$3,0,0,'Données projet'!$E$14+1,1))-AVERAGE(OFFSET($H$3,0,0,'Données projet'!$E$14+1,1))</f>
        <v>312.59632808777332</v>
      </c>
      <c r="DU23" s="60">
        <f t="shared" si="44"/>
        <v>302.59481222418219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91.025641025641022</v>
      </c>
      <c r="EH23" s="13">
        <f>VLOOKUP(A23,'Données projet'!$A$191:$I$211,9,0)</f>
        <v>8.2051282051282044</v>
      </c>
      <c r="EI23" s="13">
        <f t="array" ref="EI23">INDEX(EH:EH,MIN(IF(ISNUMBER(EH23:EH219),ROW(EH23:EH219),"")))</f>
        <v>8.2051282051282044</v>
      </c>
      <c r="EJ23" s="13">
        <f>IF('Données projet'!$A$192&gt;35,EJ22+EI23-ER22,IF(A23&lt;'Données projet'!$A$192,$EG$205^A23,IF(A23='Données projet'!$A$192,'Données projet'!$B$192,EJ22+EI23-ER22)))</f>
        <v>91.025641025641022</v>
      </c>
      <c r="EK23" s="18">
        <f>EJ23*VLOOKUP('Données projet'!$B$15,Paramètres!$A$1:$I$89,3,0)*VLOOKUP('Données projet'!$B$15,Paramètres!$A$1:$I$89,5,0)</f>
        <v>61.06</v>
      </c>
      <c r="EL23" s="14">
        <f t="shared" si="45"/>
        <v>17.43599650596687</v>
      </c>
      <c r="EM23" s="22">
        <f t="shared" si="19"/>
        <v>136.71386058122562</v>
      </c>
      <c r="EN23" s="60">
        <f t="shared" si="20"/>
        <v>353.22856346812137</v>
      </c>
      <c r="EO23" s="60">
        <f ca="1">AVERAGE(OFFSET($EN$3,0,0,'Données projet'!$E$15+1,1))-AVERAGE(OFFSET($H$3,0,0,'Données projet'!$E$15+1,1))</f>
        <v>344.62096650402731</v>
      </c>
      <c r="EP23" s="60">
        <f t="shared" si="46"/>
        <v>277.30931495079346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24.358974358974358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95.1</v>
      </c>
      <c r="FC23" s="13">
        <f>VLOOKUP(A23,'Données projet'!$A$217:$I$237,9,0)</f>
        <v>11.54</v>
      </c>
      <c r="FD23" s="13">
        <f t="array" ref="FD23">INDEX(FC:FC,MIN(IF(ISNUMBER(FC23:FC219),ROW(FC23:FC219),"")))</f>
        <v>11.54</v>
      </c>
      <c r="FE23" s="13">
        <f>IF('Données projet'!$A$218&gt;35,FE22+FD23-FM22,IF(A23&lt;'Données projet'!$A$218,$FB$205^A23,IF(A23='Données projet'!$A$218,'Données projet'!$B$218,FE22+FD23-FM22)))</f>
        <v>95.1</v>
      </c>
      <c r="FF23" s="18">
        <f>FE23*VLOOKUP('Données projet'!$B$16,Paramètres!$A$1:$I$89,3,0)*VLOOKUP('Données projet'!$B$16,Paramètres!$A$1:$I$89,5,0)</f>
        <v>83.079360000000008</v>
      </c>
      <c r="FG23" s="14">
        <f t="shared" si="47"/>
        <v>22.888440621332276</v>
      </c>
      <c r="FH23" s="22">
        <f t="shared" si="22"/>
        <v>184.56058608215372</v>
      </c>
      <c r="FI23" s="60">
        <f t="shared" si="23"/>
        <v>401.07528896904944</v>
      </c>
      <c r="FJ23" s="60">
        <f ca="1">AVERAGE(OFFSET($FI$3,0,0,'Données projet'!$E$16+1,1))-AVERAGE(OFFSET($H$3,0,0,'Données projet'!$E$16+1,1))</f>
        <v>363.28611056308665</v>
      </c>
      <c r="FK23" s="60">
        <f t="shared" si="48"/>
        <v>389.43647559455974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43.1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45.208799999999997</v>
      </c>
      <c r="GB23" s="14">
        <f t="shared" si="49"/>
        <v>13.369251386406743</v>
      </c>
      <c r="GC23" s="22">
        <f t="shared" si="25"/>
        <v>102.02343949799173</v>
      </c>
      <c r="GD23" s="60">
        <f t="shared" si="26"/>
        <v>318.53814238488746</v>
      </c>
      <c r="GE23" s="60">
        <f ca="1">AVERAGE(OFFSET($GD$3,0,0,'Données projet'!$E$17+1,1))-AVERAGE(OFFSET($H$3,0,0,'Données projet'!$E$17+1,1))</f>
        <v>542.90832990875208</v>
      </c>
      <c r="GF23" s="60">
        <f t="shared" si="50"/>
        <v>304.94365539329362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12.500000000000002</v>
      </c>
      <c r="N24" s="14">
        <f>IF('Données projet'!$A$36&gt;35,N23+M24-V23,IF(A24&lt;'Données projet'!$A$36,$K$205^A24,IF(A24='Données projet'!$A$36,'Données projet'!$B$36,N23+M24-V23)))</f>
        <v>64.5</v>
      </c>
      <c r="O24" s="14">
        <f>N24*VLOOKUP('Données projet'!$B$9,Paramètres!$A$1:$I$89,3,0)*VLOOKUP('Données projet'!$B$9,Paramètres!$A$1:$I$89,5,0)</f>
        <v>51.316200000000009</v>
      </c>
      <c r="P24" s="14">
        <f t="shared" si="33"/>
        <v>14.953158316506878</v>
      </c>
      <c r="Q24" s="22">
        <f t="shared" si="2"/>
        <v>115.41913240124948</v>
      </c>
      <c r="R24" s="60">
        <f t="shared" si="0"/>
        <v>334.27666077712388</v>
      </c>
      <c r="S24" s="60">
        <f ca="1">AVERAGE(OFFSET($R$3,0,0,'Données projet'!$E$9+1,1))-AVERAGE(OFFSET($H$3,0,0,'Données projet'!$E$9+1,1))</f>
        <v>336.25341821407534</v>
      </c>
      <c r="T24" s="60">
        <f t="shared" si="34"/>
        <v>360.3246221345039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327.59245112039338</v>
      </c>
      <c r="AN24" s="60">
        <f ca="1">AVERAGE(OFFSET($AM$3,0,0,'Données projet'!$E$10+1,1))-AVERAGE(OFFSET($H$3,0,0,'Données projet'!$E$10+1,1))</f>
        <v>516.30971934066179</v>
      </c>
      <c r="AO24" s="60">
        <f t="shared" si="36"/>
        <v>290.84286505723571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0">
        <f t="shared" si="8"/>
        <v>334.27666077712388</v>
      </c>
      <c r="BI24" s="60">
        <f ca="1">AVERAGE(OFFSET($BH$3,0,0,'Données projet'!$E$11+1,1))-AVERAGE(OFFSET($H$3,0,0,'Données projet'!$E$11+1,1))</f>
        <v>336.25341821407534</v>
      </c>
      <c r="BJ24" s="60">
        <f t="shared" si="38"/>
        <v>360.3246221345039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6.5384615384615419</v>
      </c>
      <c r="BY24" s="13">
        <f>IF('Données projet'!$A$114&gt;35,BY23+BX24-CG23,IF(A24&lt;'Données projet'!$A$114,$BV$205^A24,IF(A24='Données projet'!$A$114,'Données projet'!$B$114,BY23+BX24-CG23)))</f>
        <v>57.820512820512803</v>
      </c>
      <c r="BZ24" s="14">
        <f>BY24*VLOOKUP('Données projet'!$B$12,Paramètres!$A$1:$I$89,3,0)*VLOOKUP('Données projet'!$B$12,Paramètres!$A$1:$I$89,5,0)</f>
        <v>55.021999999999977</v>
      </c>
      <c r="CA24" s="14">
        <f t="shared" si="39"/>
        <v>15.903400778596186</v>
      </c>
      <c r="CB24" s="22">
        <f t="shared" si="10"/>
        <v>123.52840635605497</v>
      </c>
      <c r="CC24" s="60">
        <f t="shared" si="11"/>
        <v>342.38593473192935</v>
      </c>
      <c r="CD24" s="60">
        <f ca="1">AVERAGE(OFFSET($CC$3,0,0,'Données projet'!$E$12+1,1))-AVERAGE(OFFSET($H$3,0,0,'Données projet'!$E$12+1,1))</f>
        <v>398.29746143975166</v>
      </c>
      <c r="CE24" s="60">
        <f t="shared" si="40"/>
        <v>300.63705521148802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46.038720000000005</v>
      </c>
      <c r="CV24" s="14">
        <f t="shared" si="41"/>
        <v>13.585879560828786</v>
      </c>
      <c r="CW24" s="22">
        <f t="shared" si="13"/>
        <v>103.84617756844348</v>
      </c>
      <c r="CX24" s="60">
        <f t="shared" si="14"/>
        <v>322.70370594431785</v>
      </c>
      <c r="CY24" s="60">
        <f ca="1">AVERAGE(OFFSET($CX$3,0,0,'Données projet'!$E$13+1,1))-AVERAGE(OFFSET($H$3,0,0,'Données projet'!$E$13+1,1))</f>
        <v>496.33873798282525</v>
      </c>
      <c r="CZ24" s="60">
        <f t="shared" si="42"/>
        <v>280.25465074992246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98.59999999999998</v>
      </c>
      <c r="DP24" s="18">
        <f>DO24*VLOOKUP('Données projet'!$B$14,Paramètres!$A$1:$I$89,3,0)*VLOOKUP('Données projet'!$B$14,Paramètres!$A$1:$I$89,5,0)</f>
        <v>76.907999999999987</v>
      </c>
      <c r="DQ24" s="14">
        <f t="shared" si="43"/>
        <v>21.379448490435635</v>
      </c>
      <c r="DR24" s="22">
        <f t="shared" si="16"/>
        <v>171.18397278750868</v>
      </c>
      <c r="DS24" s="60">
        <f t="shared" si="17"/>
        <v>390.04150116338303</v>
      </c>
      <c r="DT24" s="60">
        <f ca="1">AVERAGE(OFFSET($DS$3,0,0,'Données projet'!$E$14+1,1))-AVERAGE(OFFSET($H$3,0,0,'Données projet'!$E$14+1,1))</f>
        <v>312.59632808777332</v>
      </c>
      <c r="DU24" s="60">
        <f t="shared" si="44"/>
        <v>302.59481222418219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8.4615384615384617</v>
      </c>
      <c r="EJ24" s="13">
        <f>IF('Données projet'!$A$192&gt;35,EJ23+EI24-ER23,IF(A24&lt;'Données projet'!$A$192,$EG$205^A24,IF(A24='Données projet'!$A$192,'Données projet'!$B$192,EJ23+EI24-ER23)))</f>
        <v>75.128205128205138</v>
      </c>
      <c r="EK24" s="18">
        <f>EJ24*VLOOKUP('Données projet'!$B$15,Paramètres!$A$1:$I$89,3,0)*VLOOKUP('Données projet'!$B$15,Paramètres!$A$1:$I$89,5,0)</f>
        <v>50.396000000000001</v>
      </c>
      <c r="EL24" s="14">
        <f t="shared" si="45"/>
        <v>14.71598138852033</v>
      </c>
      <c r="EM24" s="22">
        <f t="shared" si="19"/>
        <v>113.40336758500625</v>
      </c>
      <c r="EN24" s="60">
        <f t="shared" si="20"/>
        <v>332.26089596088065</v>
      </c>
      <c r="EO24" s="60">
        <f ca="1">AVERAGE(OFFSET($EN$3,0,0,'Données projet'!$E$15+1,1))-AVERAGE(OFFSET($H$3,0,0,'Données projet'!$E$15+1,1))</f>
        <v>344.62096650402731</v>
      </c>
      <c r="EP24" s="60">
        <f t="shared" si="46"/>
        <v>277.30931495079346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12.500000000000002</v>
      </c>
      <c r="FE24" s="13">
        <f>IF('Données projet'!$A$218&gt;35,FE23+FD24-FM23,IF(A24&lt;'Données projet'!$A$218,$FB$205^A24,IF(A24='Données projet'!$A$218,'Données projet'!$B$218,FE23+FD24-FM23)))</f>
        <v>64.5</v>
      </c>
      <c r="FF24" s="18">
        <f>FE24*VLOOKUP('Données projet'!$B$16,Paramètres!$A$1:$I$89,3,0)*VLOOKUP('Données projet'!$B$16,Paramètres!$A$1:$I$89,5,0)</f>
        <v>56.347200000000008</v>
      </c>
      <c r="FG24" s="14">
        <f t="shared" si="47"/>
        <v>16.241377637196607</v>
      </c>
      <c r="FH24" s="22">
        <f t="shared" si="22"/>
        <v>126.42510605145075</v>
      </c>
      <c r="FI24" s="60">
        <f t="shared" si="23"/>
        <v>345.28263442732515</v>
      </c>
      <c r="FJ24" s="60">
        <f ca="1">AVERAGE(OFFSET($FI$3,0,0,'Données projet'!$E$16+1,1))-AVERAGE(OFFSET($H$3,0,0,'Données projet'!$E$16+1,1))</f>
        <v>363.28611056308665</v>
      </c>
      <c r="FK24" s="60">
        <f t="shared" si="48"/>
        <v>389.43647559455974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51.236640000000001</v>
      </c>
      <c r="GB24" s="14">
        <f t="shared" si="49"/>
        <v>14.932671799321549</v>
      </c>
      <c r="GC24" s="22">
        <f t="shared" si="25"/>
        <v>115.24488471715169</v>
      </c>
      <c r="GD24" s="60">
        <f t="shared" si="26"/>
        <v>334.10241309302609</v>
      </c>
      <c r="GE24" s="60">
        <f ca="1">AVERAGE(OFFSET($GD$3,0,0,'Données projet'!$E$17+1,1))-AVERAGE(OFFSET($H$3,0,0,'Données projet'!$E$17+1,1))</f>
        <v>542.90832990875208</v>
      </c>
      <c r="GF24" s="60">
        <f t="shared" si="50"/>
        <v>304.94365539329362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12.500000000000002</v>
      </c>
      <c r="N25" s="14">
        <f>IF('Données projet'!$A$36&gt;35,N24+M25-V24,IF(A25&lt;'Données projet'!$A$36,$K$205^A25,IF(A25='Données projet'!$A$36,'Données projet'!$B$36,N24+M25-V24)))</f>
        <v>77</v>
      </c>
      <c r="O25" s="14">
        <f>N25*VLOOKUP('Données projet'!$B$9,Paramètres!$A$1:$I$89,3,0)*VLOOKUP('Données projet'!$B$9,Paramètres!$A$1:$I$89,5,0)</f>
        <v>61.261200000000009</v>
      </c>
      <c r="P25" s="14">
        <f t="shared" si="33"/>
        <v>17.486752865339852</v>
      </c>
      <c r="Q25" s="22">
        <f t="shared" si="2"/>
        <v>137.15268457380026</v>
      </c>
      <c r="R25" s="60">
        <f t="shared" si="0"/>
        <v>358.33359847726865</v>
      </c>
      <c r="S25" s="60">
        <f ca="1">AVERAGE(OFFSET($R$3,0,0,'Données projet'!$E$9+1,1))-AVERAGE(OFFSET($H$3,0,0,'Données projet'!$E$9+1,1))</f>
        <v>336.25341821407534</v>
      </c>
      <c r="T25" s="60">
        <f t="shared" si="34"/>
        <v>360.3246221345039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342.35349780478379</v>
      </c>
      <c r="AN25" s="60">
        <f ca="1">AVERAGE(OFFSET($AM$3,0,0,'Données projet'!$E$10+1,1))-AVERAGE(OFFSET($H$3,0,0,'Données projet'!$E$10+1,1))</f>
        <v>516.30971934066179</v>
      </c>
      <c r="AO25" s="60">
        <f t="shared" si="36"/>
        <v>290.84286505723571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0">
        <f t="shared" si="8"/>
        <v>358.33359847726865</v>
      </c>
      <c r="BI25" s="60">
        <f ca="1">AVERAGE(OFFSET($BH$3,0,0,'Données projet'!$E$11+1,1))-AVERAGE(OFFSET($H$3,0,0,'Données projet'!$E$11+1,1))</f>
        <v>336.25341821407534</v>
      </c>
      <c r="BJ25" s="60">
        <f t="shared" si="38"/>
        <v>360.3246221345039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6.5384615384615419</v>
      </c>
      <c r="BY25" s="13">
        <f>IF('Données projet'!$A$114&gt;35,BY24+BX25-CG24,IF(A25&lt;'Données projet'!$A$114,$BV$205^A25,IF(A25='Données projet'!$A$114,'Données projet'!$B$114,BY24+BX25-CG24)))</f>
        <v>64.358974358974351</v>
      </c>
      <c r="BZ25" s="14">
        <f>BY25*VLOOKUP('Données projet'!$B$12,Paramètres!$A$1:$I$89,3,0)*VLOOKUP('Données projet'!$B$12,Paramètres!$A$1:$I$89,5,0)</f>
        <v>61.244</v>
      </c>
      <c r="CA25" s="14">
        <f t="shared" si="39"/>
        <v>17.482414611857141</v>
      </c>
      <c r="CB25" s="22">
        <f t="shared" si="10"/>
        <v>137.11517211565118</v>
      </c>
      <c r="CC25" s="60">
        <f t="shared" si="11"/>
        <v>358.29608601911957</v>
      </c>
      <c r="CD25" s="60">
        <f ca="1">AVERAGE(OFFSET($CC$3,0,0,'Données projet'!$E$12+1,1))-AVERAGE(OFFSET($H$3,0,0,'Données projet'!$E$12+1,1))</f>
        <v>398.29746143975166</v>
      </c>
      <c r="CE25" s="60">
        <f t="shared" si="40"/>
        <v>300.63705521148802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51.455040000000004</v>
      </c>
      <c r="CV25" s="14">
        <f t="shared" si="41"/>
        <v>14.988900446655085</v>
      </c>
      <c r="CW25" s="22">
        <f t="shared" si="13"/>
        <v>115.72319627792427</v>
      </c>
      <c r="CX25" s="60">
        <f t="shared" si="14"/>
        <v>336.90411018139264</v>
      </c>
      <c r="CY25" s="60">
        <f ca="1">AVERAGE(OFFSET($CX$3,0,0,'Données projet'!$E$13+1,1))-AVERAGE(OFFSET($H$3,0,0,'Données projet'!$E$13+1,1))</f>
        <v>496.33873798282525</v>
      </c>
      <c r="CZ25" s="60">
        <f t="shared" si="42"/>
        <v>280.25465074992246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109.19999999999997</v>
      </c>
      <c r="DP25" s="18">
        <f>DO25*VLOOKUP('Données projet'!$B$14,Paramètres!$A$1:$I$89,3,0)*VLOOKUP('Données projet'!$B$14,Paramètres!$A$1:$I$89,5,0)</f>
        <v>85.175999999999988</v>
      </c>
      <c r="DQ25" s="14">
        <f t="shared" si="43"/>
        <v>23.398088487656434</v>
      </c>
      <c r="DR25" s="22">
        <f t="shared" si="16"/>
        <v>189.09987078266826</v>
      </c>
      <c r="DS25" s="60">
        <f t="shared" si="17"/>
        <v>410.28078468613666</v>
      </c>
      <c r="DT25" s="60">
        <f ca="1">AVERAGE(OFFSET($DS$3,0,0,'Données projet'!$E$14+1,1))-AVERAGE(OFFSET($H$3,0,0,'Données projet'!$E$14+1,1))</f>
        <v>312.59632808777332</v>
      </c>
      <c r="DU25" s="60">
        <f t="shared" si="44"/>
        <v>302.59481222418219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8.4615384615384617</v>
      </c>
      <c r="EJ25" s="13">
        <f>IF('Données projet'!$A$192&gt;35,EJ24+EI25-ER24,IF(A25&lt;'Données projet'!$A$192,$EG$205^A25,IF(A25='Données projet'!$A$192,'Données projet'!$B$192,EJ24+EI25-ER24)))</f>
        <v>83.589743589743605</v>
      </c>
      <c r="EK25" s="18">
        <f>EJ25*VLOOKUP('Données projet'!$B$15,Paramètres!$A$1:$I$89,3,0)*VLOOKUP('Données projet'!$B$15,Paramètres!$A$1:$I$89,5,0)</f>
        <v>56.07200000000001</v>
      </c>
      <c r="EL25" s="14">
        <f t="shared" si="45"/>
        <v>16.17126790367621</v>
      </c>
      <c r="EM25" s="22">
        <f t="shared" si="19"/>
        <v>125.82369159890273</v>
      </c>
      <c r="EN25" s="60">
        <f t="shared" si="20"/>
        <v>347.00460550237113</v>
      </c>
      <c r="EO25" s="60">
        <f ca="1">AVERAGE(OFFSET($EN$3,0,0,'Données projet'!$E$15+1,1))-AVERAGE(OFFSET($H$3,0,0,'Données projet'!$E$15+1,1))</f>
        <v>344.62096650402731</v>
      </c>
      <c r="EP25" s="60">
        <f t="shared" si="46"/>
        <v>277.30931495079346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12.500000000000002</v>
      </c>
      <c r="FE25" s="13">
        <f>IF('Données projet'!$A$218&gt;35,FE24+FD25-FM24,IF(A25&lt;'Données projet'!$A$218,$FB$205^A25,IF(A25='Données projet'!$A$218,'Données projet'!$B$218,FE24+FD25-FM24)))</f>
        <v>77</v>
      </c>
      <c r="FF25" s="18">
        <f>FE25*VLOOKUP('Données projet'!$B$16,Paramètres!$A$1:$I$89,3,0)*VLOOKUP('Données projet'!$B$16,Paramètres!$A$1:$I$89,5,0)</f>
        <v>67.267200000000003</v>
      </c>
      <c r="FG25" s="14">
        <f t="shared" si="47"/>
        <v>18.993242158132926</v>
      </c>
      <c r="FH25" s="22">
        <f t="shared" si="22"/>
        <v>150.23693675874819</v>
      </c>
      <c r="FI25" s="60">
        <f t="shared" si="23"/>
        <v>371.41785066221655</v>
      </c>
      <c r="FJ25" s="60">
        <f ca="1">AVERAGE(OFFSET($FI$3,0,0,'Données projet'!$E$16+1,1))-AVERAGE(OFFSET($H$3,0,0,'Données projet'!$E$16+1,1))</f>
        <v>363.28611056308665</v>
      </c>
      <c r="FK25" s="60">
        <f t="shared" si="48"/>
        <v>389.43647559455974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57.264479999999999</v>
      </c>
      <c r="GB25" s="14">
        <f t="shared" si="49"/>
        <v>16.474776623807379</v>
      </c>
      <c r="GC25" s="22">
        <f t="shared" si="25"/>
        <v>128.42920528646451</v>
      </c>
      <c r="GD25" s="60">
        <f t="shared" si="26"/>
        <v>349.6101191899329</v>
      </c>
      <c r="GE25" s="60">
        <f ca="1">AVERAGE(OFFSET($GD$3,0,0,'Données projet'!$E$17+1,1))-AVERAGE(OFFSET($H$3,0,0,'Données projet'!$E$17+1,1))</f>
        <v>542.90832990875208</v>
      </c>
      <c r="GF25" s="60">
        <f t="shared" si="50"/>
        <v>304.94365539329362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12.500000000000002</v>
      </c>
      <c r="N26" s="14">
        <f>IF('Données projet'!$A$36&gt;35,N25+M26-V25,IF(A26&lt;'Données projet'!$A$36,$K$205^A26,IF(A26='Données projet'!$A$36,'Données projet'!$B$36,N25+M26-V25)))</f>
        <v>89.5</v>
      </c>
      <c r="O26" s="14">
        <f>N26*VLOOKUP('Données projet'!$B$9,Paramètres!$A$1:$I$89,3,0)*VLOOKUP('Données projet'!$B$9,Paramètres!$A$1:$I$89,5,0)</f>
        <v>71.20620000000001</v>
      </c>
      <c r="P26" s="14">
        <f t="shared" si="33"/>
        <v>19.972701050724211</v>
      </c>
      <c r="Q26" s="22">
        <f t="shared" si="2"/>
        <v>158.80325266334467</v>
      </c>
      <c r="R26" s="60">
        <f t="shared" si="0"/>
        <v>382.28844937289114</v>
      </c>
      <c r="S26" s="60">
        <f ca="1">AVERAGE(OFFSET($R$3,0,0,'Données projet'!$E$9+1,1))-AVERAGE(OFFSET($H$3,0,0,'Données projet'!$E$9+1,1))</f>
        <v>336.25341821407534</v>
      </c>
      <c r="T26" s="60">
        <f t="shared" si="34"/>
        <v>360.3246221345039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357.06435466839378</v>
      </c>
      <c r="AN26" s="60">
        <f ca="1">AVERAGE(OFFSET($AM$3,0,0,'Données projet'!$E$10+1,1))-AVERAGE(OFFSET($H$3,0,0,'Données projet'!$E$10+1,1))</f>
        <v>516.30971934066179</v>
      </c>
      <c r="AO26" s="60">
        <f t="shared" si="36"/>
        <v>290.84286505723571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0">
        <f t="shared" si="8"/>
        <v>382.28844937289114</v>
      </c>
      <c r="BI26" s="60">
        <f ca="1">AVERAGE(OFFSET($BH$3,0,0,'Données projet'!$E$11+1,1))-AVERAGE(OFFSET($H$3,0,0,'Données projet'!$E$11+1,1))</f>
        <v>336.25341821407534</v>
      </c>
      <c r="BJ26" s="60">
        <f t="shared" si="38"/>
        <v>360.3246221345039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6.5384615384615419</v>
      </c>
      <c r="BY26" s="13">
        <f>IF('Données projet'!$A$114&gt;35,BY25+BX26-CG25,IF(A26&lt;'Données projet'!$A$114,$BV$205^A26,IF(A26='Données projet'!$A$114,'Données projet'!$B$114,BY25+BX26-CG25)))</f>
        <v>70.897435897435898</v>
      </c>
      <c r="BZ26" s="14">
        <f>BY26*VLOOKUP('Données projet'!$B$12,Paramètres!$A$1:$I$89,3,0)*VLOOKUP('Données projet'!$B$12,Paramètres!$A$1:$I$89,5,0)</f>
        <v>67.466000000000008</v>
      </c>
      <c r="CA26" s="14">
        <f t="shared" si="39"/>
        <v>19.042832056451115</v>
      </c>
      <c r="CB26" s="22">
        <f t="shared" si="10"/>
        <v>150.66954916498568</v>
      </c>
      <c r="CC26" s="60">
        <f t="shared" si="11"/>
        <v>374.15474587453218</v>
      </c>
      <c r="CD26" s="60">
        <f ca="1">AVERAGE(OFFSET($CC$3,0,0,'Données projet'!$E$12+1,1))-AVERAGE(OFFSET($H$3,0,0,'Données projet'!$E$12+1,1))</f>
        <v>398.29746143975166</v>
      </c>
      <c r="CE26" s="60">
        <f t="shared" si="40"/>
        <v>300.63705521148802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56.87136000000001</v>
      </c>
      <c r="CV26" s="14">
        <f t="shared" si="41"/>
        <v>16.374802181791551</v>
      </c>
      <c r="CW26" s="22">
        <f t="shared" si="13"/>
        <v>127.57039913328697</v>
      </c>
      <c r="CX26" s="60">
        <f t="shared" si="14"/>
        <v>351.05559584283344</v>
      </c>
      <c r="CY26" s="60">
        <f ca="1">AVERAGE(OFFSET($CX$3,0,0,'Données projet'!$E$13+1,1))-AVERAGE(OFFSET($H$3,0,0,'Données projet'!$E$13+1,1))</f>
        <v>496.33873798282525</v>
      </c>
      <c r="CZ26" s="60">
        <f t="shared" si="42"/>
        <v>280.25465074992246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119.79999999999997</v>
      </c>
      <c r="DP26" s="18">
        <f>DO26*VLOOKUP('Données projet'!$B$14,Paramètres!$A$1:$I$89,3,0)*VLOOKUP('Données projet'!$B$14,Paramètres!$A$1:$I$89,5,0)</f>
        <v>93.443999999999974</v>
      </c>
      <c r="DQ26" s="14">
        <f t="shared" si="43"/>
        <v>25.394010816431489</v>
      </c>
      <c r="DR26" s="22">
        <f t="shared" si="16"/>
        <v>206.97620217195148</v>
      </c>
      <c r="DS26" s="60">
        <f t="shared" si="17"/>
        <v>430.46139888149798</v>
      </c>
      <c r="DT26" s="60">
        <f ca="1">AVERAGE(OFFSET($DS$3,0,0,'Données projet'!$E$14+1,1))-AVERAGE(OFFSET($H$3,0,0,'Données projet'!$E$14+1,1))</f>
        <v>312.59632808777332</v>
      </c>
      <c r="DU26" s="60">
        <f t="shared" si="44"/>
        <v>302.59481222418219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8.4615384615384617</v>
      </c>
      <c r="EJ26" s="13">
        <f>IF('Données projet'!$A$192&gt;35,EJ25+EI26-ER25,IF(A26&lt;'Données projet'!$A$192,$EG$205^A26,IF(A26='Données projet'!$A$192,'Données projet'!$B$192,EJ25+EI26-ER25)))</f>
        <v>92.051282051282072</v>
      </c>
      <c r="EK26" s="18">
        <f>EJ26*VLOOKUP('Données projet'!$B$15,Paramètres!$A$1:$I$89,3,0)*VLOOKUP('Données projet'!$B$15,Paramètres!$A$1:$I$89,5,0)</f>
        <v>61.748000000000012</v>
      </c>
      <c r="EL26" s="14">
        <f t="shared" si="45"/>
        <v>17.609476905605174</v>
      </c>
      <c r="EM26" s="22">
        <f t="shared" si="19"/>
        <v>138.21427227726235</v>
      </c>
      <c r="EN26" s="60">
        <f t="shared" si="20"/>
        <v>361.69946898680882</v>
      </c>
      <c r="EO26" s="60">
        <f ca="1">AVERAGE(OFFSET($EN$3,0,0,'Données projet'!$E$15+1,1))-AVERAGE(OFFSET($H$3,0,0,'Données projet'!$E$15+1,1))</f>
        <v>344.62096650402731</v>
      </c>
      <c r="EP26" s="60">
        <f t="shared" si="46"/>
        <v>277.30931495079346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12.500000000000002</v>
      </c>
      <c r="FE26" s="13">
        <f>IF('Données projet'!$A$218&gt;35,FE25+FD26-FM25,IF(A26&lt;'Données projet'!$A$218,$FB$205^A26,IF(A26='Données projet'!$A$218,'Données projet'!$B$218,FE25+FD26-FM25)))</f>
        <v>89.5</v>
      </c>
      <c r="FF26" s="18">
        <f>FE26*VLOOKUP('Données projet'!$B$16,Paramètres!$A$1:$I$89,3,0)*VLOOKUP('Données projet'!$B$16,Paramètres!$A$1:$I$89,5,0)</f>
        <v>78.187200000000004</v>
      </c>
      <c r="FG26" s="14">
        <f t="shared" si="47"/>
        <v>21.693355566332489</v>
      </c>
      <c r="FH26" s="22">
        <f t="shared" si="22"/>
        <v>173.95863427802908</v>
      </c>
      <c r="FI26" s="60">
        <f t="shared" si="23"/>
        <v>397.44383098757555</v>
      </c>
      <c r="FJ26" s="60">
        <f ca="1">AVERAGE(OFFSET($FI$3,0,0,'Données projet'!$E$16+1,1))-AVERAGE(OFFSET($H$3,0,0,'Données projet'!$E$16+1,1))</f>
        <v>363.28611056308665</v>
      </c>
      <c r="FK26" s="60">
        <f t="shared" si="48"/>
        <v>389.43647559455974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63.292320000000004</v>
      </c>
      <c r="GB26" s="14">
        <f t="shared" si="49"/>
        <v>17.998065245956816</v>
      </c>
      <c r="GC26" s="22">
        <f t="shared" si="25"/>
        <v>141.58075430337479</v>
      </c>
      <c r="GD26" s="60">
        <f t="shared" si="26"/>
        <v>365.06595101292129</v>
      </c>
      <c r="GE26" s="60">
        <f ca="1">AVERAGE(OFFSET($GD$3,0,0,'Données projet'!$E$17+1,1))-AVERAGE(OFFSET($H$3,0,0,'Données projet'!$E$17+1,1))</f>
        <v>542.90832990875208</v>
      </c>
      <c r="GF26" s="60">
        <f t="shared" si="50"/>
        <v>304.94365539329362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12.500000000000002</v>
      </c>
      <c r="N27" s="14">
        <f>IF('Données projet'!$A$36&gt;35,N26+M27-V26,IF(A27&lt;'Données projet'!$A$36,$K$205^A27,IF(A27='Données projet'!$A$36,'Données projet'!$B$36,N26+M27-V26)))</f>
        <v>102</v>
      </c>
      <c r="O27" s="14">
        <f>N27*VLOOKUP('Données projet'!$B$9,Paramètres!$A$1:$I$89,3,0)*VLOOKUP('Données projet'!$B$9,Paramètres!$A$1:$I$89,5,0)</f>
        <v>81.151200000000003</v>
      </c>
      <c r="P27" s="14">
        <f t="shared" si="33"/>
        <v>22.418424032002342</v>
      </c>
      <c r="Q27" s="22">
        <f t="shared" si="2"/>
        <v>180.38376185573739</v>
      </c>
      <c r="R27" s="60">
        <f t="shared" si="0"/>
        <v>406.15447003935719</v>
      </c>
      <c r="S27" s="60">
        <f ca="1">AVERAGE(OFFSET($R$3,0,0,'Données projet'!$E$9+1,1))-AVERAGE(OFFSET($H$3,0,0,'Données projet'!$E$9+1,1))</f>
        <v>336.25341821407534</v>
      </c>
      <c r="T27" s="60">
        <f t="shared" si="34"/>
        <v>360.3246221345039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371.72865061439427</v>
      </c>
      <c r="AN27" s="60">
        <f ca="1">AVERAGE(OFFSET($AM$3,0,0,'Données projet'!$E$10+1,1))-AVERAGE(OFFSET($H$3,0,0,'Données projet'!$E$10+1,1))</f>
        <v>516.30971934066179</v>
      </c>
      <c r="AO27" s="60">
        <f t="shared" si="36"/>
        <v>290.84286505723571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0">
        <f t="shared" si="8"/>
        <v>406.15447003935719</v>
      </c>
      <c r="BI27" s="60">
        <f ca="1">AVERAGE(OFFSET($BH$3,0,0,'Données projet'!$E$11+1,1))-AVERAGE(OFFSET($H$3,0,0,'Données projet'!$E$11+1,1))</f>
        <v>336.25341821407534</v>
      </c>
      <c r="BJ27" s="60">
        <f t="shared" si="38"/>
        <v>360.3246221345039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6.5384615384615419</v>
      </c>
      <c r="BY27" s="13">
        <f>IF('Données projet'!$A$114&gt;35,BY26+BX27-CG26,IF(A27&lt;'Données projet'!$A$114,$BV$205^A27,IF(A27='Données projet'!$A$114,'Données projet'!$B$114,BY26+BX27-CG26)))</f>
        <v>77.435897435897445</v>
      </c>
      <c r="BZ27" s="14">
        <f>BY27*VLOOKUP('Données projet'!$B$12,Paramètres!$A$1:$I$89,3,0)*VLOOKUP('Données projet'!$B$12,Paramètres!$A$1:$I$89,5,0)</f>
        <v>73.688000000000017</v>
      </c>
      <c r="CA27" s="14">
        <f t="shared" si="39"/>
        <v>20.586563216136717</v>
      </c>
      <c r="CB27" s="22">
        <f t="shared" si="10"/>
        <v>164.19486426810479</v>
      </c>
      <c r="CC27" s="60">
        <f t="shared" si="11"/>
        <v>389.9655724517246</v>
      </c>
      <c r="CD27" s="60">
        <f ca="1">AVERAGE(OFFSET($CC$3,0,0,'Données projet'!$E$12+1,1))-AVERAGE(OFFSET($H$3,0,0,'Données projet'!$E$12+1,1))</f>
        <v>398.29746143975166</v>
      </c>
      <c r="CE27" s="60">
        <f t="shared" si="40"/>
        <v>300.63705521148802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62.287680000000009</v>
      </c>
      <c r="CV27" s="14">
        <f t="shared" si="41"/>
        <v>17.745400652396182</v>
      </c>
      <c r="CW27" s="22">
        <f t="shared" si="13"/>
        <v>139.39094880292336</v>
      </c>
      <c r="CX27" s="60">
        <f t="shared" si="14"/>
        <v>365.16165698654316</v>
      </c>
      <c r="CY27" s="60">
        <f ca="1">AVERAGE(OFFSET($CX$3,0,0,'Données projet'!$E$13+1,1))-AVERAGE(OFFSET($H$3,0,0,'Données projet'!$E$13+1,1))</f>
        <v>496.33873798282525</v>
      </c>
      <c r="CZ27" s="60">
        <f t="shared" si="42"/>
        <v>280.25465074992246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130.39999999999998</v>
      </c>
      <c r="DP27" s="18">
        <f>DO27*VLOOKUP('Données projet'!$B$14,Paramètres!$A$1:$I$89,3,0)*VLOOKUP('Données projet'!$B$14,Paramètres!$A$1:$I$89,5,0)</f>
        <v>101.71199999999999</v>
      </c>
      <c r="DQ27" s="14">
        <f t="shared" si="43"/>
        <v>27.369454120725656</v>
      </c>
      <c r="DR27" s="22">
        <f t="shared" si="16"/>
        <v>224.81686592693052</v>
      </c>
      <c r="DS27" s="60">
        <f t="shared" si="17"/>
        <v>450.58757411055035</v>
      </c>
      <c r="DT27" s="60">
        <f ca="1">AVERAGE(OFFSET($DS$3,0,0,'Données projet'!$E$14+1,1))-AVERAGE(OFFSET($H$3,0,0,'Données projet'!$E$14+1,1))</f>
        <v>312.59632808777332</v>
      </c>
      <c r="DU27" s="60">
        <f t="shared" si="44"/>
        <v>302.59481222418219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8.4615384615384617</v>
      </c>
      <c r="EJ27" s="13">
        <f>IF('Données projet'!$A$192&gt;35,EJ26+EI27-ER26,IF(A27&lt;'Données projet'!$A$192,$EG$205^A27,IF(A27='Données projet'!$A$192,'Données projet'!$B$192,EJ26+EI27-ER26)))</f>
        <v>100.51282051282054</v>
      </c>
      <c r="EK27" s="18">
        <f>EJ27*VLOOKUP('Données projet'!$B$15,Paramètres!$A$1:$I$89,3,0)*VLOOKUP('Données projet'!$B$15,Paramètres!$A$1:$I$89,5,0)</f>
        <v>67.424000000000021</v>
      </c>
      <c r="EL27" s="14">
        <f t="shared" si="45"/>
        <v>19.032356736143235</v>
      </c>
      <c r="EM27" s="22">
        <f t="shared" si="19"/>
        <v>150.57815464878283</v>
      </c>
      <c r="EN27" s="60">
        <f t="shared" si="20"/>
        <v>376.34886283240263</v>
      </c>
      <c r="EO27" s="60">
        <f ca="1">AVERAGE(OFFSET($EN$3,0,0,'Données projet'!$E$15+1,1))-AVERAGE(OFFSET($H$3,0,0,'Données projet'!$E$15+1,1))</f>
        <v>344.62096650402731</v>
      </c>
      <c r="EP27" s="60">
        <f t="shared" si="46"/>
        <v>277.30931495079346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12.500000000000002</v>
      </c>
      <c r="FE27" s="13">
        <f>IF('Données projet'!$A$218&gt;35,FE26+FD27-FM26,IF(A27&lt;'Données projet'!$A$218,$FB$205^A27,IF(A27='Données projet'!$A$218,'Données projet'!$B$218,FE26+FD27-FM26)))</f>
        <v>102</v>
      </c>
      <c r="FF27" s="18">
        <f>FE27*VLOOKUP('Données projet'!$B$16,Paramètres!$A$1:$I$89,3,0)*VLOOKUP('Données projet'!$B$16,Paramètres!$A$1:$I$89,5,0)</f>
        <v>89.107200000000006</v>
      </c>
      <c r="FG27" s="14">
        <f t="shared" si="47"/>
        <v>24.349778356363352</v>
      </c>
      <c r="FH27" s="22">
        <f t="shared" si="22"/>
        <v>197.6042373039995</v>
      </c>
      <c r="FI27" s="60">
        <f t="shared" si="23"/>
        <v>423.3749454876193</v>
      </c>
      <c r="FJ27" s="60">
        <f ca="1">AVERAGE(OFFSET($FI$3,0,0,'Données projet'!$E$16+1,1))-AVERAGE(OFFSET($H$3,0,0,'Données projet'!$E$16+1,1))</f>
        <v>363.28611056308665</v>
      </c>
      <c r="FK27" s="60">
        <f t="shared" si="48"/>
        <v>389.43647559455974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69.320160000000001</v>
      </c>
      <c r="GB27" s="14">
        <f t="shared" si="49"/>
        <v>19.50453356393022</v>
      </c>
      <c r="GC27" s="22">
        <f t="shared" si="25"/>
        <v>154.70300795717847</v>
      </c>
      <c r="GD27" s="60">
        <f t="shared" si="26"/>
        <v>380.47371614079827</v>
      </c>
      <c r="GE27" s="60">
        <f ca="1">AVERAGE(OFFSET($GD$3,0,0,'Données projet'!$E$17+1,1))-AVERAGE(OFFSET($H$3,0,0,'Données projet'!$E$17+1,1))</f>
        <v>542.90832990875208</v>
      </c>
      <c r="GF27" s="60">
        <f t="shared" si="50"/>
        <v>304.94365539329362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114.5</v>
      </c>
      <c r="L28" s="13">
        <f>VLOOKUP(A28,'Données projet'!$A$35:$I$55,9,0)</f>
        <v>12.500000000000002</v>
      </c>
      <c r="M28" s="13">
        <f t="array" ref="M28">INDEX(L:L,MIN(IF(ISNUMBER(L28:L224),ROW(L28:L224),"")))</f>
        <v>12.500000000000002</v>
      </c>
      <c r="N28" s="14">
        <f>IF('Données projet'!$A$36&gt;35,N27+M28-V27,IF(A28&lt;'Données projet'!$A$36,$K$205^A28,IF(A28='Données projet'!$A$36,'Données projet'!$B$36,N27+M28-V27)))</f>
        <v>114.5</v>
      </c>
      <c r="O28" s="14">
        <f>N28*VLOOKUP('Données projet'!$B$9,Paramètres!$A$1:$I$89,3,0)*VLOOKUP('Données projet'!$B$9,Paramètres!$A$1:$I$89,5,0)</f>
        <v>91.09620000000001</v>
      </c>
      <c r="P28" s="14">
        <f t="shared" si="33"/>
        <v>24.829415470949538</v>
      </c>
      <c r="Q28" s="22">
        <f t="shared" si="2"/>
        <v>201.90378027857048</v>
      </c>
      <c r="R28" s="60">
        <f t="shared" si="0"/>
        <v>429.94155424490259</v>
      </c>
      <c r="S28" s="60">
        <f ca="1">AVERAGE(OFFSET($R$3,0,0,'Données projet'!$E$9+1,1))-AVERAGE(OFFSET($H$3,0,0,'Données projet'!$E$9+1,1))</f>
        <v>336.25341821407534</v>
      </c>
      <c r="T28" s="60">
        <f t="shared" si="34"/>
        <v>360.3246221345039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386.34940252889123</v>
      </c>
      <c r="AN28" s="60">
        <f ca="1">AVERAGE(OFFSET($AM$3,0,0,'Données projet'!$E$10+1,1))-AVERAGE(OFFSET($H$3,0,0,'Données projet'!$E$10+1,1))</f>
        <v>516.30971934066179</v>
      </c>
      <c r="AO28" s="60">
        <f t="shared" si="36"/>
        <v>290.84286505723571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0">
        <f t="shared" si="8"/>
        <v>429.94155424490259</v>
      </c>
      <c r="BI28" s="60">
        <f ca="1">AVERAGE(OFFSET($BH$3,0,0,'Données projet'!$E$11+1,1))-AVERAGE(OFFSET($H$3,0,0,'Données projet'!$E$11+1,1))</f>
        <v>336.25341821407534</v>
      </c>
      <c r="BJ28" s="60">
        <f t="shared" si="38"/>
        <v>360.3246221345039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83.974358974358978</v>
      </c>
      <c r="BW28" s="13">
        <f>VLOOKUP(A28,'Données projet'!$A$113:$I$133,9,0)</f>
        <v>6.5384615384615419</v>
      </c>
      <c r="BX28" s="13">
        <f t="array" ref="BX28">INDEX(BW:BW,MIN(IF(ISNUMBER(BW28:BW224),ROW(BW28:BW224),"")))</f>
        <v>6.5384615384615419</v>
      </c>
      <c r="BY28" s="13">
        <f>IF('Données projet'!$A$114&gt;35,BY27+BX28-CG27,IF(A28&lt;'Données projet'!$A$114,$BV$205^A28,IF(A28='Données projet'!$A$114,'Données projet'!$B$114,BY27+BX28-CG27)))</f>
        <v>83.974358974358992</v>
      </c>
      <c r="BZ28" s="14">
        <f>BY28*VLOOKUP('Données projet'!$B$12,Paramètres!$A$1:$I$89,3,0)*VLOOKUP('Données projet'!$B$12,Paramètres!$A$1:$I$89,5,0)</f>
        <v>79.910000000000025</v>
      </c>
      <c r="CA28" s="14">
        <f t="shared" si="39"/>
        <v>22.115177219366689</v>
      </c>
      <c r="CB28" s="22">
        <f t="shared" si="10"/>
        <v>177.69385032373035</v>
      </c>
      <c r="CC28" s="60">
        <f t="shared" si="11"/>
        <v>405.73162429006243</v>
      </c>
      <c r="CD28" s="60">
        <f ca="1">AVERAGE(OFFSET($CC$3,0,0,'Données projet'!$E$12+1,1))-AVERAGE(OFFSET($H$3,0,0,'Données projet'!$E$12+1,1))</f>
        <v>398.29746143975166</v>
      </c>
      <c r="CE28" s="60">
        <f t="shared" si="40"/>
        <v>300.63705521148802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67.703999999999994</v>
      </c>
      <c r="CV28" s="14">
        <f t="shared" si="41"/>
        <v>19.102177882771514</v>
      </c>
      <c r="CW28" s="22">
        <f t="shared" si="13"/>
        <v>151.18742647916039</v>
      </c>
      <c r="CX28" s="60">
        <f t="shared" si="14"/>
        <v>379.22520044549253</v>
      </c>
      <c r="CY28" s="60">
        <f ca="1">AVERAGE(OFFSET($CX$3,0,0,'Données projet'!$E$13+1,1))-AVERAGE(OFFSET($H$3,0,0,'Données projet'!$E$13+1,1))</f>
        <v>496.33873798282525</v>
      </c>
      <c r="CZ28" s="60">
        <f t="shared" si="42"/>
        <v>280.25465074992246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109.97999999999998</v>
      </c>
      <c r="DQ28" s="14">
        <f t="shared" si="43"/>
        <v>29.326272366698234</v>
      </c>
      <c r="DR28" s="22">
        <f t="shared" si="16"/>
        <v>242.62509103866606</v>
      </c>
      <c r="DS28" s="60">
        <f t="shared" si="17"/>
        <v>470.66286500499814</v>
      </c>
      <c r="DT28" s="60">
        <f ca="1">AVERAGE(OFFSET($DS$3,0,0,'Données projet'!$E$14+1,1))-AVERAGE(OFFSET($H$3,0,0,'Données projet'!$E$14+1,1))</f>
        <v>312.59632808777332</v>
      </c>
      <c r="DU28" s="60">
        <f t="shared" si="44"/>
        <v>302.59481222418219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55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108.97435897435896</v>
      </c>
      <c r="EH28" s="13">
        <f>VLOOKUP(A28,'Données projet'!$A$191:$I$211,9,0)</f>
        <v>8.4615384615384617</v>
      </c>
      <c r="EI28" s="13">
        <f t="array" ref="EI28">INDEX(EH:EH,MIN(IF(ISNUMBER(EH28:EH224),ROW(EH28:EH224),"")))</f>
        <v>8.4615384615384617</v>
      </c>
      <c r="EJ28" s="13">
        <f>IF('Données projet'!$A$192&gt;35,EJ27+EI28-ER27,IF(A28&lt;'Données projet'!$A$192,$EG$205^A28,IF(A28='Données projet'!$A$192,'Données projet'!$B$192,EJ27+EI28-ER27)))</f>
        <v>108.97435897435901</v>
      </c>
      <c r="EK28" s="18">
        <f>EJ28*VLOOKUP('Données projet'!$B$15,Paramètres!$A$1:$I$89,3,0)*VLOOKUP('Données projet'!$B$15,Paramètres!$A$1:$I$89,5,0)</f>
        <v>73.100000000000023</v>
      </c>
      <c r="EL28" s="14">
        <f t="shared" si="45"/>
        <v>20.44134457781275</v>
      </c>
      <c r="EM28" s="22">
        <f t="shared" si="19"/>
        <v>162.91784180635725</v>
      </c>
      <c r="EN28" s="60">
        <f t="shared" si="20"/>
        <v>390.95561577268938</v>
      </c>
      <c r="EO28" s="60">
        <f ca="1">AVERAGE(OFFSET($EN$3,0,0,'Données projet'!$E$15+1,1))-AVERAGE(OFFSET($H$3,0,0,'Données projet'!$E$15+1,1))</f>
        <v>344.62096650402731</v>
      </c>
      <c r="EP28" s="60">
        <f t="shared" si="46"/>
        <v>277.30931495079346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114.5</v>
      </c>
      <c r="FC28" s="13">
        <f>VLOOKUP(A28,'Données projet'!$A$217:$I$237,9,0)</f>
        <v>12.500000000000002</v>
      </c>
      <c r="FD28" s="13">
        <f t="array" ref="FD28">INDEX(FC:FC,MIN(IF(ISNUMBER(FC28:FC224),ROW(FC28:FC224),"")))</f>
        <v>12.500000000000002</v>
      </c>
      <c r="FE28" s="13">
        <f>IF('Données projet'!$A$218&gt;35,FE27+FD28-FM27,IF(A28&lt;'Données projet'!$A$218,$FB$205^A28,IF(A28='Données projet'!$A$218,'Données projet'!$B$218,FE27+FD28-FM27)))</f>
        <v>114.5</v>
      </c>
      <c r="FF28" s="18">
        <f>FE28*VLOOKUP('Données projet'!$B$16,Paramètres!$A$1:$I$89,3,0)*VLOOKUP('Données projet'!$B$16,Paramètres!$A$1:$I$89,5,0)</f>
        <v>100.02720000000001</v>
      </c>
      <c r="FG28" s="14">
        <f t="shared" si="47"/>
        <v>26.968477470701153</v>
      </c>
      <c r="FH28" s="22">
        <f t="shared" si="22"/>
        <v>221.18413826147119</v>
      </c>
      <c r="FI28" s="60">
        <f t="shared" si="23"/>
        <v>449.22191222780327</v>
      </c>
      <c r="FJ28" s="60">
        <f ca="1">AVERAGE(OFFSET($FI$3,0,0,'Données projet'!$E$16+1,1))-AVERAGE(OFFSET($H$3,0,0,'Données projet'!$E$16+1,1))</f>
        <v>363.28611056308665</v>
      </c>
      <c r="FK28" s="60">
        <f t="shared" si="48"/>
        <v>389.43647559455974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75.347999999999999</v>
      </c>
      <c r="GB28" s="14">
        <f t="shared" si="49"/>
        <v>20.99581051771704</v>
      </c>
      <c r="GC28" s="22">
        <f t="shared" si="25"/>
        <v>167.79880331835713</v>
      </c>
      <c r="GD28" s="60">
        <f t="shared" si="26"/>
        <v>395.83657728468927</v>
      </c>
      <c r="GE28" s="60">
        <f ca="1">AVERAGE(OFFSET($GD$3,0,0,'Données projet'!$E$17+1,1))-AVERAGE(OFFSET($H$3,0,0,'Données projet'!$E$17+1,1))</f>
        <v>542.90832990875208</v>
      </c>
      <c r="GF28" s="60">
        <f t="shared" si="50"/>
        <v>304.94365539329362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</v>
      </c>
      <c r="N29" s="14">
        <f>IF('Données projet'!$A$36&gt;35,N28+M29-V28,IF(A29&lt;'Données projet'!$A$36,$K$205^A29,IF(A29='Données projet'!$A$36,'Données projet'!$B$36,N28+M29-V28)))</f>
        <v>126.5</v>
      </c>
      <c r="O29" s="14">
        <f>N29*VLOOKUP('Données projet'!$B$9,Paramètres!$A$1:$I$89,3,0)*VLOOKUP('Données projet'!$B$9,Paramètres!$A$1:$I$89,5,0)</f>
        <v>100.6434</v>
      </c>
      <c r="P29" s="14">
        <f t="shared" si="33"/>
        <v>27.115221465557241</v>
      </c>
      <c r="Q29" s="22">
        <f t="shared" si="2"/>
        <v>222.51293238584552</v>
      </c>
      <c r="R29" s="60">
        <f t="shared" si="0"/>
        <v>452.7996464350357</v>
      </c>
      <c r="S29" s="60">
        <f ca="1">AVERAGE(OFFSET($R$3,0,0,'Données projet'!$E$9+1,1))-AVERAGE(OFFSET($H$3,0,0,'Données projet'!$E$9+1,1))</f>
        <v>336.25341821407534</v>
      </c>
      <c r="T29" s="60">
        <f t="shared" si="34"/>
        <v>360.3246221345039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404.00852785880011</v>
      </c>
      <c r="AN29" s="60">
        <f ca="1">AVERAGE(OFFSET($AM$3,0,0,'Données projet'!$E$10+1,1))-AVERAGE(OFFSET($H$3,0,0,'Données projet'!$E$10+1,1))</f>
        <v>516.30971934066179</v>
      </c>
      <c r="AO29" s="60">
        <f t="shared" si="36"/>
        <v>290.84286505723571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0">
        <f t="shared" si="8"/>
        <v>452.7996464350357</v>
      </c>
      <c r="BI29" s="60">
        <f ca="1">AVERAGE(OFFSET($BH$3,0,0,'Données projet'!$E$11+1,1))-AVERAGE(OFFSET($H$3,0,0,'Données projet'!$E$11+1,1))</f>
        <v>336.25341821407534</v>
      </c>
      <c r="BJ29" s="60">
        <f t="shared" si="38"/>
        <v>360.3246221345039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6.5384615384615357</v>
      </c>
      <c r="BY29" s="13">
        <f>IF('Données projet'!$A$114&gt;35,BY28+BX29-CG28,IF(A29&lt;'Données projet'!$A$114,$BV$205^A29,IF(A29='Données projet'!$A$114,'Données projet'!$B$114,BY28+BX29-CG28)))</f>
        <v>90.512820512820525</v>
      </c>
      <c r="BZ29" s="14">
        <f>BY29*VLOOKUP('Données projet'!$B$12,Paramètres!$A$1:$I$89,3,0)*VLOOKUP('Données projet'!$B$12,Paramètres!$A$1:$I$89,5,0)</f>
        <v>86.132000000000019</v>
      </c>
      <c r="CA29" s="14">
        <f t="shared" si="39"/>
        <v>23.629984954025307</v>
      </c>
      <c r="CB29" s="22">
        <f t="shared" si="10"/>
        <v>191.16879046159409</v>
      </c>
      <c r="CC29" s="60">
        <f t="shared" si="11"/>
        <v>421.45550451078429</v>
      </c>
      <c r="CD29" s="60">
        <f ca="1">AVERAGE(OFFSET($CC$3,0,0,'Données projet'!$E$12+1,1))-AVERAGE(OFFSET($H$3,0,0,'Données projet'!$E$12+1,1))</f>
        <v>398.29746143975166</v>
      </c>
      <c r="CE29" s="60">
        <f t="shared" si="40"/>
        <v>300.63705521148802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74.474400000000003</v>
      </c>
      <c r="CV29" s="14">
        <f t="shared" si="41"/>
        <v>20.780570274034375</v>
      </c>
      <c r="CW29" s="22">
        <f t="shared" si="13"/>
        <v>165.90240656060988</v>
      </c>
      <c r="CX29" s="60">
        <f t="shared" si="14"/>
        <v>396.18912060980006</v>
      </c>
      <c r="CY29" s="60">
        <f ca="1">AVERAGE(OFFSET($CX$3,0,0,'Données projet'!$E$13+1,1))-AVERAGE(OFFSET($H$3,0,0,'Données projet'!$E$13+1,1))</f>
        <v>496.33873798282525</v>
      </c>
      <c r="CZ29" s="60">
        <f t="shared" si="42"/>
        <v>280.25465074992246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97.499999999999972</v>
      </c>
      <c r="DP29" s="18">
        <f>DO29*VLOOKUP('Données projet'!$B$14,Paramètres!$A$1:$I$89,3,0)*VLOOKUP('Données projet'!$B$14,Paramètres!$A$1:$I$89,5,0)</f>
        <v>76.049999999999983</v>
      </c>
      <c r="DQ29" s="14">
        <f t="shared" si="43"/>
        <v>21.168560890749262</v>
      </c>
      <c r="DR29" s="22">
        <f t="shared" si="16"/>
        <v>169.32232688472158</v>
      </c>
      <c r="DS29" s="60">
        <f t="shared" si="17"/>
        <v>399.60904093391173</v>
      </c>
      <c r="DT29" s="60">
        <f ca="1">AVERAGE(OFFSET($DS$3,0,0,'Données projet'!$E$14+1,1))-AVERAGE(OFFSET($H$3,0,0,'Données projet'!$E$14+1,1))</f>
        <v>312.59632808777332</v>
      </c>
      <c r="DU29" s="60">
        <f t="shared" si="44"/>
        <v>302.59481222418219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8.0769230769230802</v>
      </c>
      <c r="EJ29" s="13">
        <f>IF('Données projet'!$A$192&gt;35,EJ28+EI29-ER28,IF(A29&lt;'Données projet'!$A$192,$EG$205^A29,IF(A29='Données projet'!$A$192,'Données projet'!$B$192,EJ28+EI29-ER28)))</f>
        <v>117.05128205128209</v>
      </c>
      <c r="EK29" s="18">
        <f>EJ29*VLOOKUP('Données projet'!$B$15,Paramètres!$A$1:$I$89,3,0)*VLOOKUP('Données projet'!$B$15,Paramètres!$A$1:$I$89,5,0)</f>
        <v>78.518000000000029</v>
      </c>
      <c r="EL29" s="14">
        <f t="shared" si="45"/>
        <v>21.774434027551713</v>
      </c>
      <c r="EM29" s="22">
        <f t="shared" si="19"/>
        <v>174.6759892646526</v>
      </c>
      <c r="EN29" s="60">
        <f t="shared" si="20"/>
        <v>404.96270331384278</v>
      </c>
      <c r="EO29" s="60">
        <f ca="1">AVERAGE(OFFSET($EN$3,0,0,'Données projet'!$E$15+1,1))-AVERAGE(OFFSET($H$3,0,0,'Données projet'!$E$15+1,1))</f>
        <v>344.62096650402731</v>
      </c>
      <c r="EP29" s="60">
        <f t="shared" si="46"/>
        <v>277.30931495079346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12</v>
      </c>
      <c r="FE29" s="13">
        <f>IF('Données projet'!$A$218&gt;35,FE28+FD29-FM28,IF(A29&lt;'Données projet'!$A$218,$FB$205^A29,IF(A29='Données projet'!$A$218,'Données projet'!$B$218,FE28+FD29-FM28)))</f>
        <v>126.5</v>
      </c>
      <c r="FF29" s="18">
        <f>FE29*VLOOKUP('Données projet'!$B$16,Paramètres!$A$1:$I$89,3,0)*VLOOKUP('Données projet'!$B$16,Paramètres!$A$1:$I$89,5,0)</f>
        <v>110.5104</v>
      </c>
      <c r="FG29" s="14">
        <f t="shared" si="47"/>
        <v>29.451206375056387</v>
      </c>
      <c r="FH29" s="22">
        <f t="shared" si="22"/>
        <v>243.76646443655656</v>
      </c>
      <c r="FI29" s="60">
        <f t="shared" si="23"/>
        <v>474.05317848574674</v>
      </c>
      <c r="FJ29" s="60">
        <f ca="1">AVERAGE(OFFSET($FI$3,0,0,'Données projet'!$E$16+1,1))-AVERAGE(OFFSET($H$3,0,0,'Données projet'!$E$16+1,1))</f>
        <v>363.28611056308665</v>
      </c>
      <c r="FK29" s="60">
        <f t="shared" si="48"/>
        <v>389.43647559455974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77</v>
      </c>
      <c r="GA29" s="18">
        <f>FZ29*VLOOKUP('Données projet'!$B$17,Paramètres!$A$1:$I$89,3,0)*VLOOKUP('Données projet'!$B$17,Paramètres!$A$1:$I$89,5,0)</f>
        <v>82.882799999999989</v>
      </c>
      <c r="GB29" s="14">
        <f t="shared" si="49"/>
        <v>22.840584911380041</v>
      </c>
      <c r="GC29" s="22">
        <f t="shared" si="25"/>
        <v>184.1348953873202</v>
      </c>
      <c r="GD29" s="60">
        <f t="shared" si="26"/>
        <v>414.42160943651038</v>
      </c>
      <c r="GE29" s="60">
        <f ca="1">AVERAGE(OFFSET($GD$3,0,0,'Données projet'!$E$17+1,1))-AVERAGE(OFFSET($H$3,0,0,'Données projet'!$E$17+1,1))</f>
        <v>542.90832990875208</v>
      </c>
      <c r="GF29" s="60">
        <f t="shared" si="50"/>
        <v>304.94365539329362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</v>
      </c>
      <c r="N30" s="14">
        <f>IF('Données projet'!$A$36&gt;35,N29+M30-V29,IF(A30&lt;'Données projet'!$A$36,$K$205^A30,IF(A30='Données projet'!$A$36,'Données projet'!$B$36,N29+M30-V29)))</f>
        <v>138.5</v>
      </c>
      <c r="O30" s="14">
        <f>N30*VLOOKUP('Données projet'!$B$9,Paramètres!$A$1:$I$89,3,0)*VLOOKUP('Données projet'!$B$9,Paramètres!$A$1:$I$89,5,0)</f>
        <v>110.19060000000002</v>
      </c>
      <c r="P30" s="14">
        <f t="shared" si="33"/>
        <v>29.375886893482836</v>
      </c>
      <c r="Q30" s="22">
        <f t="shared" si="2"/>
        <v>243.07829800614925</v>
      </c>
      <c r="R30" s="60">
        <f t="shared" si="0"/>
        <v>475.59614087871273</v>
      </c>
      <c r="S30" s="60">
        <f ca="1">AVERAGE(OFFSET($R$3,0,0,'Données projet'!$E$9+1,1))-AVERAGE(OFFSET($H$3,0,0,'Données projet'!$E$9+1,1))</f>
        <v>336.25341821407534</v>
      </c>
      <c r="T30" s="60">
        <f t="shared" si="34"/>
        <v>360.3246221345039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421.6177136552318</v>
      </c>
      <c r="AN30" s="60">
        <f ca="1">AVERAGE(OFFSET($AM$3,0,0,'Données projet'!$E$10+1,1))-AVERAGE(OFFSET($H$3,0,0,'Données projet'!$E$10+1,1))</f>
        <v>516.30971934066179</v>
      </c>
      <c r="AO30" s="60">
        <f t="shared" si="36"/>
        <v>290.84286505723571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0">
        <f t="shared" si="8"/>
        <v>475.59614087871273</v>
      </c>
      <c r="BI30" s="60">
        <f ca="1">AVERAGE(OFFSET($BH$3,0,0,'Données projet'!$E$11+1,1))-AVERAGE(OFFSET($H$3,0,0,'Données projet'!$E$11+1,1))</f>
        <v>336.25341821407534</v>
      </c>
      <c r="BJ30" s="60">
        <f t="shared" si="38"/>
        <v>360.3246221345039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6.5384615384615357</v>
      </c>
      <c r="BY30" s="13">
        <f>IF('Données projet'!$A$114&gt;35,BY29+BX30-CG29,IF(A30&lt;'Données projet'!$A$114,$BV$205^A30,IF(A30='Données projet'!$A$114,'Données projet'!$B$114,BY29+BX30-CG29)))</f>
        <v>97.051282051282058</v>
      </c>
      <c r="BZ30" s="14">
        <f>BY30*VLOOKUP('Données projet'!$B$12,Paramètres!$A$1:$I$89,3,0)*VLOOKUP('Données projet'!$B$12,Paramètres!$A$1:$I$89,5,0)</f>
        <v>92.354000000000013</v>
      </c>
      <c r="CA30" s="14">
        <f t="shared" si="39"/>
        <v>25.132097180965346</v>
      </c>
      <c r="CB30" s="22">
        <f t="shared" si="10"/>
        <v>204.62161925684799</v>
      </c>
      <c r="CC30" s="60">
        <f t="shared" si="11"/>
        <v>437.13946212941153</v>
      </c>
      <c r="CD30" s="60">
        <f ca="1">AVERAGE(OFFSET($CC$3,0,0,'Données projet'!$E$12+1,1))-AVERAGE(OFFSET($H$3,0,0,'Données projet'!$E$12+1,1))</f>
        <v>398.29746143975166</v>
      </c>
      <c r="CE30" s="60">
        <f t="shared" si="40"/>
        <v>300.63705521148802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81.244799999999998</v>
      </c>
      <c r="CV30" s="14">
        <f t="shared" si="41"/>
        <v>22.441270156928962</v>
      </c>
      <c r="CW30" s="22">
        <f t="shared" si="13"/>
        <v>180.58657218998462</v>
      </c>
      <c r="CX30" s="60">
        <f t="shared" si="14"/>
        <v>413.10441506254813</v>
      </c>
      <c r="CY30" s="60">
        <f ca="1">AVERAGE(OFFSET($CX$3,0,0,'Données projet'!$E$13+1,1))-AVERAGE(OFFSET($H$3,0,0,'Données projet'!$E$13+1,1))</f>
        <v>496.33873798282525</v>
      </c>
      <c r="CZ30" s="60">
        <f t="shared" si="42"/>
        <v>280.25465074992246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108.99999999999997</v>
      </c>
      <c r="DP30" s="18">
        <f>DO30*VLOOKUP('Données projet'!$B$14,Paramètres!$A$1:$I$89,3,0)*VLOOKUP('Données projet'!$B$14,Paramètres!$A$1:$I$89,5,0)</f>
        <v>85.019999999999982</v>
      </c>
      <c r="DQ30" s="14">
        <f t="shared" si="43"/>
        <v>23.360218970693108</v>
      </c>
      <c r="DR30" s="22">
        <f t="shared" si="16"/>
        <v>188.76221470729047</v>
      </c>
      <c r="DS30" s="60">
        <f t="shared" si="17"/>
        <v>421.28005757985397</v>
      </c>
      <c r="DT30" s="60">
        <f ca="1">AVERAGE(OFFSET($DS$3,0,0,'Données projet'!$E$14+1,1))-AVERAGE(OFFSET($H$3,0,0,'Données projet'!$E$14+1,1))</f>
        <v>312.59632808777332</v>
      </c>
      <c r="DU30" s="60">
        <f t="shared" si="44"/>
        <v>302.59481222418219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8.0769230769230802</v>
      </c>
      <c r="EJ30" s="13">
        <f>IF('Données projet'!$A$192&gt;35,EJ29+EI30-ER29,IF(A30&lt;'Données projet'!$A$192,$EG$205^A30,IF(A30='Données projet'!$A$192,'Données projet'!$B$192,EJ29+EI30-ER29)))</f>
        <v>125.12820512820517</v>
      </c>
      <c r="EK30" s="18">
        <f>EJ30*VLOOKUP('Données projet'!$B$15,Paramètres!$A$1:$I$89,3,0)*VLOOKUP('Données projet'!$B$15,Paramètres!$A$1:$I$89,5,0)</f>
        <v>83.936000000000021</v>
      </c>
      <c r="EL30" s="14">
        <f t="shared" si="45"/>
        <v>23.096850074431298</v>
      </c>
      <c r="EM30" s="22">
        <f t="shared" si="19"/>
        <v>186.41554721296791</v>
      </c>
      <c r="EN30" s="60">
        <f t="shared" si="20"/>
        <v>418.93339008553141</v>
      </c>
      <c r="EO30" s="60">
        <f ca="1">AVERAGE(OFFSET($EN$3,0,0,'Données projet'!$E$15+1,1))-AVERAGE(OFFSET($H$3,0,0,'Données projet'!$E$15+1,1))</f>
        <v>344.62096650402731</v>
      </c>
      <c r="EP30" s="60">
        <f t="shared" si="46"/>
        <v>277.30931495079346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12</v>
      </c>
      <c r="FE30" s="13">
        <f>IF('Données projet'!$A$218&gt;35,FE29+FD30-FM29,IF(A30&lt;'Données projet'!$A$218,$FB$205^A30,IF(A30='Données projet'!$A$218,'Données projet'!$B$218,FE29+FD30-FM29)))</f>
        <v>138.5</v>
      </c>
      <c r="FF30" s="18">
        <f>FE30*VLOOKUP('Données projet'!$B$16,Paramètres!$A$1:$I$89,3,0)*VLOOKUP('Données projet'!$B$16,Paramètres!$A$1:$I$89,5,0)</f>
        <v>120.9936</v>
      </c>
      <c r="FG30" s="14">
        <f t="shared" si="47"/>
        <v>31.906628844954461</v>
      </c>
      <c r="FH30" s="22">
        <f t="shared" si="22"/>
        <v>266.30123190496232</v>
      </c>
      <c r="FI30" s="60">
        <f t="shared" si="23"/>
        <v>498.81907477752583</v>
      </c>
      <c r="FJ30" s="60">
        <f ca="1">AVERAGE(OFFSET($FI$3,0,0,'Données projet'!$E$16+1,1))-AVERAGE(OFFSET($H$3,0,0,'Données projet'!$E$16+1,1))</f>
        <v>363.28611056308665</v>
      </c>
      <c r="FK30" s="60">
        <f t="shared" si="48"/>
        <v>389.43647559455974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84</v>
      </c>
      <c r="GA30" s="18">
        <f>FZ30*VLOOKUP('Données projet'!$B$17,Paramètres!$A$1:$I$89,3,0)*VLOOKUP('Données projet'!$B$17,Paramètres!$A$1:$I$89,5,0)</f>
        <v>90.417599999999993</v>
      </c>
      <c r="GB30" s="14">
        <f t="shared" si="49"/>
        <v>24.665912907068826</v>
      </c>
      <c r="GC30" s="22">
        <f t="shared" si="25"/>
        <v>200.43711831314488</v>
      </c>
      <c r="GD30" s="60">
        <f t="shared" si="26"/>
        <v>432.95496118570838</v>
      </c>
      <c r="GE30" s="60">
        <f ca="1">AVERAGE(OFFSET($GD$3,0,0,'Données projet'!$E$17+1,1))-AVERAGE(OFFSET($H$3,0,0,'Données projet'!$E$17+1,1))</f>
        <v>542.90832990875208</v>
      </c>
      <c r="GF30" s="60">
        <f t="shared" si="50"/>
        <v>304.94365539329362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</v>
      </c>
      <c r="N31" s="14">
        <f>IF('Données projet'!$A$36&gt;35,N30+M31-V30,IF(A31&lt;'Données projet'!$A$36,$K$205^A31,IF(A31='Données projet'!$A$36,'Données projet'!$B$36,N30+M31-V30)))</f>
        <v>150.5</v>
      </c>
      <c r="O31" s="14">
        <f>N31*VLOOKUP('Données projet'!$B$9,Paramètres!$A$1:$I$89,3,0)*VLOOKUP('Données projet'!$B$9,Paramètres!$A$1:$I$89,5,0)</f>
        <v>119.73779999999999</v>
      </c>
      <c r="P31" s="14">
        <f t="shared" si="33"/>
        <v>31.61383766685427</v>
      </c>
      <c r="Q31" s="22">
        <f t="shared" si="2"/>
        <v>263.6041022697712</v>
      </c>
      <c r="R31" s="60">
        <f t="shared" si="0"/>
        <v>498.33557169175526</v>
      </c>
      <c r="S31" s="60">
        <f ca="1">AVERAGE(OFFSET($R$3,0,0,'Données projet'!$E$9+1,1))-AVERAGE(OFFSET($H$3,0,0,'Données projet'!$E$9+1,1))</f>
        <v>336.25341821407534</v>
      </c>
      <c r="T31" s="60">
        <f t="shared" si="34"/>
        <v>360.3246221345039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439.18025065150329</v>
      </c>
      <c r="AN31" s="60">
        <f ca="1">AVERAGE(OFFSET($AM$3,0,0,'Données projet'!$E$10+1,1))-AVERAGE(OFFSET($H$3,0,0,'Données projet'!$E$10+1,1))</f>
        <v>516.30971934066179</v>
      </c>
      <c r="AO31" s="60">
        <f t="shared" si="36"/>
        <v>290.84286505723571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0">
        <f t="shared" si="8"/>
        <v>498.33557169175526</v>
      </c>
      <c r="BI31" s="60">
        <f ca="1">AVERAGE(OFFSET($BH$3,0,0,'Données projet'!$E$11+1,1))-AVERAGE(OFFSET($H$3,0,0,'Données projet'!$E$11+1,1))</f>
        <v>336.25341821407534</v>
      </c>
      <c r="BJ31" s="60">
        <f t="shared" si="38"/>
        <v>360.3246221345039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6.5384615384615357</v>
      </c>
      <c r="BY31" s="13">
        <f>IF('Données projet'!$A$114&gt;35,BY30+BX31-CG30,IF(A31&lt;'Données projet'!$A$114,$BV$205^A31,IF(A31='Données projet'!$A$114,'Données projet'!$B$114,BY30+BX31-CG30)))</f>
        <v>103.58974358974359</v>
      </c>
      <c r="BZ31" s="14">
        <f>BY31*VLOOKUP('Données projet'!$B$12,Paramètres!$A$1:$I$89,3,0)*VLOOKUP('Données projet'!$B$12,Paramètres!$A$1:$I$89,5,0)</f>
        <v>98.576000000000008</v>
      </c>
      <c r="CA31" s="14">
        <f t="shared" si="39"/>
        <v>26.622466525409418</v>
      </c>
      <c r="CB31" s="22">
        <f t="shared" si="10"/>
        <v>218.05399586508807</v>
      </c>
      <c r="CC31" s="60">
        <f t="shared" si="11"/>
        <v>452.78546528707216</v>
      </c>
      <c r="CD31" s="60">
        <f ca="1">AVERAGE(OFFSET($CC$3,0,0,'Données projet'!$E$12+1,1))-AVERAGE(OFFSET($H$3,0,0,'Données projet'!$E$12+1,1))</f>
        <v>398.29746143975166</v>
      </c>
      <c r="CE31" s="60">
        <f t="shared" si="40"/>
        <v>300.63705521148802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88.015200000000007</v>
      </c>
      <c r="CV31" s="14">
        <f t="shared" si="41"/>
        <v>24.085919530575829</v>
      </c>
      <c r="CW31" s="22">
        <f t="shared" si="13"/>
        <v>195.24278318241954</v>
      </c>
      <c r="CX31" s="60">
        <f t="shared" si="14"/>
        <v>429.97425260440366</v>
      </c>
      <c r="CY31" s="60">
        <f ca="1">AVERAGE(OFFSET($CX$3,0,0,'Données projet'!$E$13+1,1))-AVERAGE(OFFSET($H$3,0,0,'Données projet'!$E$13+1,1))</f>
        <v>496.33873798282525</v>
      </c>
      <c r="CZ31" s="60">
        <f t="shared" si="42"/>
        <v>280.25465074992246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120.49999999999997</v>
      </c>
      <c r="DP31" s="18">
        <f>DO31*VLOOKUP('Données projet'!$B$14,Paramètres!$A$1:$I$89,3,0)*VLOOKUP('Données projet'!$B$14,Paramètres!$A$1:$I$89,5,0)</f>
        <v>93.989999999999981</v>
      </c>
      <c r="DQ31" s="14">
        <f t="shared" si="43"/>
        <v>25.525074036970079</v>
      </c>
      <c r="DR31" s="22">
        <f t="shared" si="16"/>
        <v>208.15542061438953</v>
      </c>
      <c r="DS31" s="60">
        <f t="shared" si="17"/>
        <v>442.88689003637364</v>
      </c>
      <c r="DT31" s="60">
        <f ca="1">AVERAGE(OFFSET($DS$3,0,0,'Données projet'!$E$14+1,1))-AVERAGE(OFFSET($H$3,0,0,'Données projet'!$E$14+1,1))</f>
        <v>312.59632808777332</v>
      </c>
      <c r="DU31" s="60">
        <f t="shared" si="44"/>
        <v>302.59481222418219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8.0769230769230802</v>
      </c>
      <c r="EJ31" s="13">
        <f>IF('Données projet'!$A$192&gt;35,EJ30+EI31-ER30,IF(A31&lt;'Données projet'!$A$192,$EG$205^A31,IF(A31='Données projet'!$A$192,'Données projet'!$B$192,EJ30+EI31-ER30)))</f>
        <v>133.20512820512823</v>
      </c>
      <c r="EK31" s="18">
        <f>EJ31*VLOOKUP('Données projet'!$B$15,Paramètres!$A$1:$I$89,3,0)*VLOOKUP('Données projet'!$B$15,Paramètres!$A$1:$I$89,5,0)</f>
        <v>89.354000000000013</v>
      </c>
      <c r="EL31" s="14">
        <f t="shared" si="45"/>
        <v>24.40936009026365</v>
      </c>
      <c r="EM31" s="22">
        <f t="shared" si="19"/>
        <v>198.13785215720918</v>
      </c>
      <c r="EN31" s="60">
        <f t="shared" si="20"/>
        <v>432.8693215791933</v>
      </c>
      <c r="EO31" s="60">
        <f ca="1">AVERAGE(OFFSET($EN$3,0,0,'Données projet'!$E$15+1,1))-AVERAGE(OFFSET($H$3,0,0,'Données projet'!$E$15+1,1))</f>
        <v>344.62096650402731</v>
      </c>
      <c r="EP31" s="60">
        <f t="shared" si="46"/>
        <v>277.30931495079346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</v>
      </c>
      <c r="FE31" s="13">
        <f>IF('Données projet'!$A$218&gt;35,FE30+FD31-FM30,IF(A31&lt;'Données projet'!$A$218,$FB$205^A31,IF(A31='Données projet'!$A$218,'Données projet'!$B$218,FE30+FD31-FM30)))</f>
        <v>150.5</v>
      </c>
      <c r="FF31" s="18">
        <f>FE31*VLOOKUP('Données projet'!$B$16,Paramètres!$A$1:$I$89,3,0)*VLOOKUP('Données projet'!$B$16,Paramètres!$A$1:$I$89,5,0)</f>
        <v>131.4768</v>
      </c>
      <c r="FG31" s="14">
        <f t="shared" si="47"/>
        <v>34.337379785620797</v>
      </c>
      <c r="FH31" s="22">
        <f t="shared" si="22"/>
        <v>288.79302979328958</v>
      </c>
      <c r="FI31" s="60">
        <f t="shared" si="23"/>
        <v>523.52449921527364</v>
      </c>
      <c r="FJ31" s="60">
        <f ca="1">AVERAGE(OFFSET($FI$3,0,0,'Données projet'!$E$16+1,1))-AVERAGE(OFFSET($H$3,0,0,'Données projet'!$E$16+1,1))</f>
        <v>363.28611056308665</v>
      </c>
      <c r="FK31" s="60">
        <f t="shared" si="48"/>
        <v>389.43647559455974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91</v>
      </c>
      <c r="GA31" s="18">
        <f>FZ31*VLOOKUP('Données projet'!$B$17,Paramètres!$A$1:$I$89,3,0)*VLOOKUP('Données projet'!$B$17,Paramètres!$A$1:$I$89,5,0)</f>
        <v>97.952399999999997</v>
      </c>
      <c r="GB31" s="14">
        <f t="shared" si="49"/>
        <v>26.473599278177087</v>
      </c>
      <c r="GC31" s="22">
        <f t="shared" si="25"/>
        <v>216.70861540949173</v>
      </c>
      <c r="GD31" s="60">
        <f t="shared" si="26"/>
        <v>451.44008483147582</v>
      </c>
      <c r="GE31" s="60">
        <f ca="1">AVERAGE(OFFSET($GD$3,0,0,'Données projet'!$E$17+1,1))-AVERAGE(OFFSET($H$3,0,0,'Données projet'!$E$17+1,1))</f>
        <v>542.90832990875208</v>
      </c>
      <c r="GF31" s="60">
        <f t="shared" si="50"/>
        <v>304.94365539329362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</v>
      </c>
      <c r="N32" s="14">
        <f>IF('Données projet'!$A$36&gt;35,N31+M32-V31,IF(A32&lt;'Données projet'!$A$36,$K$205^A32,IF(A32='Données projet'!$A$36,'Données projet'!$B$36,N31+M32-V31)))</f>
        <v>162.5</v>
      </c>
      <c r="O32" s="14">
        <f>N32*VLOOKUP('Données projet'!$B$9,Paramètres!$A$1:$I$89,3,0)*VLOOKUP('Données projet'!$B$9,Paramètres!$A$1:$I$89,5,0)</f>
        <v>129.285</v>
      </c>
      <c r="P32" s="14">
        <f t="shared" si="33"/>
        <v>33.831090831224039</v>
      </c>
      <c r="Q32" s="22">
        <f t="shared" si="2"/>
        <v>284.09385819771518</v>
      </c>
      <c r="R32" s="60">
        <f t="shared" si="0"/>
        <v>521.02175552049107</v>
      </c>
      <c r="S32" s="60">
        <f ca="1">AVERAGE(OFFSET($R$3,0,0,'Données projet'!$E$9+1,1))-AVERAGE(OFFSET($H$3,0,0,'Données projet'!$E$9+1,1))</f>
        <v>336.25341821407534</v>
      </c>
      <c r="T32" s="60">
        <f t="shared" si="34"/>
        <v>360.3246221345039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456.69893943145496</v>
      </c>
      <c r="AN32" s="60">
        <f ca="1">AVERAGE(OFFSET($AM$3,0,0,'Données projet'!$E$10+1,1))-AVERAGE(OFFSET($H$3,0,0,'Données projet'!$E$10+1,1))</f>
        <v>516.30971934066179</v>
      </c>
      <c r="AO32" s="60">
        <f t="shared" si="36"/>
        <v>290.84286505723571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0">
        <f t="shared" si="8"/>
        <v>521.02175552049107</v>
      </c>
      <c r="BI32" s="60">
        <f ca="1">AVERAGE(OFFSET($BH$3,0,0,'Données projet'!$E$11+1,1))-AVERAGE(OFFSET($H$3,0,0,'Données projet'!$E$11+1,1))</f>
        <v>336.25341821407534</v>
      </c>
      <c r="BJ32" s="60">
        <f t="shared" si="38"/>
        <v>360.3246221345039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6.5384615384615357</v>
      </c>
      <c r="BY32" s="13">
        <f>IF('Données projet'!$A$114&gt;35,BY31+BX32-CG31,IF(A32&lt;'Données projet'!$A$114,$BV$205^A32,IF(A32='Données projet'!$A$114,'Données projet'!$B$114,BY31+BX32-CG31)))</f>
        <v>110.12820512820512</v>
      </c>
      <c r="BZ32" s="14">
        <f>BY32*VLOOKUP('Données projet'!$B$12,Paramètres!$A$1:$I$89,3,0)*VLOOKUP('Données projet'!$B$12,Paramètres!$A$1:$I$89,5,0)</f>
        <v>104.79799999999999</v>
      </c>
      <c r="CA32" s="14">
        <f t="shared" si="39"/>
        <v>28.101918557678896</v>
      </c>
      <c r="CB32" s="22">
        <f t="shared" si="10"/>
        <v>231.46735815462407</v>
      </c>
      <c r="CC32" s="60">
        <f t="shared" si="11"/>
        <v>468.39525547739993</v>
      </c>
      <c r="CD32" s="60">
        <f ca="1">AVERAGE(OFFSET($CC$3,0,0,'Données projet'!$E$12+1,1))-AVERAGE(OFFSET($H$3,0,0,'Données projet'!$E$12+1,1))</f>
        <v>398.29746143975166</v>
      </c>
      <c r="CE32" s="60">
        <f t="shared" si="40"/>
        <v>300.63705521148802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94.785600000000002</v>
      </c>
      <c r="CV32" s="14">
        <f t="shared" si="41"/>
        <v>25.715893428674526</v>
      </c>
      <c r="CW32" s="22">
        <f t="shared" si="13"/>
        <v>209.87343438827483</v>
      </c>
      <c r="CX32" s="60">
        <f t="shared" si="14"/>
        <v>446.80133171105069</v>
      </c>
      <c r="CY32" s="60">
        <f ca="1">AVERAGE(OFFSET($CX$3,0,0,'Données projet'!$E$13+1,1))-AVERAGE(OFFSET($H$3,0,0,'Données projet'!$E$13+1,1))</f>
        <v>496.33873798282525</v>
      </c>
      <c r="CZ32" s="60">
        <f t="shared" si="42"/>
        <v>280.25465074992246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131.99999999999997</v>
      </c>
      <c r="DP32" s="18">
        <f>DO32*VLOOKUP('Données projet'!$B$14,Paramètres!$A$1:$I$89,3,0)*VLOOKUP('Données projet'!$B$14,Paramètres!$A$1:$I$89,5,0)</f>
        <v>102.95999999999998</v>
      </c>
      <c r="DQ32" s="14">
        <f t="shared" si="43"/>
        <v>27.665975080374633</v>
      </c>
      <c r="DR32" s="22">
        <f t="shared" si="16"/>
        <v>227.50690659831912</v>
      </c>
      <c r="DS32" s="60">
        <f t="shared" si="17"/>
        <v>464.43480392109495</v>
      </c>
      <c r="DT32" s="60">
        <f ca="1">AVERAGE(OFFSET($DS$3,0,0,'Données projet'!$E$14+1,1))-AVERAGE(OFFSET($H$3,0,0,'Données projet'!$E$14+1,1))</f>
        <v>312.59632808777332</v>
      </c>
      <c r="DU32" s="60">
        <f t="shared" si="44"/>
        <v>302.59481222418219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8.0769230769230802</v>
      </c>
      <c r="EJ32" s="13">
        <f>IF('Données projet'!$A$192&gt;35,EJ31+EI32-ER31,IF(A32&lt;'Données projet'!$A$192,$EG$205^A32,IF(A32='Données projet'!$A$192,'Données projet'!$B$192,EJ31+EI32-ER31)))</f>
        <v>141.28205128205133</v>
      </c>
      <c r="EK32" s="18">
        <f>EJ32*VLOOKUP('Données projet'!$B$15,Paramètres!$A$1:$I$89,3,0)*VLOOKUP('Données projet'!$B$15,Paramètres!$A$1:$I$89,5,0)</f>
        <v>94.772000000000034</v>
      </c>
      <c r="EL32" s="14">
        <f t="shared" si="45"/>
        <v>25.712633129183839</v>
      </c>
      <c r="EM32" s="22">
        <f t="shared" si="19"/>
        <v>209.8440693666619</v>
      </c>
      <c r="EN32" s="60">
        <f t="shared" si="20"/>
        <v>446.7719666894377</v>
      </c>
      <c r="EO32" s="60">
        <f ca="1">AVERAGE(OFFSET($EN$3,0,0,'Données projet'!$E$15+1,1))-AVERAGE(OFFSET($H$3,0,0,'Données projet'!$E$15+1,1))</f>
        <v>344.62096650402731</v>
      </c>
      <c r="EP32" s="60">
        <f t="shared" si="46"/>
        <v>277.30931495079346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</v>
      </c>
      <c r="FE32" s="13">
        <f>IF('Données projet'!$A$218&gt;35,FE31+FD32-FM31,IF(A32&lt;'Données projet'!$A$218,$FB$205^A32,IF(A32='Données projet'!$A$218,'Données projet'!$B$218,FE31+FD32-FM31)))</f>
        <v>162.5</v>
      </c>
      <c r="FF32" s="18">
        <f>FE32*VLOOKUP('Données projet'!$B$16,Paramètres!$A$1:$I$89,3,0)*VLOOKUP('Données projet'!$B$16,Paramètres!$A$1:$I$89,5,0)</f>
        <v>141.96000000000004</v>
      </c>
      <c r="FG32" s="14">
        <f t="shared" si="47"/>
        <v>36.745650011720485</v>
      </c>
      <c r="FH32" s="22">
        <f t="shared" si="22"/>
        <v>311.24567377041325</v>
      </c>
      <c r="FI32" s="60">
        <f t="shared" si="23"/>
        <v>548.17357109318914</v>
      </c>
      <c r="FJ32" s="60">
        <f ca="1">AVERAGE(OFFSET($FI$3,0,0,'Données projet'!$E$16+1,1))-AVERAGE(OFFSET($H$3,0,0,'Données projet'!$E$16+1,1))</f>
        <v>363.28611056308665</v>
      </c>
      <c r="FK32" s="60">
        <f t="shared" si="48"/>
        <v>389.43647559455974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98</v>
      </c>
      <c r="GA32" s="18">
        <f>FZ32*VLOOKUP('Données projet'!$B$17,Paramètres!$A$1:$I$89,3,0)*VLOOKUP('Données projet'!$B$17,Paramètres!$A$1:$I$89,5,0)</f>
        <v>105.48719999999999</v>
      </c>
      <c r="GB32" s="14">
        <f t="shared" si="49"/>
        <v>28.265155367923839</v>
      </c>
      <c r="GC32" s="22">
        <f t="shared" si="25"/>
        <v>232.95201893246733</v>
      </c>
      <c r="GD32" s="60">
        <f t="shared" si="26"/>
        <v>469.87991625524319</v>
      </c>
      <c r="GE32" s="60">
        <f ca="1">AVERAGE(OFFSET($GD$3,0,0,'Données projet'!$E$17+1,1))-AVERAGE(OFFSET($H$3,0,0,'Données projet'!$E$17+1,1))</f>
        <v>542.90832990875208</v>
      </c>
      <c r="GF32" s="60">
        <f t="shared" si="50"/>
        <v>304.94365539329362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174.5</v>
      </c>
      <c r="L33" s="13">
        <f>VLOOKUP(A33,'Données projet'!$A$35:$I$55,9,0)</f>
        <v>12</v>
      </c>
      <c r="M33" s="13">
        <f t="array" ref="M33">INDEX(L:L,MIN(IF(ISNUMBER(L33:L229),ROW(L33:L229),"")))</f>
        <v>12</v>
      </c>
      <c r="N33" s="14">
        <f>IF('Données projet'!$A$36&gt;35,N32+M33-V32,IF(A33&lt;'Données projet'!$A$36,$K$205^A33,IF(A33='Données projet'!$A$36,'Données projet'!$B$36,N32+M33-V32)))</f>
        <v>174.5</v>
      </c>
      <c r="O33" s="14">
        <f>N33*VLOOKUP('Données projet'!$B$9,Paramètres!$A$1:$I$89,3,0)*VLOOKUP('Données projet'!$B$9,Paramètres!$A$1:$I$89,5,0)</f>
        <v>138.8322</v>
      </c>
      <c r="P33" s="14">
        <f t="shared" si="33"/>
        <v>36.029348632418326</v>
      </c>
      <c r="Q33" s="22">
        <f t="shared" si="2"/>
        <v>304.55053053479526</v>
      </c>
      <c r="R33" s="60">
        <f t="shared" si="0"/>
        <v>543.65795546783727</v>
      </c>
      <c r="S33" s="60">
        <f ca="1">AVERAGE(OFFSET($R$3,0,0,'Données projet'!$E$9+1,1))-AVERAGE(OFFSET($H$3,0,0,'Données projet'!$E$9+1,1))</f>
        <v>336.25341821407534</v>
      </c>
      <c r="T33" s="60">
        <f t="shared" si="34"/>
        <v>360.3246221345039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474.17619839056903</v>
      </c>
      <c r="AN33" s="60">
        <f ca="1">AVERAGE(OFFSET($AM$3,0,0,'Données projet'!$E$10+1,1))-AVERAGE(OFFSET($H$3,0,0,'Données projet'!$E$10+1,1))</f>
        <v>516.30971934066179</v>
      </c>
      <c r="AO33" s="60">
        <f t="shared" si="36"/>
        <v>290.84286505723571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0">
        <f t="shared" si="8"/>
        <v>543.65795546783727</v>
      </c>
      <c r="BI33" s="60">
        <f ca="1">AVERAGE(OFFSET($BH$3,0,0,'Données projet'!$E$11+1,1))-AVERAGE(OFFSET($H$3,0,0,'Données projet'!$E$11+1,1))</f>
        <v>336.25341821407534</v>
      </c>
      <c r="BJ33" s="60">
        <f t="shared" si="38"/>
        <v>360.3246221345039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116.66666666666666</v>
      </c>
      <c r="BW33" s="13">
        <f>VLOOKUP(A33,'Données projet'!$A$113:$I$133,9,0)</f>
        <v>6.5384615384615357</v>
      </c>
      <c r="BX33" s="13">
        <f t="array" ref="BX33">INDEX(BW:BW,MIN(IF(ISNUMBER(BW33:BW229),ROW(BW33:BW229),"")))</f>
        <v>6.5384615384615357</v>
      </c>
      <c r="BY33" s="13">
        <f>IF('Données projet'!$A$114&gt;35,BY32+BX33-CG32,IF(A33&lt;'Données projet'!$A$114,$BV$205^A33,IF(A33='Données projet'!$A$114,'Données projet'!$B$114,BY32+BX33-CG32)))</f>
        <v>116.66666666666666</v>
      </c>
      <c r="BZ33" s="14">
        <f>BY33*VLOOKUP('Données projet'!$B$12,Paramètres!$A$1:$I$89,3,0)*VLOOKUP('Données projet'!$B$12,Paramètres!$A$1:$I$89,5,0)</f>
        <v>111.02</v>
      </c>
      <c r="CA33" s="14">
        <f t="shared" si="39"/>
        <v>29.571175279490561</v>
      </c>
      <c r="CB33" s="22">
        <f t="shared" si="10"/>
        <v>244.86296361177938</v>
      </c>
      <c r="CC33" s="60">
        <f t="shared" si="11"/>
        <v>483.97038854482139</v>
      </c>
      <c r="CD33" s="60">
        <f ca="1">AVERAGE(OFFSET($CC$3,0,0,'Données projet'!$E$12+1,1))-AVERAGE(OFFSET($H$3,0,0,'Données projet'!$E$12+1,1))</f>
        <v>398.29746143975166</v>
      </c>
      <c r="CE33" s="60">
        <f t="shared" si="40"/>
        <v>300.63705521148802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25.641025641025639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101.556</v>
      </c>
      <c r="CV33" s="14">
        <f t="shared" si="41"/>
        <v>27.332359320696909</v>
      </c>
      <c r="CW33" s="22">
        <f t="shared" si="13"/>
        <v>224.48055915021379</v>
      </c>
      <c r="CX33" s="60">
        <f t="shared" si="14"/>
        <v>463.58798408325578</v>
      </c>
      <c r="CY33" s="60">
        <f ca="1">AVERAGE(OFFSET($CX$3,0,0,'Données projet'!$E$13+1,1))-AVERAGE(OFFSET($H$3,0,0,'Données projet'!$E$13+1,1))</f>
        <v>496.33873798282525</v>
      </c>
      <c r="CZ33" s="60">
        <f t="shared" si="42"/>
        <v>280.25465074992246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143.49999999999997</v>
      </c>
      <c r="DP33" s="18">
        <f>DO33*VLOOKUP('Données projet'!$B$14,Paramètres!$A$1:$I$89,3,0)*VLOOKUP('Données projet'!$B$14,Paramètres!$A$1:$I$89,5,0)</f>
        <v>111.92999999999998</v>
      </c>
      <c r="DQ33" s="14">
        <f t="shared" si="43"/>
        <v>29.785246291563833</v>
      </c>
      <c r="DR33" s="22">
        <f t="shared" si="16"/>
        <v>246.82072062447358</v>
      </c>
      <c r="DS33" s="60">
        <f t="shared" si="17"/>
        <v>485.92814555751556</v>
      </c>
      <c r="DT33" s="60">
        <f ca="1">AVERAGE(OFFSET($DS$3,0,0,'Données projet'!$E$14+1,1))-AVERAGE(OFFSET($H$3,0,0,'Données projet'!$E$14+1,1))</f>
        <v>312.59632808777332</v>
      </c>
      <c r="DU33" s="60">
        <f t="shared" si="44"/>
        <v>302.59481222418219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149.35897435897436</v>
      </c>
      <c r="EH33" s="13">
        <f>VLOOKUP(A33,'Données projet'!$A$191:$I$211,9,0)</f>
        <v>8.0769230769230802</v>
      </c>
      <c r="EI33" s="13">
        <f t="array" ref="EI33">INDEX(EH:EH,MIN(IF(ISNUMBER(EH33:EH229),ROW(EH33:EH229),"")))</f>
        <v>8.0769230769230802</v>
      </c>
      <c r="EJ33" s="13">
        <f>IF('Données projet'!$A$192&gt;35,EJ32+EI33-ER32,IF(A33&lt;'Données projet'!$A$192,$EG$205^A33,IF(A33='Données projet'!$A$192,'Données projet'!$B$192,EJ32+EI33-ER32)))</f>
        <v>149.35897435897442</v>
      </c>
      <c r="EK33" s="18">
        <f>EJ33*VLOOKUP('Données projet'!$B$15,Paramètres!$A$1:$I$89,3,0)*VLOOKUP('Données projet'!$B$15,Paramètres!$A$1:$I$89,5,0)</f>
        <v>100.19000000000005</v>
      </c>
      <c r="EL33" s="14">
        <f t="shared" si="45"/>
        <v>27.007257426460161</v>
      </c>
      <c r="EM33" s="22">
        <f t="shared" si="19"/>
        <v>221.53522335108485</v>
      </c>
      <c r="EN33" s="60">
        <f t="shared" si="20"/>
        <v>460.64264828412684</v>
      </c>
      <c r="EO33" s="60">
        <f ca="1">AVERAGE(OFFSET($EN$3,0,0,'Données projet'!$E$15+1,1))-AVERAGE(OFFSET($H$3,0,0,'Données projet'!$E$15+1,1))</f>
        <v>344.62096650402731</v>
      </c>
      <c r="EP33" s="60">
        <f t="shared" si="46"/>
        <v>277.30931495079346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32.692307692307693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174.5</v>
      </c>
      <c r="FC33" s="13">
        <f>VLOOKUP(A33,'Données projet'!$A$217:$I$237,9,0)</f>
        <v>12</v>
      </c>
      <c r="FD33" s="13">
        <f t="array" ref="FD33">INDEX(FC:FC,MIN(IF(ISNUMBER(FC33:FC229),ROW(FC33:FC229),"")))</f>
        <v>12</v>
      </c>
      <c r="FE33" s="13">
        <f>IF('Données projet'!$A$218&gt;35,FE32+FD33-FM32,IF(A33&lt;'Données projet'!$A$218,$FB$205^A33,IF(A33='Données projet'!$A$218,'Données projet'!$B$218,FE32+FD33-FM32)))</f>
        <v>174.5</v>
      </c>
      <c r="FF33" s="18">
        <f>FE33*VLOOKUP('Données projet'!$B$16,Paramètres!$A$1:$I$89,3,0)*VLOOKUP('Données projet'!$B$16,Paramètres!$A$1:$I$89,5,0)</f>
        <v>152.44320000000002</v>
      </c>
      <c r="FG33" s="14">
        <f t="shared" si="47"/>
        <v>39.133288418096313</v>
      </c>
      <c r="FH33" s="22">
        <f t="shared" si="22"/>
        <v>333.66238399485115</v>
      </c>
      <c r="FI33" s="60">
        <f t="shared" si="23"/>
        <v>572.76980892789311</v>
      </c>
      <c r="FJ33" s="60">
        <f ca="1">AVERAGE(OFFSET($FI$3,0,0,'Données projet'!$E$16+1,1))-AVERAGE(OFFSET($H$3,0,0,'Données projet'!$E$16+1,1))</f>
        <v>363.28611056308665</v>
      </c>
      <c r="FK33" s="60">
        <f t="shared" si="48"/>
        <v>389.43647559455974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56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105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105</v>
      </c>
      <c r="GA33" s="18">
        <f>FZ33*VLOOKUP('Données projet'!$B$17,Paramètres!$A$1:$I$89,3,0)*VLOOKUP('Données projet'!$B$17,Paramètres!$A$1:$I$89,5,0)</f>
        <v>113.02199999999999</v>
      </c>
      <c r="GB33" s="14">
        <f t="shared" si="49"/>
        <v>30.041864379091852</v>
      </c>
      <c r="GC33" s="22">
        <f t="shared" si="25"/>
        <v>249.16956379358496</v>
      </c>
      <c r="GD33" s="60">
        <f t="shared" si="26"/>
        <v>488.27698872662694</v>
      </c>
      <c r="GE33" s="60">
        <f ca="1">AVERAGE(OFFSET($GD$3,0,0,'Données projet'!$E$17+1,1))-AVERAGE(OFFSET($H$3,0,0,'Données projet'!$E$17+1,1))</f>
        <v>542.90832990875208</v>
      </c>
      <c r="GF33" s="60">
        <f t="shared" si="50"/>
        <v>304.94365539329362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29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10.780000000000001</v>
      </c>
      <c r="N34" s="14">
        <f>IF('Données projet'!$A$36&gt;35,N33+M34-V33,IF(A34&lt;'Données projet'!$A$36,$K$205^A34,IF(A34='Données projet'!$A$36,'Données projet'!$B$36,N33+M34-V33)))</f>
        <v>129.28</v>
      </c>
      <c r="O34" s="14">
        <f>N34*VLOOKUP('Données projet'!$B$9,Paramètres!$A$1:$I$89,3,0)*VLOOKUP('Données projet'!$B$9,Paramètres!$A$1:$I$89,5,0)</f>
        <v>102.85516800000001</v>
      </c>
      <c r="P34" s="14">
        <f t="shared" si="33"/>
        <v>27.641083482825984</v>
      </c>
      <c r="Q34" s="22">
        <f t="shared" si="2"/>
        <v>227.28097133258856</v>
      </c>
      <c r="R34" s="60">
        <f t="shared" si="0"/>
        <v>467.32909454540612</v>
      </c>
      <c r="S34" s="60">
        <f ca="1">AVERAGE(OFFSET($R$3,0,0,'Données projet'!$E$9+1,1))-AVERAGE(OFFSET($H$3,0,0,'Données projet'!$E$9+1,1))</f>
        <v>336.25341821407534</v>
      </c>
      <c r="T34" s="60">
        <f t="shared" si="34"/>
        <v>360.3246221345039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429.14799399548588</v>
      </c>
      <c r="AN34" s="60">
        <f ca="1">AVERAGE(OFFSET($AM$3,0,0,'Données projet'!$E$10+1,1))-AVERAGE(OFFSET($H$3,0,0,'Données projet'!$E$10+1,1))</f>
        <v>516.30971934066179</v>
      </c>
      <c r="AO34" s="60">
        <f t="shared" si="36"/>
        <v>290.84286505723571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0">
        <f t="shared" si="8"/>
        <v>467.32909454540612</v>
      </c>
      <c r="BI34" s="60">
        <f ca="1">AVERAGE(OFFSET($BH$3,0,0,'Données projet'!$E$11+1,1))-AVERAGE(OFFSET($H$3,0,0,'Données projet'!$E$11+1,1))</f>
        <v>336.25341821407534</v>
      </c>
      <c r="BJ34" s="60">
        <f t="shared" si="38"/>
        <v>360.3246221345039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6.4102564102564088</v>
      </c>
      <c r="BY34" s="13">
        <f>IF('Données projet'!$A$114&gt;35,BY33+BX34-CG33,IF(A34&lt;'Données projet'!$A$114,$BV$205^A34,IF(A34='Données projet'!$A$114,'Données projet'!$B$114,BY33+BX34-CG33)))</f>
        <v>97.435897435897431</v>
      </c>
      <c r="BZ34" s="14">
        <f>BY34*VLOOKUP('Données projet'!$B$12,Paramètres!$A$1:$I$89,3,0)*VLOOKUP('Données projet'!$B$12,Paramètres!$A$1:$I$89,5,0)</f>
        <v>92.72</v>
      </c>
      <c r="CA34" s="14">
        <f t="shared" si="39"/>
        <v>25.22008241222111</v>
      </c>
      <c r="CB34" s="22">
        <f t="shared" si="10"/>
        <v>205.41231020128509</v>
      </c>
      <c r="CC34" s="60">
        <f t="shared" si="11"/>
        <v>445.46043341410268</v>
      </c>
      <c r="CD34" s="60">
        <f ca="1">AVERAGE(OFFSET($CC$3,0,0,'Données projet'!$E$12+1,1))-AVERAGE(OFFSET($H$3,0,0,'Données projet'!$E$12+1,1))</f>
        <v>398.29746143975166</v>
      </c>
      <c r="CE34" s="60">
        <f t="shared" si="40"/>
        <v>300.63705521148802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81.244799999999998</v>
      </c>
      <c r="CV34" s="14">
        <f t="shared" si="41"/>
        <v>22.441270156928962</v>
      </c>
      <c r="CW34" s="22">
        <f t="shared" si="13"/>
        <v>180.58657218998462</v>
      </c>
      <c r="CX34" s="60">
        <f t="shared" si="14"/>
        <v>420.63469540280221</v>
      </c>
      <c r="CY34" s="60">
        <f ca="1">AVERAGE(OFFSET($CX$3,0,0,'Données projet'!$E$13+1,1))-AVERAGE(OFFSET($H$3,0,0,'Données projet'!$E$13+1,1))</f>
        <v>496.33873798282525</v>
      </c>
      <c r="CZ34" s="60">
        <f t="shared" si="42"/>
        <v>280.25465074992246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154.99999999999997</v>
      </c>
      <c r="DP34" s="18">
        <f>DO34*VLOOKUP('Données projet'!$B$14,Paramètres!$A$1:$I$89,3,0)*VLOOKUP('Données projet'!$B$14,Paramètres!$A$1:$I$89,5,0)</f>
        <v>120.89999999999998</v>
      </c>
      <c r="DQ34" s="14">
        <f t="shared" si="43"/>
        <v>31.884818143351602</v>
      </c>
      <c r="DR34" s="22">
        <f t="shared" si="16"/>
        <v>266.10022493300397</v>
      </c>
      <c r="DS34" s="60">
        <f t="shared" si="17"/>
        <v>506.1483481458215</v>
      </c>
      <c r="DT34" s="60">
        <f ca="1">AVERAGE(OFFSET($DS$3,0,0,'Données projet'!$E$14+1,1))-AVERAGE(OFFSET($H$3,0,0,'Données projet'!$E$14+1,1))</f>
        <v>312.59632808777332</v>
      </c>
      <c r="DU34" s="60">
        <f t="shared" si="44"/>
        <v>302.59481222418219</v>
      </c>
      <c r="DV34" s="16">
        <f>IF(ISNA(VLOOKUP(A34,'Données projet'!$A$165:$I$185,3,0)),0,VLOOKUP(A34,'Données projet'!$A$165:$I$185,3,0))</f>
        <v>2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7.6923076923076881</v>
      </c>
      <c r="EJ34" s="13">
        <f>IF('Données projet'!$A$192&gt;35,EJ33+EI34-ER33,IF(A34&lt;'Données projet'!$A$192,$EG$205^A34,IF(A34='Données projet'!$A$192,'Données projet'!$B$192,EJ33+EI34-ER33)))</f>
        <v>124.35897435897441</v>
      </c>
      <c r="EK34" s="18">
        <f>EJ34*VLOOKUP('Données projet'!$B$15,Paramètres!$A$1:$I$89,3,0)*VLOOKUP('Données projet'!$B$15,Paramètres!$A$1:$I$89,5,0)</f>
        <v>83.42000000000003</v>
      </c>
      <c r="EL34" s="14">
        <f t="shared" si="45"/>
        <v>22.971343750654679</v>
      </c>
      <c r="EM34" s="22">
        <f t="shared" si="19"/>
        <v>185.2982570323903</v>
      </c>
      <c r="EN34" s="60">
        <f t="shared" si="20"/>
        <v>425.34638024520785</v>
      </c>
      <c r="EO34" s="60">
        <f ca="1">AVERAGE(OFFSET($EN$3,0,0,'Données projet'!$E$15+1,1))-AVERAGE(OFFSET($H$3,0,0,'Données projet'!$E$15+1,1))</f>
        <v>344.62096650402731</v>
      </c>
      <c r="EP34" s="60">
        <f t="shared" si="46"/>
        <v>277.30931495079346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10.780000000000001</v>
      </c>
      <c r="FE34" s="13">
        <f>IF('Données projet'!$A$218&gt;35,FE33+FD34-FM33,IF(A34&lt;'Données projet'!$A$218,$FB$205^A34,IF(A34='Données projet'!$A$218,'Données projet'!$B$218,FE33+FD34-FM33)))</f>
        <v>129.28</v>
      </c>
      <c r="FF34" s="18">
        <f>FE34*VLOOKUP('Données projet'!$B$16,Paramètres!$A$1:$I$89,3,0)*VLOOKUP('Données projet'!$B$16,Paramètres!$A$1:$I$89,5,0)</f>
        <v>112.93900800000003</v>
      </c>
      <c r="FG34" s="14">
        <f t="shared" si="47"/>
        <v>30.022371571514686</v>
      </c>
      <c r="FH34" s="22">
        <f t="shared" si="22"/>
        <v>248.99106942038816</v>
      </c>
      <c r="FI34" s="60">
        <f t="shared" si="23"/>
        <v>489.03919263320574</v>
      </c>
      <c r="FJ34" s="60">
        <f ca="1">AVERAGE(OFFSET($FI$3,0,0,'Données projet'!$E$16+1,1))-AVERAGE(OFFSET($H$3,0,0,'Données projet'!$E$16+1,1))</f>
        <v>363.28611056308665</v>
      </c>
      <c r="FK34" s="60">
        <f t="shared" si="48"/>
        <v>389.43647559455974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84</v>
      </c>
      <c r="GA34" s="18">
        <f>FZ34*VLOOKUP('Données projet'!$B$17,Paramètres!$A$1:$I$89,3,0)*VLOOKUP('Données projet'!$B$17,Paramètres!$A$1:$I$89,5,0)</f>
        <v>90.417599999999993</v>
      </c>
      <c r="GB34" s="14">
        <f t="shared" si="49"/>
        <v>24.665912907068826</v>
      </c>
      <c r="GC34" s="22">
        <f t="shared" si="25"/>
        <v>200.43711831314488</v>
      </c>
      <c r="GD34" s="60">
        <f t="shared" si="26"/>
        <v>440.48524152596246</v>
      </c>
      <c r="GE34" s="60">
        <f ca="1">AVERAGE(OFFSET($GD$3,0,0,'Données projet'!$E$17+1,1))-AVERAGE(OFFSET($H$3,0,0,'Données projet'!$E$17+1,1))</f>
        <v>542.90832990875208</v>
      </c>
      <c r="GF34" s="60">
        <f t="shared" si="50"/>
        <v>304.94365539329362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10.780000000000001</v>
      </c>
      <c r="N35" s="14">
        <f>IF('Données projet'!$A$36&gt;35,N34+M35-V34,IF(A35&lt;'Données projet'!$A$36,$K$205^A35,IF(A35='Données projet'!$A$36,'Données projet'!$B$36,N34+M35-V34)))</f>
        <v>140.06</v>
      </c>
      <c r="O35" s="14">
        <f>N35*VLOOKUP('Données projet'!$B$9,Paramètres!$A$1:$I$89,3,0)*VLOOKUP('Données projet'!$B$9,Paramètres!$A$1:$I$89,5,0)</f>
        <v>111.431736</v>
      </c>
      <c r="P35" s="14">
        <f t="shared" si="33"/>
        <v>29.668058438201339</v>
      </c>
      <c r="Q35" s="22">
        <f t="shared" ref="Q35:Q66" si="53">(O35+P35)*0.475*44/12</f>
        <v>245.74880864653403</v>
      </c>
      <c r="R35" s="60">
        <f t="shared" si="0"/>
        <v>486.72131112705938</v>
      </c>
      <c r="S35" s="60">
        <f ca="1">AVERAGE(OFFSET($R$3,0,0,'Données projet'!$E$9+1,1))-AVERAGE(OFFSET($H$3,0,0,'Données projet'!$E$9+1,1))</f>
        <v>336.25341821407534</v>
      </c>
      <c r="T35" s="60">
        <f t="shared" si="34"/>
        <v>360.3246221345039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447.61175661610503</v>
      </c>
      <c r="AN35" s="60">
        <f ca="1">AVERAGE(OFFSET($AM$3,0,0,'Données projet'!$E$10+1,1))-AVERAGE(OFFSET($H$3,0,0,'Données projet'!$E$10+1,1))</f>
        <v>516.30971934066179</v>
      </c>
      <c r="AO35" s="60">
        <f t="shared" si="36"/>
        <v>290.84286505723571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0">
        <f t="shared" si="8"/>
        <v>486.72131112705938</v>
      </c>
      <c r="BI35" s="60">
        <f ca="1">AVERAGE(OFFSET($BH$3,0,0,'Données projet'!$E$11+1,1))-AVERAGE(OFFSET($H$3,0,0,'Données projet'!$E$11+1,1))</f>
        <v>336.25341821407534</v>
      </c>
      <c r="BJ35" s="60">
        <f t="shared" si="38"/>
        <v>360.3246221345039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6.4102564102564088</v>
      </c>
      <c r="BY35" s="13">
        <f>IF('Données projet'!$A$114&gt;35,BY34+BX35-CG34,IF(A35&lt;'Données projet'!$A$114,$BV$205^A35,IF(A35='Données projet'!$A$114,'Données projet'!$B$114,BY34+BX35-CG34)))</f>
        <v>103.84615384615384</v>
      </c>
      <c r="BZ35" s="14">
        <f>BY35*VLOOKUP('Données projet'!$B$12,Paramètres!$A$1:$I$89,3,0)*VLOOKUP('Données projet'!$B$12,Paramètres!$A$1:$I$89,5,0)</f>
        <v>98.82</v>
      </c>
      <c r="CA35" s="14">
        <f t="shared" si="39"/>
        <v>26.680684905958366</v>
      </c>
      <c r="CB35" s="22">
        <f t="shared" si="10"/>
        <v>218.58035954454417</v>
      </c>
      <c r="CC35" s="60">
        <f t="shared" si="11"/>
        <v>459.55286202506949</v>
      </c>
      <c r="CD35" s="60">
        <f ca="1">AVERAGE(OFFSET($CC$3,0,0,'Données projet'!$E$12+1,1))-AVERAGE(OFFSET($H$3,0,0,'Données projet'!$E$12+1,1))</f>
        <v>398.29746143975166</v>
      </c>
      <c r="CE35" s="60">
        <f t="shared" si="40"/>
        <v>300.63705521148802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88.982399999999998</v>
      </c>
      <c r="CV35" s="14">
        <f t="shared" si="41"/>
        <v>24.31964219550628</v>
      </c>
      <c r="CW35" s="22">
        <f t="shared" si="13"/>
        <v>197.3343901571734</v>
      </c>
      <c r="CX35" s="60">
        <f t="shared" si="14"/>
        <v>438.30689263769875</v>
      </c>
      <c r="CY35" s="60">
        <f ca="1">AVERAGE(OFFSET($CX$3,0,0,'Données projet'!$E$13+1,1))-AVERAGE(OFFSET($H$3,0,0,'Données projet'!$E$13+1,1))</f>
        <v>496.33873798282525</v>
      </c>
      <c r="CZ35" s="60">
        <f t="shared" si="42"/>
        <v>280.25465074992246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130.49999999999997</v>
      </c>
      <c r="DP35" s="18">
        <f>DO35*VLOOKUP('Données projet'!$B$14,Paramètres!$A$1:$I$89,3,0)*VLOOKUP('Données projet'!$B$14,Paramètres!$A$1:$I$89,5,0)</f>
        <v>101.78999999999998</v>
      </c>
      <c r="DQ35" s="14">
        <f t="shared" si="43"/>
        <v>27.38799903683508</v>
      </c>
      <c r="DR35" s="22">
        <f t="shared" si="16"/>
        <v>224.98501498915437</v>
      </c>
      <c r="DS35" s="60">
        <f t="shared" si="17"/>
        <v>465.95751746967971</v>
      </c>
      <c r="DT35" s="60">
        <f ca="1">AVERAGE(OFFSET($DS$3,0,0,'Données projet'!$E$14+1,1))-AVERAGE(OFFSET($H$3,0,0,'Données projet'!$E$14+1,1))</f>
        <v>312.59632808777332</v>
      </c>
      <c r="DU35" s="60">
        <f t="shared" si="44"/>
        <v>302.59481222418219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7.6923076923076881</v>
      </c>
      <c r="EJ35" s="13">
        <f>IF('Données projet'!$A$192&gt;35,EJ34+EI35-ER34,IF(A35&lt;'Données projet'!$A$192,$EG$205^A35,IF(A35='Données projet'!$A$192,'Données projet'!$B$192,EJ34+EI35-ER34)))</f>
        <v>132.0512820512821</v>
      </c>
      <c r="EK35" s="18">
        <f>EJ35*VLOOKUP('Données projet'!$B$15,Paramètres!$A$1:$I$89,3,0)*VLOOKUP('Données projet'!$B$15,Paramètres!$A$1:$I$89,5,0)</f>
        <v>88.580000000000041</v>
      </c>
      <c r="EL35" s="14">
        <f t="shared" si="45"/>
        <v>24.222438846820232</v>
      </c>
      <c r="EM35" s="22">
        <f t="shared" si="19"/>
        <v>196.46424765821197</v>
      </c>
      <c r="EN35" s="60">
        <f t="shared" si="20"/>
        <v>437.4367501387373</v>
      </c>
      <c r="EO35" s="60">
        <f ca="1">AVERAGE(OFFSET($EN$3,0,0,'Données projet'!$E$15+1,1))-AVERAGE(OFFSET($H$3,0,0,'Données projet'!$E$15+1,1))</f>
        <v>344.62096650402731</v>
      </c>
      <c r="EP35" s="60">
        <f t="shared" si="46"/>
        <v>277.30931495079346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10.780000000000001</v>
      </c>
      <c r="FE35" s="13">
        <f>IF('Données projet'!$A$218&gt;35,FE34+FD35-FM34,IF(A35&lt;'Données projet'!$A$218,$FB$205^A35,IF(A35='Données projet'!$A$218,'Données projet'!$B$218,FE34+FD35-FM34)))</f>
        <v>140.06</v>
      </c>
      <c r="FF35" s="18">
        <f>FE35*VLOOKUP('Données projet'!$B$16,Paramètres!$A$1:$I$89,3,0)*VLOOKUP('Données projet'!$B$16,Paramètres!$A$1:$I$89,5,0)</f>
        <v>122.35641600000002</v>
      </c>
      <c r="FG35" s="14">
        <f t="shared" si="47"/>
        <v>32.223971060704159</v>
      </c>
      <c r="FH35" s="22">
        <f t="shared" si="22"/>
        <v>269.22750746405978</v>
      </c>
      <c r="FI35" s="60">
        <f t="shared" si="23"/>
        <v>510.20000994458508</v>
      </c>
      <c r="FJ35" s="60">
        <f ca="1">AVERAGE(OFFSET($FI$3,0,0,'Données projet'!$E$16+1,1))-AVERAGE(OFFSET($H$3,0,0,'Données projet'!$E$16+1,1))</f>
        <v>363.28611056308665</v>
      </c>
      <c r="FK35" s="60">
        <f t="shared" si="48"/>
        <v>389.43647559455974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92</v>
      </c>
      <c r="GA35" s="18">
        <f>FZ35*VLOOKUP('Données projet'!$B$17,Paramètres!$A$1:$I$89,3,0)*VLOOKUP('Données projet'!$B$17,Paramètres!$A$1:$I$89,5,0)</f>
        <v>99.028800000000004</v>
      </c>
      <c r="GB35" s="14">
        <f t="shared" si="49"/>
        <v>26.730491283721712</v>
      </c>
      <c r="GC35" s="22">
        <f t="shared" si="25"/>
        <v>219.03076565248196</v>
      </c>
      <c r="GD35" s="60">
        <f t="shared" si="26"/>
        <v>460.00326813300728</v>
      </c>
      <c r="GE35" s="60">
        <f ca="1">AVERAGE(OFFSET($GD$3,0,0,'Données projet'!$E$17+1,1))-AVERAGE(OFFSET($H$3,0,0,'Données projet'!$E$17+1,1))</f>
        <v>542.90832990875208</v>
      </c>
      <c r="GF35" s="60">
        <f t="shared" si="50"/>
        <v>304.94365539329362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10.780000000000001</v>
      </c>
      <c r="N36" s="14">
        <f>IF('Données projet'!$A$36&gt;35,N35+M36-V35,IF(A36&lt;'Données projet'!$A$36,$K$205^A36,IF(A36='Données projet'!$A$36,'Données projet'!$B$36,N35+M36-V35)))</f>
        <v>150.84</v>
      </c>
      <c r="O36" s="14">
        <f>N36*VLOOKUP('Données projet'!$B$9,Paramètres!$A$1:$I$89,3,0)*VLOOKUP('Données projet'!$B$9,Paramètres!$A$1:$I$89,5,0)</f>
        <v>120.008304</v>
      </c>
      <c r="P36" s="14">
        <f t="shared" si="33"/>
        <v>31.676936057955846</v>
      </c>
      <c r="Q36" s="22">
        <f t="shared" si="53"/>
        <v>264.18512643427306</v>
      </c>
      <c r="R36" s="60">
        <f t="shared" si="0"/>
        <v>506.06597226881377</v>
      </c>
      <c r="S36" s="60">
        <f ca="1">AVERAGE(OFFSET($R$3,0,0,'Données projet'!$E$9+1,1))-AVERAGE(OFFSET($H$3,0,0,'Données projet'!$E$9+1,1))</f>
        <v>336.25341821407534</v>
      </c>
      <c r="T36" s="60">
        <f t="shared" si="34"/>
        <v>360.3246221345039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466.02508665518945</v>
      </c>
      <c r="AN36" s="60">
        <f ca="1">AVERAGE(OFFSET($AM$3,0,0,'Données projet'!$E$10+1,1))-AVERAGE(OFFSET($H$3,0,0,'Données projet'!$E$10+1,1))</f>
        <v>516.30971934066179</v>
      </c>
      <c r="AO36" s="60">
        <f t="shared" si="36"/>
        <v>290.84286505723571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0">
        <f t="shared" si="8"/>
        <v>506.06597226881377</v>
      </c>
      <c r="BI36" s="60">
        <f ca="1">AVERAGE(OFFSET($BH$3,0,0,'Données projet'!$E$11+1,1))-AVERAGE(OFFSET($H$3,0,0,'Données projet'!$E$11+1,1))</f>
        <v>336.25341821407534</v>
      </c>
      <c r="BJ36" s="60">
        <f t="shared" si="38"/>
        <v>360.3246221345039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6.4102564102564088</v>
      </c>
      <c r="BY36" s="13">
        <f>IF('Données projet'!$A$114&gt;35,BY35+BX36-CG35,IF(A36&lt;'Données projet'!$A$114,$BV$205^A36,IF(A36='Données projet'!$A$114,'Données projet'!$B$114,BY35+BX36-CG35)))</f>
        <v>110.25641025641025</v>
      </c>
      <c r="BZ36" s="14">
        <f>BY36*VLOOKUP('Données projet'!$B$12,Paramètres!$A$1:$I$89,3,0)*VLOOKUP('Données projet'!$B$12,Paramètres!$A$1:$I$89,5,0)</f>
        <v>104.91999999999999</v>
      </c>
      <c r="CA36" s="14">
        <f t="shared" si="39"/>
        <v>28.130823299932707</v>
      </c>
      <c r="CB36" s="22">
        <f t="shared" si="10"/>
        <v>231.73018391404943</v>
      </c>
      <c r="CC36" s="60">
        <f t="shared" si="11"/>
        <v>473.61102974859017</v>
      </c>
      <c r="CD36" s="60">
        <f ca="1">AVERAGE(OFFSET($CC$3,0,0,'Données projet'!$E$12+1,1))-AVERAGE(OFFSET($H$3,0,0,'Données projet'!$E$12+1,1))</f>
        <v>398.29746143975166</v>
      </c>
      <c r="CE36" s="60">
        <f t="shared" si="40"/>
        <v>300.63705521148802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96.72</v>
      </c>
      <c r="CV36" s="14">
        <f t="shared" si="41"/>
        <v>26.179072558792139</v>
      </c>
      <c r="CW36" s="22">
        <f t="shared" si="13"/>
        <v>214.04921803989632</v>
      </c>
      <c r="CX36" s="60">
        <f t="shared" si="14"/>
        <v>455.93006387443705</v>
      </c>
      <c r="CY36" s="60">
        <f ca="1">AVERAGE(OFFSET($CX$3,0,0,'Données projet'!$E$13+1,1))-AVERAGE(OFFSET($H$3,0,0,'Données projet'!$E$13+1,1))</f>
        <v>496.33873798282525</v>
      </c>
      <c r="CZ36" s="60">
        <f t="shared" si="42"/>
        <v>280.25465074992246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141.99999999999997</v>
      </c>
      <c r="DP36" s="18">
        <f>DO36*VLOOKUP('Données projet'!$B$14,Paramètres!$A$1:$I$89,3,0)*VLOOKUP('Données projet'!$B$14,Paramètres!$A$1:$I$89,5,0)</f>
        <v>110.75999999999998</v>
      </c>
      <c r="DQ36" s="14">
        <f t="shared" si="43"/>
        <v>29.509974682362923</v>
      </c>
      <c r="DR36" s="22">
        <f t="shared" si="16"/>
        <v>244.30353923844871</v>
      </c>
      <c r="DS36" s="60">
        <f t="shared" si="17"/>
        <v>486.18438507298947</v>
      </c>
      <c r="DT36" s="60">
        <f ca="1">AVERAGE(OFFSET($DS$3,0,0,'Données projet'!$E$14+1,1))-AVERAGE(OFFSET($H$3,0,0,'Données projet'!$E$14+1,1))</f>
        <v>312.59632808777332</v>
      </c>
      <c r="DU36" s="60">
        <f t="shared" si="44"/>
        <v>302.59481222418219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7.6923076923076881</v>
      </c>
      <c r="EJ36" s="13">
        <f>IF('Données projet'!$A$192&gt;35,EJ35+EI36-ER35,IF(A36&lt;'Données projet'!$A$192,$EG$205^A36,IF(A36='Données projet'!$A$192,'Données projet'!$B$192,EJ35+EI36-ER35)))</f>
        <v>139.74358974358978</v>
      </c>
      <c r="EK36" s="18">
        <f>EJ36*VLOOKUP('Données projet'!$B$15,Paramètres!$A$1:$I$89,3,0)*VLOOKUP('Données projet'!$B$15,Paramètres!$A$1:$I$89,5,0)</f>
        <v>93.740000000000023</v>
      </c>
      <c r="EL36" s="14">
        <f t="shared" si="45"/>
        <v>25.465074435109123</v>
      </c>
      <c r="EM36" s="22">
        <f t="shared" si="19"/>
        <v>207.61550464114839</v>
      </c>
      <c r="EN36" s="60">
        <f t="shared" si="20"/>
        <v>449.49635047568916</v>
      </c>
      <c r="EO36" s="60">
        <f ca="1">AVERAGE(OFFSET($EN$3,0,0,'Données projet'!$E$15+1,1))-AVERAGE(OFFSET($H$3,0,0,'Données projet'!$E$15+1,1))</f>
        <v>344.62096650402731</v>
      </c>
      <c r="EP36" s="60">
        <f t="shared" si="46"/>
        <v>277.30931495079346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10.780000000000001</v>
      </c>
      <c r="FE36" s="13">
        <f>IF('Données projet'!$A$218&gt;35,FE35+FD36-FM35,IF(A36&lt;'Données projet'!$A$218,$FB$205^A36,IF(A36='Données projet'!$A$218,'Données projet'!$B$218,FE35+FD36-FM35)))</f>
        <v>150.84</v>
      </c>
      <c r="FF36" s="18">
        <f>FE36*VLOOKUP('Données projet'!$B$16,Paramètres!$A$1:$I$89,3,0)*VLOOKUP('Données projet'!$B$16,Paramètres!$A$1:$I$89,5,0)</f>
        <v>131.77382400000002</v>
      </c>
      <c r="FG36" s="14">
        <f t="shared" si="47"/>
        <v>34.405914123082425</v>
      </c>
      <c r="FH36" s="22">
        <f t="shared" si="22"/>
        <v>289.42971056436858</v>
      </c>
      <c r="FI36" s="60">
        <f t="shared" si="23"/>
        <v>531.31055639890928</v>
      </c>
      <c r="FJ36" s="60">
        <f ca="1">AVERAGE(OFFSET($FI$3,0,0,'Données projet'!$E$16+1,1))-AVERAGE(OFFSET($H$3,0,0,'Données projet'!$E$16+1,1))</f>
        <v>363.28611056308665</v>
      </c>
      <c r="FK36" s="60">
        <f t="shared" si="48"/>
        <v>389.43647559455974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100</v>
      </c>
      <c r="GA36" s="18">
        <f>FZ36*VLOOKUP('Données projet'!$B$17,Paramètres!$A$1:$I$89,3,0)*VLOOKUP('Données projet'!$B$17,Paramètres!$A$1:$I$89,5,0)</f>
        <v>107.64</v>
      </c>
      <c r="GB36" s="14">
        <f t="shared" si="49"/>
        <v>28.774250263353583</v>
      </c>
      <c r="GC36" s="22">
        <f t="shared" si="25"/>
        <v>237.58815254200749</v>
      </c>
      <c r="GD36" s="60">
        <f t="shared" si="26"/>
        <v>479.46899837654826</v>
      </c>
      <c r="GE36" s="60">
        <f ca="1">AVERAGE(OFFSET($GD$3,0,0,'Données projet'!$E$17+1,1))-AVERAGE(OFFSET($H$3,0,0,'Données projet'!$E$17+1,1))</f>
        <v>542.90832990875208</v>
      </c>
      <c r="GF36" s="60">
        <f t="shared" si="50"/>
        <v>304.94365539329362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10.780000000000001</v>
      </c>
      <c r="N37" s="14">
        <f>IF('Données projet'!$A$36&gt;35,N36+M37-V36,IF(A37&lt;'Données projet'!$A$36,$K$205^A37,IF(A37='Données projet'!$A$36,'Données projet'!$B$36,N36+M37-V36)))</f>
        <v>161.62</v>
      </c>
      <c r="O37" s="14">
        <f>N37*VLOOKUP('Données projet'!$B$9,Paramètres!$A$1:$I$89,3,0)*VLOOKUP('Données projet'!$B$9,Paramètres!$A$1:$I$89,5,0)</f>
        <v>128.58487200000002</v>
      </c>
      <c r="P37" s="14">
        <f t="shared" si="33"/>
        <v>33.669156791917978</v>
      </c>
      <c r="Q37" s="22">
        <f t="shared" si="53"/>
        <v>282.59243347925718</v>
      </c>
      <c r="R37" s="60">
        <f t="shared" si="0"/>
        <v>525.36586494137282</v>
      </c>
      <c r="S37" s="60">
        <f ca="1">AVERAGE(OFFSET($R$3,0,0,'Données projet'!$E$9+1,1))-AVERAGE(OFFSET($H$3,0,0,'Données projet'!$E$9+1,1))</f>
        <v>336.25341821407534</v>
      </c>
      <c r="T37" s="60">
        <f t="shared" si="34"/>
        <v>360.3246221345039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484.39132688046732</v>
      </c>
      <c r="AN37" s="60">
        <f ca="1">AVERAGE(OFFSET($AM$3,0,0,'Données projet'!$E$10+1,1))-AVERAGE(OFFSET($H$3,0,0,'Données projet'!$E$10+1,1))</f>
        <v>516.30971934066179</v>
      </c>
      <c r="AO37" s="60">
        <f t="shared" si="36"/>
        <v>290.84286505723571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0">
        <f t="shared" si="8"/>
        <v>525.36586494137282</v>
      </c>
      <c r="BI37" s="60">
        <f ca="1">AVERAGE(OFFSET($BH$3,0,0,'Données projet'!$E$11+1,1))-AVERAGE(OFFSET($H$3,0,0,'Données projet'!$E$11+1,1))</f>
        <v>336.25341821407534</v>
      </c>
      <c r="BJ37" s="60">
        <f t="shared" si="38"/>
        <v>360.3246221345039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6.4102564102564088</v>
      </c>
      <c r="BY37" s="13">
        <f>IF('Données projet'!$A$114&gt;35,BY36+BX37-CG36,IF(A37&lt;'Données projet'!$A$114,$BV$205^A37,IF(A37='Données projet'!$A$114,'Données projet'!$B$114,BY36+BX37-CG36)))</f>
        <v>116.66666666666666</v>
      </c>
      <c r="BZ37" s="14">
        <f>BY37*VLOOKUP('Données projet'!$B$12,Paramètres!$A$1:$I$89,3,0)*VLOOKUP('Données projet'!$B$12,Paramètres!$A$1:$I$89,5,0)</f>
        <v>111.02</v>
      </c>
      <c r="CA37" s="14">
        <f t="shared" si="39"/>
        <v>29.571175279490561</v>
      </c>
      <c r="CB37" s="22">
        <f t="shared" si="10"/>
        <v>244.86296361177938</v>
      </c>
      <c r="CC37" s="60">
        <f t="shared" si="11"/>
        <v>487.63639507389496</v>
      </c>
      <c r="CD37" s="60">
        <f ca="1">AVERAGE(OFFSET($CC$3,0,0,'Données projet'!$E$12+1,1))-AVERAGE(OFFSET($H$3,0,0,'Données projet'!$E$12+1,1))</f>
        <v>398.29746143975166</v>
      </c>
      <c r="CE37" s="60">
        <f t="shared" si="40"/>
        <v>300.63705521148802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104.4576</v>
      </c>
      <c r="CV37" s="14">
        <f t="shared" si="41"/>
        <v>28.021248860498272</v>
      </c>
      <c r="CW37" s="22">
        <f t="shared" si="13"/>
        <v>230.73399509870114</v>
      </c>
      <c r="CX37" s="60">
        <f t="shared" si="14"/>
        <v>473.50742656081673</v>
      </c>
      <c r="CY37" s="60">
        <f ca="1">AVERAGE(OFFSET($CX$3,0,0,'Données projet'!$E$13+1,1))-AVERAGE(OFFSET($H$3,0,0,'Données projet'!$E$13+1,1))</f>
        <v>496.33873798282525</v>
      </c>
      <c r="CZ37" s="60">
        <f t="shared" si="42"/>
        <v>280.25465074992246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153.49999999999997</v>
      </c>
      <c r="DP37" s="18">
        <f>DO37*VLOOKUP('Données projet'!$B$14,Paramètres!$A$1:$I$89,3,0)*VLOOKUP('Données projet'!$B$14,Paramètres!$A$1:$I$89,5,0)</f>
        <v>119.72999999999998</v>
      </c>
      <c r="DQ37" s="14">
        <f t="shared" si="43"/>
        <v>31.612017974790529</v>
      </c>
      <c r="DR37" s="22">
        <f t="shared" si="16"/>
        <v>263.58734797276014</v>
      </c>
      <c r="DS37" s="60">
        <f t="shared" si="17"/>
        <v>506.36077943487572</v>
      </c>
      <c r="DT37" s="60">
        <f ca="1">AVERAGE(OFFSET($DS$3,0,0,'Données projet'!$E$14+1,1))-AVERAGE(OFFSET($H$3,0,0,'Données projet'!$E$14+1,1))</f>
        <v>312.59632808777332</v>
      </c>
      <c r="DU37" s="60">
        <f t="shared" si="44"/>
        <v>302.59481222418219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7.6923076923076881</v>
      </c>
      <c r="EJ37" s="13">
        <f>IF('Données projet'!$A$192&gt;35,EJ36+EI37-ER36,IF(A37&lt;'Données projet'!$A$192,$EG$205^A37,IF(A37='Données projet'!$A$192,'Données projet'!$B$192,EJ36+EI37-ER36)))</f>
        <v>147.43589743589746</v>
      </c>
      <c r="EK37" s="18">
        <f>EJ37*VLOOKUP('Données projet'!$B$15,Paramètres!$A$1:$I$89,3,0)*VLOOKUP('Données projet'!$B$15,Paramètres!$A$1:$I$89,5,0)</f>
        <v>98.90000000000002</v>
      </c>
      <c r="EL37" s="14">
        <f t="shared" si="45"/>
        <v>26.699769255487553</v>
      </c>
      <c r="EM37" s="22">
        <f t="shared" si="19"/>
        <v>218.7529314533075</v>
      </c>
      <c r="EN37" s="60">
        <f t="shared" si="20"/>
        <v>461.52636291542308</v>
      </c>
      <c r="EO37" s="60">
        <f ca="1">AVERAGE(OFFSET($EN$3,0,0,'Données projet'!$E$15+1,1))-AVERAGE(OFFSET($H$3,0,0,'Données projet'!$E$15+1,1))</f>
        <v>344.62096650402731</v>
      </c>
      <c r="EP37" s="60">
        <f t="shared" si="46"/>
        <v>277.30931495079346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10.780000000000001</v>
      </c>
      <c r="FE37" s="13">
        <f>IF('Données projet'!$A$218&gt;35,FE36+FD37-FM36,IF(A37&lt;'Données projet'!$A$218,$FB$205^A37,IF(A37='Données projet'!$A$218,'Données projet'!$B$218,FE36+FD37-FM36)))</f>
        <v>161.62</v>
      </c>
      <c r="FF37" s="18">
        <f>FE37*VLOOKUP('Données projet'!$B$16,Paramètres!$A$1:$I$89,3,0)*VLOOKUP('Données projet'!$B$16,Paramètres!$A$1:$I$89,5,0)</f>
        <v>141.19123200000001</v>
      </c>
      <c r="FG37" s="14">
        <f t="shared" si="47"/>
        <v>36.569765303686403</v>
      </c>
      <c r="FH37" s="22">
        <f t="shared" si="22"/>
        <v>309.60040363725381</v>
      </c>
      <c r="FI37" s="60">
        <f t="shared" si="23"/>
        <v>552.37383509936944</v>
      </c>
      <c r="FJ37" s="60">
        <f ca="1">AVERAGE(OFFSET($FI$3,0,0,'Données projet'!$E$16+1,1))-AVERAGE(OFFSET($H$3,0,0,'Données projet'!$E$16+1,1))</f>
        <v>363.28611056308665</v>
      </c>
      <c r="FK37" s="60">
        <f t="shared" si="48"/>
        <v>389.43647559455974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108</v>
      </c>
      <c r="GA37" s="18">
        <f>FZ37*VLOOKUP('Données projet'!$B$17,Paramètres!$A$1:$I$89,3,0)*VLOOKUP('Données projet'!$B$17,Paramètres!$A$1:$I$89,5,0)</f>
        <v>116.2512</v>
      </c>
      <c r="GB37" s="14">
        <f t="shared" si="49"/>
        <v>30.799044755804328</v>
      </c>
      <c r="GC37" s="22">
        <f t="shared" si="25"/>
        <v>256.1125096163592</v>
      </c>
      <c r="GD37" s="60">
        <f t="shared" si="26"/>
        <v>498.88594107847479</v>
      </c>
      <c r="GE37" s="60">
        <f ca="1">AVERAGE(OFFSET($GD$3,0,0,'Données projet'!$E$17+1,1))-AVERAGE(OFFSET($H$3,0,0,'Données projet'!$E$17+1,1))</f>
        <v>542.90832990875208</v>
      </c>
      <c r="GF37" s="60">
        <f t="shared" si="50"/>
        <v>304.94365539329362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172.4</v>
      </c>
      <c r="L38" s="13">
        <f>VLOOKUP(A38,'Données projet'!$A$35:$I$55,9,0)</f>
        <v>10.780000000000001</v>
      </c>
      <c r="M38" s="13">
        <f t="array" ref="M38">INDEX(L:L,MIN(IF(ISNUMBER(L38:L234),ROW(L38:L234),"")))</f>
        <v>10.780000000000001</v>
      </c>
      <c r="N38" s="14">
        <f>IF('Données projet'!$A$36&gt;35,N37+M38-V37,IF(A38&lt;'Données projet'!$A$36,$K$205^A38,IF(A38='Données projet'!$A$36,'Données projet'!$B$36,N37+M38-V37)))</f>
        <v>172.4</v>
      </c>
      <c r="O38" s="14">
        <f>N38*VLOOKUP('Données projet'!$B$9,Paramètres!$A$1:$I$89,3,0)*VLOOKUP('Données projet'!$B$9,Paramètres!$A$1:$I$89,5,0)</f>
        <v>137.16144000000003</v>
      </c>
      <c r="P38" s="14">
        <f t="shared" si="33"/>
        <v>35.64595806367339</v>
      </c>
      <c r="Q38" s="22">
        <f t="shared" si="53"/>
        <v>300.97288496089783</v>
      </c>
      <c r="R38" s="60">
        <f t="shared" si="0"/>
        <v>544.6234176854723</v>
      </c>
      <c r="S38" s="60">
        <f ca="1">AVERAGE(OFFSET($R$3,0,0,'Données projet'!$E$9+1,1))-AVERAGE(OFFSET($H$3,0,0,'Données projet'!$E$9+1,1))</f>
        <v>336.25341821407534</v>
      </c>
      <c r="T38" s="60">
        <f t="shared" si="34"/>
        <v>360.3246221345039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502.71333546669905</v>
      </c>
      <c r="AN38" s="60">
        <f ca="1">AVERAGE(OFFSET($AM$3,0,0,'Données projet'!$E$10+1,1))-AVERAGE(OFFSET($H$3,0,0,'Données projet'!$E$10+1,1))</f>
        <v>516.30971934066179</v>
      </c>
      <c r="AO38" s="60">
        <f t="shared" si="36"/>
        <v>290.84286505723571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0">
        <f t="shared" si="8"/>
        <v>544.6234176854723</v>
      </c>
      <c r="BI38" s="60">
        <f ca="1">AVERAGE(OFFSET($BH$3,0,0,'Données projet'!$E$11+1,1))-AVERAGE(OFFSET($H$3,0,0,'Données projet'!$E$11+1,1))</f>
        <v>336.25341821407534</v>
      </c>
      <c r="BJ38" s="60">
        <f t="shared" si="38"/>
        <v>360.3246221345039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123.07692307692307</v>
      </c>
      <c r="BW38" s="13">
        <f>VLOOKUP(A38,'Données projet'!$A$113:$I$133,9,0)</f>
        <v>6.4102564102564088</v>
      </c>
      <c r="BX38" s="13">
        <f t="array" ref="BX38">INDEX(BW:BW,MIN(IF(ISNUMBER(BW38:BW234),ROW(BW38:BW234),"")))</f>
        <v>6.4102564102564088</v>
      </c>
      <c r="BY38" s="13">
        <f>IF('Données projet'!$A$114&gt;35,BY37+BX38-CG37,IF(A38&lt;'Données projet'!$A$114,$BV$205^A38,IF(A38='Données projet'!$A$114,'Données projet'!$B$114,BY37+BX38-CG37)))</f>
        <v>123.07692307692307</v>
      </c>
      <c r="BZ38" s="14">
        <f>BY38*VLOOKUP('Données projet'!$B$12,Paramètres!$A$1:$I$89,3,0)*VLOOKUP('Données projet'!$B$12,Paramètres!$A$1:$I$89,5,0)</f>
        <v>117.11999999999999</v>
      </c>
      <c r="CA38" s="14">
        <f t="shared" si="39"/>
        <v>31.002339853075508</v>
      </c>
      <c r="CB38" s="22">
        <f t="shared" si="10"/>
        <v>257.97974191077316</v>
      </c>
      <c r="CC38" s="60">
        <f t="shared" si="11"/>
        <v>501.63027463534763</v>
      </c>
      <c r="CD38" s="60">
        <f ca="1">AVERAGE(OFFSET($CC$3,0,0,'Données projet'!$E$12+1,1))-AVERAGE(OFFSET($H$3,0,0,'Données projet'!$E$12+1,1))</f>
        <v>398.29746143975166</v>
      </c>
      <c r="CE38" s="60">
        <f t="shared" si="40"/>
        <v>300.63705521148802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112.1952</v>
      </c>
      <c r="CV38" s="14">
        <f t="shared" si="41"/>
        <v>29.847594514573263</v>
      </c>
      <c r="CW38" s="22">
        <f t="shared" si="13"/>
        <v>247.39120044621509</v>
      </c>
      <c r="CX38" s="60">
        <f t="shared" si="14"/>
        <v>491.0417331707896</v>
      </c>
      <c r="CY38" s="60">
        <f ca="1">AVERAGE(OFFSET($CX$3,0,0,'Données projet'!$E$13+1,1))-AVERAGE(OFFSET($H$3,0,0,'Données projet'!$E$13+1,1))</f>
        <v>496.33873798282525</v>
      </c>
      <c r="CZ38" s="60">
        <f t="shared" si="42"/>
        <v>280.25465074992246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164.99999999999997</v>
      </c>
      <c r="DP38" s="18">
        <f>DO38*VLOOKUP('Données projet'!$B$14,Paramètres!$A$1:$I$89,3,0)*VLOOKUP('Données projet'!$B$14,Paramètres!$A$1:$I$89,5,0)</f>
        <v>128.69999999999999</v>
      </c>
      <c r="DQ38" s="14">
        <f t="shared" si="43"/>
        <v>33.695792019186115</v>
      </c>
      <c r="DR38" s="22">
        <f t="shared" si="16"/>
        <v>282.83933776674911</v>
      </c>
      <c r="DS38" s="60">
        <f t="shared" si="17"/>
        <v>526.48987049132359</v>
      </c>
      <c r="DT38" s="60">
        <f ca="1">AVERAGE(OFFSET($DS$3,0,0,'Données projet'!$E$14+1,1))-AVERAGE(OFFSET($H$3,0,0,'Données projet'!$E$14+1,1))</f>
        <v>312.59632808777332</v>
      </c>
      <c r="DU38" s="60">
        <f t="shared" si="44"/>
        <v>302.59481222418219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155.12820512820511</v>
      </c>
      <c r="EH38" s="13">
        <f>VLOOKUP(A38,'Données projet'!$A$191:$I$211,9,0)</f>
        <v>7.6923076923076881</v>
      </c>
      <c r="EI38" s="13">
        <f t="array" ref="EI38">INDEX(EH:EH,MIN(IF(ISNUMBER(EH38:EH234),ROW(EH38:EH234),"")))</f>
        <v>7.6923076923076881</v>
      </c>
      <c r="EJ38" s="13">
        <f>IF('Données projet'!$A$192&gt;35,EJ37+EI38-ER37,IF(A38&lt;'Données projet'!$A$192,$EG$205^A38,IF(A38='Données projet'!$A$192,'Données projet'!$B$192,EJ37+EI38-ER37)))</f>
        <v>155.12820512820514</v>
      </c>
      <c r="EK38" s="18">
        <f>EJ38*VLOOKUP('Données projet'!$B$15,Paramètres!$A$1:$I$89,3,0)*VLOOKUP('Données projet'!$B$15,Paramètres!$A$1:$I$89,5,0)</f>
        <v>104.06</v>
      </c>
      <c r="EL38" s="14">
        <f t="shared" si="45"/>
        <v>27.926984861261673</v>
      </c>
      <c r="EM38" s="22">
        <f t="shared" si="19"/>
        <v>229.8773319666974</v>
      </c>
      <c r="EN38" s="60">
        <f t="shared" si="20"/>
        <v>473.52786469127193</v>
      </c>
      <c r="EO38" s="60">
        <f ca="1">AVERAGE(OFFSET($EN$3,0,0,'Données projet'!$E$15+1,1))-AVERAGE(OFFSET($H$3,0,0,'Données projet'!$E$15+1,1))</f>
        <v>344.62096650402731</v>
      </c>
      <c r="EP38" s="60">
        <f t="shared" si="46"/>
        <v>277.30931495079346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172.4</v>
      </c>
      <c r="FC38" s="13">
        <f>VLOOKUP(A38,'Données projet'!$A$217:$I$237,9,0)</f>
        <v>10.780000000000001</v>
      </c>
      <c r="FD38" s="13">
        <f t="array" ref="FD38">INDEX(FC:FC,MIN(IF(ISNUMBER(FC38:FC234),ROW(FC38:FC234),"")))</f>
        <v>10.780000000000001</v>
      </c>
      <c r="FE38" s="13">
        <f>IF('Données projet'!$A$218&gt;35,FE37+FD38-FM37,IF(A38&lt;'Données projet'!$A$218,$FB$205^A38,IF(A38='Données projet'!$A$218,'Données projet'!$B$218,FE37+FD38-FM37)))</f>
        <v>172.4</v>
      </c>
      <c r="FF38" s="18">
        <f>FE38*VLOOKUP('Données projet'!$B$16,Paramètres!$A$1:$I$89,3,0)*VLOOKUP('Données projet'!$B$16,Paramètres!$A$1:$I$89,5,0)</f>
        <v>150.60864000000004</v>
      </c>
      <c r="FG38" s="14">
        <f t="shared" si="47"/>
        <v>38.716868630535288</v>
      </c>
      <c r="FH38" s="22">
        <f t="shared" si="22"/>
        <v>329.74192753151567</v>
      </c>
      <c r="FI38" s="60">
        <f t="shared" si="23"/>
        <v>573.3924602560902</v>
      </c>
      <c r="FJ38" s="60">
        <f ca="1">AVERAGE(OFFSET($FI$3,0,0,'Données projet'!$E$16+1,1))-AVERAGE(OFFSET($H$3,0,0,'Données projet'!$E$16+1,1))</f>
        <v>363.28611056308665</v>
      </c>
      <c r="FK38" s="60">
        <f t="shared" si="48"/>
        <v>389.43647559455974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116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116</v>
      </c>
      <c r="GA38" s="18">
        <f>FZ38*VLOOKUP('Données projet'!$B$17,Paramètres!$A$1:$I$89,3,0)*VLOOKUP('Données projet'!$B$17,Paramètres!$A$1:$I$89,5,0)</f>
        <v>124.86239999999999</v>
      </c>
      <c r="GB38" s="14">
        <f t="shared" si="49"/>
        <v>32.806439280561598</v>
      </c>
      <c r="GC38" s="22">
        <f t="shared" si="25"/>
        <v>274.60656174697812</v>
      </c>
      <c r="GD38" s="60">
        <f t="shared" si="26"/>
        <v>518.25709447155259</v>
      </c>
      <c r="GE38" s="60">
        <f ca="1">AVERAGE(OFFSET($GD$3,0,0,'Données projet'!$E$17+1,1))-AVERAGE(OFFSET($H$3,0,0,'Données projet'!$E$17+1,1))</f>
        <v>542.90832990875208</v>
      </c>
      <c r="GF38" s="60">
        <f t="shared" si="50"/>
        <v>304.94365539329362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9.4399999999999977</v>
      </c>
      <c r="N39" s="14">
        <f>IF('Données projet'!$A$36&gt;35,N38+M39-V38,IF(A39&lt;'Données projet'!$A$36,$K$205^A39,IF(A39='Données projet'!$A$36,'Données projet'!$B$36,N38+M39-V38)))</f>
        <v>181.84</v>
      </c>
      <c r="O39" s="14">
        <f>N39*VLOOKUP('Données projet'!$B$9,Paramètres!$A$1:$I$89,3,0)*VLOOKUP('Données projet'!$B$9,Paramètres!$A$1:$I$89,5,0)</f>
        <v>144.67190400000001</v>
      </c>
      <c r="P39" s="14">
        <f t="shared" si="33"/>
        <v>37.365219813928285</v>
      </c>
      <c r="Q39" s="22">
        <f t="shared" si="53"/>
        <v>317.04799064259174</v>
      </c>
      <c r="R39" s="60">
        <f t="shared" si="0"/>
        <v>561.56040888362622</v>
      </c>
      <c r="S39" s="60">
        <f ca="1">AVERAGE(OFFSET($R$3,0,0,'Données projet'!$E$9+1,1))-AVERAGE(OFFSET($H$3,0,0,'Données projet'!$E$9+1,1))</f>
        <v>336.25341821407534</v>
      </c>
      <c r="T39" s="60">
        <f t="shared" si="34"/>
        <v>360.3246221345039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521.86384622048729</v>
      </c>
      <c r="AN39" s="60">
        <f ca="1">AVERAGE(OFFSET($AM$3,0,0,'Données projet'!$E$10+1,1))-AVERAGE(OFFSET($H$3,0,0,'Données projet'!$E$10+1,1))</f>
        <v>516.30971934066179</v>
      </c>
      <c r="AO39" s="60">
        <f t="shared" si="36"/>
        <v>290.84286505723571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0">
        <f t="shared" si="8"/>
        <v>561.56040888362622</v>
      </c>
      <c r="BI39" s="60">
        <f ca="1">AVERAGE(OFFSET($BH$3,0,0,'Données projet'!$E$11+1,1))-AVERAGE(OFFSET($H$3,0,0,'Données projet'!$E$11+1,1))</f>
        <v>336.25341821407534</v>
      </c>
      <c r="BJ39" s="60">
        <f t="shared" si="38"/>
        <v>360.3246221345039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5.8974358974359005</v>
      </c>
      <c r="BY39" s="13">
        <f>IF('Données projet'!$A$114&gt;35,BY38+BX39-CG38,IF(A39&lt;'Données projet'!$A$114,$BV$205^A39,IF(A39='Données projet'!$A$114,'Données projet'!$B$114,BY38+BX39-CG38)))</f>
        <v>128.97435897435898</v>
      </c>
      <c r="BZ39" s="14">
        <f>BY39*VLOOKUP('Données projet'!$B$12,Paramètres!$A$1:$I$89,3,0)*VLOOKUP('Données projet'!$B$12,Paramètres!$A$1:$I$89,5,0)</f>
        <v>122.73200000000001</v>
      </c>
      <c r="CA39" s="14">
        <f t="shared" si="39"/>
        <v>32.311356202721527</v>
      </c>
      <c r="CB39" s="22">
        <f t="shared" si="10"/>
        <v>270.03384538640671</v>
      </c>
      <c r="CC39" s="60">
        <f t="shared" si="11"/>
        <v>514.54626362744114</v>
      </c>
      <c r="CD39" s="60">
        <f ca="1">AVERAGE(OFFSET($CC$3,0,0,'Données projet'!$E$12+1,1))-AVERAGE(OFFSET($H$3,0,0,'Données projet'!$E$12+1,1))</f>
        <v>398.29746143975166</v>
      </c>
      <c r="CE39" s="60">
        <f t="shared" si="40"/>
        <v>300.63705521148802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120.31968000000001</v>
      </c>
      <c r="CV39" s="14">
        <f t="shared" si="41"/>
        <v>31.74954785566829</v>
      </c>
      <c r="CW39" s="22">
        <f t="shared" si="13"/>
        <v>264.85390518195555</v>
      </c>
      <c r="CX39" s="60">
        <f t="shared" si="14"/>
        <v>509.36632342298998</v>
      </c>
      <c r="CY39" s="60">
        <f ca="1">AVERAGE(OFFSET($CX$3,0,0,'Données projet'!$E$13+1,1))-AVERAGE(OFFSET($H$3,0,0,'Données projet'!$E$13+1,1))</f>
        <v>496.33873798282525</v>
      </c>
      <c r="CZ39" s="60">
        <f t="shared" si="42"/>
        <v>280.25465074992246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176.49999999999997</v>
      </c>
      <c r="DP39" s="18">
        <f>DO39*VLOOKUP('Données projet'!$B$14,Paramètres!$A$1:$I$89,3,0)*VLOOKUP('Données projet'!$B$14,Paramètres!$A$1:$I$89,5,0)</f>
        <v>137.66999999999999</v>
      </c>
      <c r="DQ39" s="14">
        <f t="shared" si="43"/>
        <v>35.762714965854656</v>
      </c>
      <c r="DR39" s="22">
        <f t="shared" si="16"/>
        <v>302.06197856553018</v>
      </c>
      <c r="DS39" s="60">
        <f t="shared" si="17"/>
        <v>546.57439680656466</v>
      </c>
      <c r="DT39" s="60">
        <f ca="1">AVERAGE(OFFSET($DS$3,0,0,'Données projet'!$E$14+1,1))-AVERAGE(OFFSET($H$3,0,0,'Données projet'!$E$14+1,1))</f>
        <v>312.59632808777332</v>
      </c>
      <c r="DU39" s="60">
        <f t="shared" si="44"/>
        <v>302.59481222418219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7.1794871794871824</v>
      </c>
      <c r="EJ39" s="13">
        <f>IF('Données projet'!$A$192&gt;35,EJ38+EI39-ER38,IF(A39&lt;'Données projet'!$A$192,$EG$205^A39,IF(A39='Données projet'!$A$192,'Données projet'!$B$192,EJ38+EI39-ER38)))</f>
        <v>162.30769230769232</v>
      </c>
      <c r="EK39" s="18">
        <f>EJ39*VLOOKUP('Données projet'!$B$15,Paramètres!$A$1:$I$89,3,0)*VLOOKUP('Données projet'!$B$15,Paramètres!$A$1:$I$89,5,0)</f>
        <v>108.87600000000002</v>
      </c>
      <c r="EL39" s="14">
        <f t="shared" si="45"/>
        <v>29.066003313709242</v>
      </c>
      <c r="EM39" s="22">
        <f t="shared" si="19"/>
        <v>240.24898910471029</v>
      </c>
      <c r="EN39" s="60">
        <f t="shared" si="20"/>
        <v>484.76140734574471</v>
      </c>
      <c r="EO39" s="60">
        <f ca="1">AVERAGE(OFFSET($EN$3,0,0,'Données projet'!$E$15+1,1))-AVERAGE(OFFSET($H$3,0,0,'Données projet'!$E$15+1,1))</f>
        <v>344.62096650402731</v>
      </c>
      <c r="EP39" s="60">
        <f t="shared" si="46"/>
        <v>277.30931495079346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9.4399999999999977</v>
      </c>
      <c r="FE39" s="13">
        <f>IF('Données projet'!$A$218&gt;35,FE38+FD39-FM38,IF(A39&lt;'Données projet'!$A$218,$FB$205^A39,IF(A39='Données projet'!$A$218,'Données projet'!$B$218,FE38+FD39-FM38)))</f>
        <v>181.84</v>
      </c>
      <c r="FF39" s="18">
        <f>FE39*VLOOKUP('Données projet'!$B$16,Paramètres!$A$1:$I$89,3,0)*VLOOKUP('Données projet'!$B$16,Paramètres!$A$1:$I$89,5,0)</f>
        <v>158.85542400000003</v>
      </c>
      <c r="FG39" s="14">
        <f t="shared" si="47"/>
        <v>40.584245324611537</v>
      </c>
      <c r="FH39" s="22">
        <f t="shared" si="22"/>
        <v>347.35742407369844</v>
      </c>
      <c r="FI39" s="60">
        <f t="shared" si="23"/>
        <v>591.86984231473286</v>
      </c>
      <c r="FJ39" s="60">
        <f ca="1">AVERAGE(OFFSET($FI$3,0,0,'Données projet'!$E$16+1,1))-AVERAGE(OFFSET($H$3,0,0,'Données projet'!$E$16+1,1))</f>
        <v>363.28611056308665</v>
      </c>
      <c r="FK39" s="60">
        <f t="shared" si="48"/>
        <v>389.43647559455974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124.4</v>
      </c>
      <c r="GA39" s="18">
        <f>FZ39*VLOOKUP('Données projet'!$B$17,Paramètres!$A$1:$I$89,3,0)*VLOOKUP('Données projet'!$B$17,Paramètres!$A$1:$I$89,5,0)</f>
        <v>133.90415999999999</v>
      </c>
      <c r="GB39" s="14">
        <f t="shared" si="49"/>
        <v>34.896936615903982</v>
      </c>
      <c r="GC39" s="22">
        <f t="shared" si="25"/>
        <v>293.99524327269938</v>
      </c>
      <c r="GD39" s="60">
        <f t="shared" si="26"/>
        <v>538.50766151373386</v>
      </c>
      <c r="GE39" s="60">
        <f ca="1">AVERAGE(OFFSET($GD$3,0,0,'Données projet'!$E$17+1,1))-AVERAGE(OFFSET($H$3,0,0,'Données projet'!$E$17+1,1))</f>
        <v>542.90832990875208</v>
      </c>
      <c r="GF39" s="60">
        <f t="shared" si="50"/>
        <v>304.94365539329362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9.4399999999999977</v>
      </c>
      <c r="N40" s="14">
        <f>IF('Données projet'!$A$36&gt;35,N39+M40-V39,IF(A40&lt;'Données projet'!$A$36,$K$205^A40,IF(A40='Données projet'!$A$36,'Données projet'!$B$36,N39+M40-V39)))</f>
        <v>191.28</v>
      </c>
      <c r="O40" s="14">
        <f>N40*VLOOKUP('Données projet'!$B$9,Paramètres!$A$1:$I$89,3,0)*VLOOKUP('Données projet'!$B$9,Paramètres!$A$1:$I$89,5,0)</f>
        <v>152.18236800000003</v>
      </c>
      <c r="P40" s="14">
        <f t="shared" si="33"/>
        <v>39.074118885510551</v>
      </c>
      <c r="Q40" s="22">
        <f t="shared" si="53"/>
        <v>333.10504799226425</v>
      </c>
      <c r="R40" s="60">
        <f t="shared" si="0"/>
        <v>578.46439996293532</v>
      </c>
      <c r="S40" s="60">
        <f ca="1">AVERAGE(OFFSET($R$3,0,0,'Données projet'!$E$9+1,1))-AVERAGE(OFFSET($H$3,0,0,'Données projet'!$E$9+1,1))</f>
        <v>336.25341821407534</v>
      </c>
      <c r="T40" s="60">
        <f t="shared" si="34"/>
        <v>360.3246221345039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540.97234364778126</v>
      </c>
      <c r="AN40" s="60">
        <f ca="1">AVERAGE(OFFSET($AM$3,0,0,'Données projet'!$E$10+1,1))-AVERAGE(OFFSET($H$3,0,0,'Données projet'!$E$10+1,1))</f>
        <v>516.30971934066179</v>
      </c>
      <c r="AO40" s="60">
        <f t="shared" si="36"/>
        <v>290.84286505723571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0">
        <f t="shared" si="8"/>
        <v>578.46439996293532</v>
      </c>
      <c r="BI40" s="60">
        <f ca="1">AVERAGE(OFFSET($BH$3,0,0,'Données projet'!$E$11+1,1))-AVERAGE(OFFSET($H$3,0,0,'Données projet'!$E$11+1,1))</f>
        <v>336.25341821407534</v>
      </c>
      <c r="BJ40" s="60">
        <f t="shared" si="38"/>
        <v>360.3246221345039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5.8974358974359005</v>
      </c>
      <c r="BY40" s="13">
        <f>IF('Données projet'!$A$114&gt;35,BY39+BX40-CG39,IF(A40&lt;'Données projet'!$A$114,$BV$205^A40,IF(A40='Données projet'!$A$114,'Données projet'!$B$114,BY39+BX40-CG39)))</f>
        <v>134.87179487179489</v>
      </c>
      <c r="BZ40" s="14">
        <f>BY40*VLOOKUP('Données projet'!$B$12,Paramètres!$A$1:$I$89,3,0)*VLOOKUP('Données projet'!$B$12,Paramètres!$A$1:$I$89,5,0)</f>
        <v>128.34400000000002</v>
      </c>
      <c r="CA40" s="14">
        <f t="shared" si="39"/>
        <v>33.613421309084202</v>
      </c>
      <c r="CB40" s="22">
        <f t="shared" si="10"/>
        <v>282.07584211332164</v>
      </c>
      <c r="CC40" s="60">
        <f t="shared" si="11"/>
        <v>527.43519408399277</v>
      </c>
      <c r="CD40" s="60">
        <f ca="1">AVERAGE(OFFSET($CC$3,0,0,'Données projet'!$E$12+1,1))-AVERAGE(OFFSET($H$3,0,0,'Données projet'!$E$12+1,1))</f>
        <v>398.29746143975166</v>
      </c>
      <c r="CE40" s="60">
        <f t="shared" si="40"/>
        <v>300.63705521148802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128.44416000000001</v>
      </c>
      <c r="CV40" s="14">
        <f t="shared" si="41"/>
        <v>33.636598855068925</v>
      </c>
      <c r="CW40" s="22">
        <f t="shared" si="13"/>
        <v>282.29065500591173</v>
      </c>
      <c r="CX40" s="60">
        <f t="shared" si="14"/>
        <v>527.65000697658286</v>
      </c>
      <c r="CY40" s="60">
        <f ca="1">AVERAGE(OFFSET($CX$3,0,0,'Données projet'!$E$13+1,1))-AVERAGE(OFFSET($H$3,0,0,'Données projet'!$E$13+1,1))</f>
        <v>496.33873798282525</v>
      </c>
      <c r="CZ40" s="60">
        <f t="shared" si="42"/>
        <v>280.25465074992246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187.99999999999997</v>
      </c>
      <c r="DP40" s="18">
        <f>DO40*VLOOKUP('Données projet'!$B$14,Paramètres!$A$1:$I$89,3,0)*VLOOKUP('Données projet'!$B$14,Paramètres!$A$1:$I$89,5,0)</f>
        <v>146.63999999999999</v>
      </c>
      <c r="DQ40" s="14">
        <f t="shared" si="43"/>
        <v>37.814009712703026</v>
      </c>
      <c r="DR40" s="22">
        <f t="shared" si="16"/>
        <v>321.25740024962437</v>
      </c>
      <c r="DS40" s="60">
        <f t="shared" si="17"/>
        <v>566.61675222029544</v>
      </c>
      <c r="DT40" s="60">
        <f ca="1">AVERAGE(OFFSET($DS$3,0,0,'Données projet'!$E$14+1,1))-AVERAGE(OFFSET($H$3,0,0,'Données projet'!$E$14+1,1))</f>
        <v>312.59632808777332</v>
      </c>
      <c r="DU40" s="60">
        <f t="shared" si="44"/>
        <v>302.59481222418219</v>
      </c>
      <c r="DV40" s="16">
        <f>IF(ISNA(VLOOKUP(A40,'Données projet'!$A$165:$I$185,3,0)),0,VLOOKUP(A40,'Données projet'!$A$165:$I$185,3,0))</f>
        <v>3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7.1794871794871824</v>
      </c>
      <c r="EJ40" s="13">
        <f>IF('Données projet'!$A$192&gt;35,EJ39+EI40-ER39,IF(A40&lt;'Données projet'!$A$192,$EG$205^A40,IF(A40='Données projet'!$A$192,'Données projet'!$B$192,EJ39+EI40-ER39)))</f>
        <v>169.4871794871795</v>
      </c>
      <c r="EK40" s="18">
        <f>EJ40*VLOOKUP('Données projet'!$B$15,Paramètres!$A$1:$I$89,3,0)*VLOOKUP('Données projet'!$B$15,Paramètres!$A$1:$I$89,5,0)</f>
        <v>113.69200000000001</v>
      </c>
      <c r="EL40" s="14">
        <f t="shared" si="45"/>
        <v>30.199170227619074</v>
      </c>
      <c r="EM40" s="22">
        <f t="shared" si="19"/>
        <v>250.61045481310325</v>
      </c>
      <c r="EN40" s="60">
        <f t="shared" si="20"/>
        <v>495.96980678377435</v>
      </c>
      <c r="EO40" s="60">
        <f ca="1">AVERAGE(OFFSET($EN$3,0,0,'Données projet'!$E$15+1,1))-AVERAGE(OFFSET($H$3,0,0,'Données projet'!$E$15+1,1))</f>
        <v>344.62096650402731</v>
      </c>
      <c r="EP40" s="60">
        <f t="shared" si="46"/>
        <v>277.30931495079346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9.4399999999999977</v>
      </c>
      <c r="FE40" s="13">
        <f>IF('Données projet'!$A$218&gt;35,FE39+FD40-FM39,IF(A40&lt;'Données projet'!$A$218,$FB$205^A40,IF(A40='Données projet'!$A$218,'Données projet'!$B$218,FE39+FD40-FM39)))</f>
        <v>191.28</v>
      </c>
      <c r="FF40" s="18">
        <f>FE40*VLOOKUP('Données projet'!$B$16,Paramètres!$A$1:$I$89,3,0)*VLOOKUP('Données projet'!$B$16,Paramètres!$A$1:$I$89,5,0)</f>
        <v>167.10220800000002</v>
      </c>
      <c r="FG40" s="14">
        <f t="shared" si="47"/>
        <v>42.440366591968385</v>
      </c>
      <c r="FH40" s="22">
        <f t="shared" si="22"/>
        <v>364.95331741434489</v>
      </c>
      <c r="FI40" s="60">
        <f t="shared" si="23"/>
        <v>610.31266938501597</v>
      </c>
      <c r="FJ40" s="60">
        <f ca="1">AVERAGE(OFFSET($FI$3,0,0,'Données projet'!$E$16+1,1))-AVERAGE(OFFSET($H$3,0,0,'Données projet'!$E$16+1,1))</f>
        <v>363.28611056308665</v>
      </c>
      <c r="FK40" s="60">
        <f t="shared" si="48"/>
        <v>389.43647559455974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132.80000000000001</v>
      </c>
      <c r="GA40" s="18">
        <f>FZ40*VLOOKUP('Données projet'!$B$17,Paramètres!$A$1:$I$89,3,0)*VLOOKUP('Données projet'!$B$17,Paramètres!$A$1:$I$89,5,0)</f>
        <v>142.94592</v>
      </c>
      <c r="GB40" s="14">
        <f t="shared" si="49"/>
        <v>36.971054314096854</v>
      </c>
      <c r="GC40" s="22">
        <f t="shared" si="25"/>
        <v>313.35539693038533</v>
      </c>
      <c r="GD40" s="60">
        <f t="shared" si="26"/>
        <v>558.7147489010564</v>
      </c>
      <c r="GE40" s="60">
        <f ca="1">AVERAGE(OFFSET($GD$3,0,0,'Données projet'!$E$17+1,1))-AVERAGE(OFFSET($H$3,0,0,'Données projet'!$E$17+1,1))</f>
        <v>542.90832990875208</v>
      </c>
      <c r="GF40" s="60">
        <f t="shared" si="50"/>
        <v>304.94365539329362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9.4399999999999977</v>
      </c>
      <c r="N41" s="14">
        <f>IF('Données projet'!$A$36&gt;35,N40+M41-V40,IF(A41&lt;'Données projet'!$A$36,$K$205^A41,IF(A41='Données projet'!$A$36,'Données projet'!$B$36,N40+M41-V40)))</f>
        <v>200.72</v>
      </c>
      <c r="O41" s="14">
        <f>N41*VLOOKUP('Données projet'!$B$9,Paramètres!$A$1:$I$89,3,0)*VLOOKUP('Données projet'!$B$9,Paramètres!$A$1:$I$89,5,0)</f>
        <v>159.69283200000001</v>
      </c>
      <c r="P41" s="14">
        <f t="shared" si="33"/>
        <v>40.773225060243078</v>
      </c>
      <c r="Q41" s="22">
        <f t="shared" si="53"/>
        <v>349.14504937992336</v>
      </c>
      <c r="R41" s="60">
        <f t="shared" si="0"/>
        <v>595.33664267348206</v>
      </c>
      <c r="S41" s="60">
        <f ca="1">AVERAGE(OFFSET($R$3,0,0,'Données projet'!$E$9+1,1))-AVERAGE(OFFSET($H$3,0,0,'Données projet'!$E$9+1,1))</f>
        <v>336.25341821407534</v>
      </c>
      <c r="T41" s="60">
        <f t="shared" si="34"/>
        <v>360.3246221345039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560.04099370168376</v>
      </c>
      <c r="AN41" s="60">
        <f ca="1">AVERAGE(OFFSET($AM$3,0,0,'Données projet'!$E$10+1,1))-AVERAGE(OFFSET($H$3,0,0,'Données projet'!$E$10+1,1))</f>
        <v>516.30971934066179</v>
      </c>
      <c r="AO41" s="60">
        <f t="shared" si="36"/>
        <v>290.84286505723571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0">
        <f t="shared" si="8"/>
        <v>595.33664267348206</v>
      </c>
      <c r="BI41" s="60">
        <f ca="1">AVERAGE(OFFSET($BH$3,0,0,'Données projet'!$E$11+1,1))-AVERAGE(OFFSET($H$3,0,0,'Données projet'!$E$11+1,1))</f>
        <v>336.25341821407534</v>
      </c>
      <c r="BJ41" s="60">
        <f t="shared" si="38"/>
        <v>360.3246221345039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5.8974358974359005</v>
      </c>
      <c r="BY41" s="13">
        <f>IF('Données projet'!$A$114&gt;35,BY40+BX41-CG40,IF(A41&lt;'Données projet'!$A$114,$BV$205^A41,IF(A41='Données projet'!$A$114,'Données projet'!$B$114,BY40+BX41-CG40)))</f>
        <v>140.7692307692308</v>
      </c>
      <c r="BZ41" s="14">
        <f>BY41*VLOOKUP('Données projet'!$B$12,Paramètres!$A$1:$I$89,3,0)*VLOOKUP('Données projet'!$B$12,Paramètres!$A$1:$I$89,5,0)</f>
        <v>133.95600000000002</v>
      </c>
      <c r="CA41" s="14">
        <f t="shared" si="39"/>
        <v>34.908873862106219</v>
      </c>
      <c r="CB41" s="22">
        <f t="shared" si="10"/>
        <v>294.10632197650165</v>
      </c>
      <c r="CC41" s="60">
        <f t="shared" si="11"/>
        <v>540.29791527006034</v>
      </c>
      <c r="CD41" s="60">
        <f ca="1">AVERAGE(OFFSET($CC$3,0,0,'Données projet'!$E$12+1,1))-AVERAGE(OFFSET($H$3,0,0,'Données projet'!$E$12+1,1))</f>
        <v>398.29746143975166</v>
      </c>
      <c r="CE41" s="60">
        <f t="shared" si="40"/>
        <v>300.63705521148802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136.56864000000002</v>
      </c>
      <c r="CV41" s="14">
        <f t="shared" si="41"/>
        <v>35.509797430964703</v>
      </c>
      <c r="CW41" s="22">
        <f t="shared" si="13"/>
        <v>299.70327852559689</v>
      </c>
      <c r="CX41" s="60">
        <f t="shared" si="14"/>
        <v>545.89487181915558</v>
      </c>
      <c r="CY41" s="60">
        <f ca="1">AVERAGE(OFFSET($CX$3,0,0,'Données projet'!$E$13+1,1))-AVERAGE(OFFSET($H$3,0,0,'Données projet'!$E$13+1,1))</f>
        <v>496.33873798282525</v>
      </c>
      <c r="CZ41" s="60">
        <f t="shared" si="42"/>
        <v>280.25465074992246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163.14285714285711</v>
      </c>
      <c r="DP41" s="18">
        <f>DO41*VLOOKUP('Données projet'!$B$14,Paramètres!$A$1:$I$89,3,0)*VLOOKUP('Données projet'!$B$14,Paramètres!$A$1:$I$89,5,0)</f>
        <v>127.25142857142855</v>
      </c>
      <c r="DQ41" s="14">
        <f t="shared" si="43"/>
        <v>33.360457439554281</v>
      </c>
      <c r="DR41" s="22">
        <f t="shared" si="16"/>
        <v>279.73236813579507</v>
      </c>
      <c r="DS41" s="60">
        <f t="shared" si="17"/>
        <v>525.92396142935377</v>
      </c>
      <c r="DT41" s="60">
        <f ca="1">AVERAGE(OFFSET($DS$3,0,0,'Données projet'!$E$14+1,1))-AVERAGE(OFFSET($H$3,0,0,'Données projet'!$E$14+1,1))</f>
        <v>312.59632808777332</v>
      </c>
      <c r="DU41" s="60">
        <f t="shared" si="44"/>
        <v>302.59481222418219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7.1794871794871824</v>
      </c>
      <c r="EJ41" s="13">
        <f>IF('Données projet'!$A$192&gt;35,EJ40+EI41-ER40,IF(A41&lt;'Données projet'!$A$192,$EG$205^A41,IF(A41='Données projet'!$A$192,'Données projet'!$B$192,EJ40+EI41-ER40)))</f>
        <v>176.66666666666669</v>
      </c>
      <c r="EK41" s="18">
        <f>EJ41*VLOOKUP('Données projet'!$B$15,Paramètres!$A$1:$I$89,3,0)*VLOOKUP('Données projet'!$B$15,Paramètres!$A$1:$I$89,5,0)</f>
        <v>118.50800000000001</v>
      </c>
      <c r="EL41" s="14">
        <f t="shared" si="45"/>
        <v>31.326761814194999</v>
      </c>
      <c r="EM41" s="22">
        <f t="shared" si="19"/>
        <v>260.96221015972299</v>
      </c>
      <c r="EN41" s="60">
        <f t="shared" si="20"/>
        <v>507.15380345328174</v>
      </c>
      <c r="EO41" s="60">
        <f ca="1">AVERAGE(OFFSET($EN$3,0,0,'Données projet'!$E$15+1,1))-AVERAGE(OFFSET($H$3,0,0,'Données projet'!$E$15+1,1))</f>
        <v>344.62096650402731</v>
      </c>
      <c r="EP41" s="60">
        <f t="shared" si="46"/>
        <v>277.30931495079346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9.4399999999999977</v>
      </c>
      <c r="FE41" s="13">
        <f>IF('Données projet'!$A$218&gt;35,FE40+FD41-FM40,IF(A41&lt;'Données projet'!$A$218,$FB$205^A41,IF(A41='Données projet'!$A$218,'Données projet'!$B$218,FE40+FD41-FM40)))</f>
        <v>200.72</v>
      </c>
      <c r="FF41" s="18">
        <f>FE41*VLOOKUP('Données projet'!$B$16,Paramètres!$A$1:$I$89,3,0)*VLOOKUP('Données projet'!$B$16,Paramètres!$A$1:$I$89,5,0)</f>
        <v>175.34899200000004</v>
      </c>
      <c r="FG41" s="14">
        <f t="shared" si="47"/>
        <v>44.285851301313052</v>
      </c>
      <c r="FH41" s="22">
        <f t="shared" si="22"/>
        <v>382.53068541645354</v>
      </c>
      <c r="FI41" s="60">
        <f t="shared" si="23"/>
        <v>628.72227871001223</v>
      </c>
      <c r="FJ41" s="60">
        <f ca="1">AVERAGE(OFFSET($FI$3,0,0,'Données projet'!$E$16+1,1))-AVERAGE(OFFSET($H$3,0,0,'Données projet'!$E$16+1,1))</f>
        <v>363.28611056308665</v>
      </c>
      <c r="FK41" s="60">
        <f t="shared" si="48"/>
        <v>389.43647559455974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141.20000000000002</v>
      </c>
      <c r="GA41" s="18">
        <f>FZ41*VLOOKUP('Données projet'!$B$17,Paramètres!$A$1:$I$89,3,0)*VLOOKUP('Données projet'!$B$17,Paramètres!$A$1:$I$89,5,0)</f>
        <v>151.98768000000001</v>
      </c>
      <c r="GB41" s="14">
        <f t="shared" si="49"/>
        <v>39.029946373574369</v>
      </c>
      <c r="GC41" s="22">
        <f t="shared" si="25"/>
        <v>332.68903260064207</v>
      </c>
      <c r="GD41" s="60">
        <f t="shared" si="26"/>
        <v>578.88062589420076</v>
      </c>
      <c r="GE41" s="60">
        <f ca="1">AVERAGE(OFFSET($GD$3,0,0,'Données projet'!$E$17+1,1))-AVERAGE(OFFSET($H$3,0,0,'Données projet'!$E$17+1,1))</f>
        <v>542.90832990875208</v>
      </c>
      <c r="GF41" s="60">
        <f t="shared" si="50"/>
        <v>304.94365539329362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9.4399999999999977</v>
      </c>
      <c r="N42" s="14">
        <f>IF('Données projet'!$A$36&gt;35,N41+M42-V41,IF(A42&lt;'Données projet'!$A$36,$K$205^A42,IF(A42='Données projet'!$A$36,'Données projet'!$B$36,N41+M42-V41)))</f>
        <v>210.16</v>
      </c>
      <c r="O42" s="14">
        <f>N42*VLOOKUP('Données projet'!$B$9,Paramètres!$A$1:$I$89,3,0)*VLOOKUP('Données projet'!$B$9,Paramètres!$A$1:$I$89,5,0)</f>
        <v>167.20329600000002</v>
      </c>
      <c r="P42" s="14">
        <f t="shared" si="33"/>
        <v>42.463051496825123</v>
      </c>
      <c r="Q42" s="22">
        <f t="shared" si="53"/>
        <v>365.16888855697044</v>
      </c>
      <c r="R42" s="60">
        <f t="shared" si="0"/>
        <v>612.17828564707759</v>
      </c>
      <c r="S42" s="60">
        <f ca="1">AVERAGE(OFFSET($R$3,0,0,'Données projet'!$E$9+1,1))-AVERAGE(OFFSET($H$3,0,0,'Données projet'!$E$9+1,1))</f>
        <v>336.25341821407534</v>
      </c>
      <c r="T42" s="60">
        <f t="shared" si="34"/>
        <v>360.3246221345039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579.0717181757243</v>
      </c>
      <c r="AN42" s="60">
        <f ca="1">AVERAGE(OFFSET($AM$3,0,0,'Données projet'!$E$10+1,1))-AVERAGE(OFFSET($H$3,0,0,'Données projet'!$E$10+1,1))</f>
        <v>516.30971934066179</v>
      </c>
      <c r="AO42" s="60">
        <f t="shared" si="36"/>
        <v>290.84286505723571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0">
        <f t="shared" si="8"/>
        <v>612.17828564707759</v>
      </c>
      <c r="BI42" s="60">
        <f ca="1">AVERAGE(OFFSET($BH$3,0,0,'Données projet'!$E$11+1,1))-AVERAGE(OFFSET($H$3,0,0,'Données projet'!$E$11+1,1))</f>
        <v>336.25341821407534</v>
      </c>
      <c r="BJ42" s="60">
        <f t="shared" si="38"/>
        <v>360.3246221345039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5.8974358974359005</v>
      </c>
      <c r="BY42" s="13">
        <f>IF('Données projet'!$A$114&gt;35,BY41+BX42-CG41,IF(A42&lt;'Données projet'!$A$114,$BV$205^A42,IF(A42='Données projet'!$A$114,'Données projet'!$B$114,BY41+BX42-CG41)))</f>
        <v>146.66666666666671</v>
      </c>
      <c r="BZ42" s="14">
        <f>BY42*VLOOKUP('Données projet'!$B$12,Paramètres!$A$1:$I$89,3,0)*VLOOKUP('Données projet'!$B$12,Paramètres!$A$1:$I$89,5,0)</f>
        <v>139.56800000000004</v>
      </c>
      <c r="CA42" s="14">
        <f t="shared" si="39"/>
        <v>36.198022567902328</v>
      </c>
      <c r="CB42" s="22">
        <f t="shared" si="10"/>
        <v>306.12582263909667</v>
      </c>
      <c r="CC42" s="60">
        <f t="shared" si="11"/>
        <v>553.13521972920375</v>
      </c>
      <c r="CD42" s="60">
        <f ca="1">AVERAGE(OFFSET($CC$3,0,0,'Données projet'!$E$12+1,1))-AVERAGE(OFFSET($H$3,0,0,'Données projet'!$E$12+1,1))</f>
        <v>398.29746143975166</v>
      </c>
      <c r="CE42" s="60">
        <f t="shared" si="40"/>
        <v>300.63705521148802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144.69312000000002</v>
      </c>
      <c r="CV42" s="14">
        <f t="shared" si="41"/>
        <v>37.370061524802772</v>
      </c>
      <c r="CW42" s="22">
        <f t="shared" si="13"/>
        <v>317.09337448903148</v>
      </c>
      <c r="CX42" s="60">
        <f t="shared" si="14"/>
        <v>564.10277157913856</v>
      </c>
      <c r="CY42" s="60">
        <f ca="1">AVERAGE(OFFSET($CX$3,0,0,'Données projet'!$E$13+1,1))-AVERAGE(OFFSET($H$3,0,0,'Données projet'!$E$13+1,1))</f>
        <v>496.33873798282525</v>
      </c>
      <c r="CZ42" s="60">
        <f t="shared" si="42"/>
        <v>280.25465074992246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174.28571428571425</v>
      </c>
      <c r="DP42" s="18">
        <f>DO42*VLOOKUP('Données projet'!$B$14,Paramètres!$A$1:$I$89,3,0)*VLOOKUP('Données projet'!$B$14,Paramètres!$A$1:$I$89,5,0)</f>
        <v>135.94285714285712</v>
      </c>
      <c r="DQ42" s="14">
        <f t="shared" si="43"/>
        <v>35.365986273808367</v>
      </c>
      <c r="DR42" s="22">
        <f t="shared" si="16"/>
        <v>298.36290228402572</v>
      </c>
      <c r="DS42" s="60">
        <f t="shared" si="17"/>
        <v>545.37229937413281</v>
      </c>
      <c r="DT42" s="60">
        <f ca="1">AVERAGE(OFFSET($DS$3,0,0,'Données projet'!$E$14+1,1))-AVERAGE(OFFSET($H$3,0,0,'Données projet'!$E$14+1,1))</f>
        <v>312.59632808777332</v>
      </c>
      <c r="DU42" s="60">
        <f t="shared" si="44"/>
        <v>302.59481222418219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7.1794871794871824</v>
      </c>
      <c r="EJ42" s="13">
        <f>IF('Données projet'!$A$192&gt;35,EJ41+EI42-ER41,IF(A42&lt;'Données projet'!$A$192,$EG$205^A42,IF(A42='Données projet'!$A$192,'Données projet'!$B$192,EJ41+EI42-ER41)))</f>
        <v>183.84615384615387</v>
      </c>
      <c r="EK42" s="18">
        <f>EJ42*VLOOKUP('Données projet'!$B$15,Paramètres!$A$1:$I$89,3,0)*VLOOKUP('Données projet'!$B$15,Paramètres!$A$1:$I$89,5,0)</f>
        <v>123.32400000000003</v>
      </c>
      <c r="EL42" s="14">
        <f t="shared" si="45"/>
        <v>32.449030564483728</v>
      </c>
      <c r="EM42" s="22">
        <f t="shared" si="19"/>
        <v>271.30469489980919</v>
      </c>
      <c r="EN42" s="60">
        <f t="shared" si="20"/>
        <v>518.31409198991628</v>
      </c>
      <c r="EO42" s="60">
        <f ca="1">AVERAGE(OFFSET($EN$3,0,0,'Données projet'!$E$15+1,1))-AVERAGE(OFFSET($H$3,0,0,'Données projet'!$E$15+1,1))</f>
        <v>344.62096650402731</v>
      </c>
      <c r="EP42" s="60">
        <f t="shared" si="46"/>
        <v>277.30931495079346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9.4399999999999977</v>
      </c>
      <c r="FE42" s="13">
        <f>IF('Données projet'!$A$218&gt;35,FE41+FD42-FM41,IF(A42&lt;'Données projet'!$A$218,$FB$205^A42,IF(A42='Données projet'!$A$218,'Données projet'!$B$218,FE41+FD42-FM41)))</f>
        <v>210.16</v>
      </c>
      <c r="FF42" s="18">
        <f>FE42*VLOOKUP('Données projet'!$B$16,Paramètres!$A$1:$I$89,3,0)*VLOOKUP('Données projet'!$B$16,Paramètres!$A$1:$I$89,5,0)</f>
        <v>183.59577600000003</v>
      </c>
      <c r="FG42" s="14">
        <f t="shared" si="47"/>
        <v>46.121256820129133</v>
      </c>
      <c r="FH42" s="22">
        <f t="shared" si="22"/>
        <v>400.09049882839162</v>
      </c>
      <c r="FI42" s="60">
        <f t="shared" si="23"/>
        <v>647.09989591849876</v>
      </c>
      <c r="FJ42" s="60">
        <f ca="1">AVERAGE(OFFSET($FI$3,0,0,'Données projet'!$E$16+1,1))-AVERAGE(OFFSET($H$3,0,0,'Données projet'!$E$16+1,1))</f>
        <v>363.28611056308665</v>
      </c>
      <c r="FK42" s="60">
        <f t="shared" si="48"/>
        <v>389.43647559455974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149.60000000000002</v>
      </c>
      <c r="GA42" s="18">
        <f>FZ42*VLOOKUP('Données projet'!$B$17,Paramètres!$A$1:$I$89,3,0)*VLOOKUP('Données projet'!$B$17,Paramètres!$A$1:$I$89,5,0)</f>
        <v>161.02944000000002</v>
      </c>
      <c r="GB42" s="14">
        <f t="shared" si="49"/>
        <v>41.074621732940685</v>
      </c>
      <c r="GC42" s="22">
        <f t="shared" si="25"/>
        <v>351.99790751820501</v>
      </c>
      <c r="GD42" s="60">
        <f t="shared" si="26"/>
        <v>599.0073046083121</v>
      </c>
      <c r="GE42" s="60">
        <f ca="1">AVERAGE(OFFSET($GD$3,0,0,'Données projet'!$E$17+1,1))-AVERAGE(OFFSET($H$3,0,0,'Données projet'!$E$17+1,1))</f>
        <v>542.90832990875208</v>
      </c>
      <c r="GF42" s="60">
        <f t="shared" si="50"/>
        <v>304.94365539329362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219.6</v>
      </c>
      <c r="L43" s="13">
        <f>VLOOKUP(A43,'Données projet'!$A$35:$I$55,9,0)</f>
        <v>9.4399999999999977</v>
      </c>
      <c r="M43" s="13">
        <f t="array" ref="M43">INDEX(L:L,MIN(IF(ISNUMBER(L43:L239),ROW(L43:L239),"")))</f>
        <v>9.4399999999999977</v>
      </c>
      <c r="N43" s="14">
        <f>IF('Données projet'!$A$36&gt;35,N42+M43-V42,IF(A43&lt;'Données projet'!$A$36,$K$205^A43,IF(A43='Données projet'!$A$36,'Données projet'!$B$36,N42+M43-V42)))</f>
        <v>219.6</v>
      </c>
      <c r="O43" s="14">
        <f>N43*VLOOKUP('Données projet'!$B$9,Paramètres!$A$1:$I$89,3,0)*VLOOKUP('Données projet'!$B$9,Paramètres!$A$1:$I$89,5,0)</f>
        <v>174.71376000000001</v>
      </c>
      <c r="P43" s="14">
        <f t="shared" si="33"/>
        <v>44.144062647515817</v>
      </c>
      <c r="Q43" s="22">
        <f t="shared" si="53"/>
        <v>381.17737444442338</v>
      </c>
      <c r="R43" s="60">
        <f t="shared" si="0"/>
        <v>628.99038826354422</v>
      </c>
      <c r="S43" s="60">
        <f ca="1">AVERAGE(OFFSET($R$3,0,0,'Données projet'!$E$9+1,1))-AVERAGE(OFFSET($H$3,0,0,'Données projet'!$E$9+1,1))</f>
        <v>336.25341821407534</v>
      </c>
      <c r="T43" s="60">
        <f t="shared" si="34"/>
        <v>360.3246221345039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598.0662366756726</v>
      </c>
      <c r="AN43" s="60">
        <f ca="1">AVERAGE(OFFSET($AM$3,0,0,'Données projet'!$E$10+1,1))-AVERAGE(OFFSET($H$3,0,0,'Données projet'!$E$10+1,1))</f>
        <v>516.30971934066179</v>
      </c>
      <c r="AO43" s="60">
        <f t="shared" si="36"/>
        <v>290.84286505723571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0">
        <f t="shared" si="8"/>
        <v>628.99038826354422</v>
      </c>
      <c r="BI43" s="60">
        <f ca="1">AVERAGE(OFFSET($BH$3,0,0,'Données projet'!$E$11+1,1))-AVERAGE(OFFSET($H$3,0,0,'Données projet'!$E$11+1,1))</f>
        <v>336.25341821407534</v>
      </c>
      <c r="BJ43" s="60">
        <f t="shared" si="38"/>
        <v>360.3246221345039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152.56410256410257</v>
      </c>
      <c r="BW43" s="13">
        <f>VLOOKUP(A43,'Données projet'!$A$113:$I$133,9,0)</f>
        <v>5.8974358974359005</v>
      </c>
      <c r="BX43" s="13">
        <f t="array" ref="BX43">INDEX(BW:BW,MIN(IF(ISNUMBER(BW43:BW239),ROW(BW43:BW239),"")))</f>
        <v>5.8974358974359005</v>
      </c>
      <c r="BY43" s="13">
        <f>IF('Données projet'!$A$114&gt;35,BY42+BX43-CG42,IF(A43&lt;'Données projet'!$A$114,$BV$205^A43,IF(A43='Données projet'!$A$114,'Données projet'!$B$114,BY42+BX43-CG42)))</f>
        <v>152.56410256410263</v>
      </c>
      <c r="BZ43" s="14">
        <f>BY43*VLOOKUP('Données projet'!$B$12,Paramètres!$A$1:$I$89,3,0)*VLOOKUP('Données projet'!$B$12,Paramètres!$A$1:$I$89,5,0)</f>
        <v>145.18000000000006</v>
      </c>
      <c r="CA43" s="14">
        <f t="shared" si="39"/>
        <v>37.481149901429063</v>
      </c>
      <c r="CB43" s="22">
        <f t="shared" si="10"/>
        <v>318.13483607832239</v>
      </c>
      <c r="CC43" s="60">
        <f t="shared" si="11"/>
        <v>565.94784989744323</v>
      </c>
      <c r="CD43" s="60">
        <f ca="1">AVERAGE(OFFSET($CC$3,0,0,'Données projet'!$E$12+1,1))-AVERAGE(OFFSET($H$3,0,0,'Données projet'!$E$12+1,1))</f>
        <v>398.29746143975166</v>
      </c>
      <c r="CE43" s="60">
        <f t="shared" si="40"/>
        <v>300.63705521148802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28.846153846153847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152.81760000000003</v>
      </c>
      <c r="CV43" s="14">
        <f t="shared" si="41"/>
        <v>39.218200171484227</v>
      </c>
      <c r="CW43" s="22">
        <f t="shared" si="13"/>
        <v>334.46235196533502</v>
      </c>
      <c r="CX43" s="60">
        <f t="shared" si="14"/>
        <v>582.27536578445586</v>
      </c>
      <c r="CY43" s="60">
        <f ca="1">AVERAGE(OFFSET($CX$3,0,0,'Données projet'!$E$13+1,1))-AVERAGE(OFFSET($H$3,0,0,'Données projet'!$E$13+1,1))</f>
        <v>496.33873798282525</v>
      </c>
      <c r="CZ43" s="60">
        <f t="shared" si="42"/>
        <v>280.25465074992246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185.42857142857139</v>
      </c>
      <c r="DP43" s="18">
        <f>DO43*VLOOKUP('Données projet'!$B$14,Paramètres!$A$1:$I$89,3,0)*VLOOKUP('Données projet'!$B$14,Paramètres!$A$1:$I$89,5,0)</f>
        <v>144.63428571428568</v>
      </c>
      <c r="DQ43" s="14">
        <f t="shared" si="43"/>
        <v>37.356634728420524</v>
      </c>
      <c r="DR43" s="22">
        <f t="shared" si="16"/>
        <v>316.96751977104663</v>
      </c>
      <c r="DS43" s="60">
        <f t="shared" si="17"/>
        <v>564.78053359016747</v>
      </c>
      <c r="DT43" s="60">
        <f ca="1">AVERAGE(OFFSET($DS$3,0,0,'Données projet'!$E$14+1,1))-AVERAGE(OFFSET($H$3,0,0,'Données projet'!$E$14+1,1))</f>
        <v>312.59632808777332</v>
      </c>
      <c r="DU43" s="60">
        <f t="shared" si="44"/>
        <v>302.59481222418219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191.02564102564102</v>
      </c>
      <c r="EH43" s="13">
        <f>VLOOKUP(A43,'Données projet'!$A$191:$I$211,9,0)</f>
        <v>7.1794871794871824</v>
      </c>
      <c r="EI43" s="13">
        <f t="array" ref="EI43">INDEX(EH:EH,MIN(IF(ISNUMBER(EH43:EH239),ROW(EH43:EH239),"")))</f>
        <v>7.1794871794871824</v>
      </c>
      <c r="EJ43" s="13">
        <f>IF('Données projet'!$A$192&gt;35,EJ42+EI43-ER42,IF(A43&lt;'Données projet'!$A$192,$EG$205^A43,IF(A43='Données projet'!$A$192,'Données projet'!$B$192,EJ42+EI43-ER42)))</f>
        <v>191.02564102564105</v>
      </c>
      <c r="EK43" s="18">
        <f>EJ43*VLOOKUP('Données projet'!$B$15,Paramètres!$A$1:$I$89,3,0)*VLOOKUP('Données projet'!$B$15,Paramètres!$A$1:$I$89,5,0)</f>
        <v>128.14000000000001</v>
      </c>
      <c r="EL43" s="14">
        <f t="shared" si="45"/>
        <v>33.566208132601098</v>
      </c>
      <c r="EM43" s="22">
        <f t="shared" si="19"/>
        <v>281.63831249761358</v>
      </c>
      <c r="EN43" s="60">
        <f t="shared" si="20"/>
        <v>529.45132631673437</v>
      </c>
      <c r="EO43" s="60">
        <f ca="1">AVERAGE(OFFSET($EN$3,0,0,'Données projet'!$E$15+1,1))-AVERAGE(OFFSET($H$3,0,0,'Données projet'!$E$15+1,1))</f>
        <v>344.62096650402731</v>
      </c>
      <c r="EP43" s="60">
        <f t="shared" si="46"/>
        <v>277.30931495079346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34.615384615384613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219.6</v>
      </c>
      <c r="FC43" s="13">
        <f>VLOOKUP(A43,'Données projet'!$A$217:$I$237,9,0)</f>
        <v>9.4399999999999977</v>
      </c>
      <c r="FD43" s="13">
        <f t="array" ref="FD43">INDEX(FC:FC,MIN(IF(ISNUMBER(FC43:FC239),ROW(FC43:FC239),"")))</f>
        <v>9.4399999999999977</v>
      </c>
      <c r="FE43" s="13">
        <f>IF('Données projet'!$A$218&gt;35,FE42+FD43-FM42,IF(A43&lt;'Données projet'!$A$218,$FB$205^A43,IF(A43='Données projet'!$A$218,'Données projet'!$B$218,FE42+FD43-FM42)))</f>
        <v>219.6</v>
      </c>
      <c r="FF43" s="18">
        <f>FE43*VLOOKUP('Données projet'!$B$16,Paramètres!$A$1:$I$89,3,0)*VLOOKUP('Données projet'!$B$16,Paramètres!$A$1:$I$89,5,0)</f>
        <v>191.84256000000002</v>
      </c>
      <c r="FG43" s="14">
        <f t="shared" si="47"/>
        <v>47.947087613384845</v>
      </c>
      <c r="FH43" s="22">
        <f t="shared" si="22"/>
        <v>417.63363625997863</v>
      </c>
      <c r="FI43" s="60">
        <f t="shared" si="23"/>
        <v>665.44665007909941</v>
      </c>
      <c r="FJ43" s="60">
        <f ca="1">AVERAGE(OFFSET($FI$3,0,0,'Données projet'!$E$16+1,1))-AVERAGE(OFFSET($H$3,0,0,'Données projet'!$E$16+1,1))</f>
        <v>363.28611056308665</v>
      </c>
      <c r="FK43" s="60">
        <f t="shared" si="48"/>
        <v>389.43647559455974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158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158.00000000000003</v>
      </c>
      <c r="GA43" s="18">
        <f>FZ43*VLOOKUP('Données projet'!$B$17,Paramètres!$A$1:$I$89,3,0)*VLOOKUP('Données projet'!$B$17,Paramètres!$A$1:$I$89,5,0)</f>
        <v>170.07120000000003</v>
      </c>
      <c r="GB43" s="14">
        <f t="shared" si="49"/>
        <v>43.10596962815594</v>
      </c>
      <c r="GC43" s="22">
        <f t="shared" si="25"/>
        <v>371.28357043570503</v>
      </c>
      <c r="GD43" s="60">
        <f t="shared" si="26"/>
        <v>619.09658425482587</v>
      </c>
      <c r="GE43" s="60">
        <f ca="1">AVERAGE(OFFSET($GD$3,0,0,'Données projet'!$E$17+1,1))-AVERAGE(OFFSET($H$3,0,0,'Données projet'!$E$17+1,1))</f>
        <v>542.90832990875208</v>
      </c>
      <c r="GF43" s="60">
        <f t="shared" si="50"/>
        <v>304.94365539329362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8.2000000000000064</v>
      </c>
      <c r="N44" s="14">
        <f>IF('Données projet'!$A$36&gt;35,N43+M44-V43,IF(A44&lt;'Données projet'!$A$36,$K$205^A44,IF(A44='Données projet'!$A$36,'Données projet'!$B$36,N43+M44-V43)))</f>
        <v>171.8</v>
      </c>
      <c r="O44" s="14">
        <f>N44*VLOOKUP('Données projet'!$B$9,Paramètres!$A$1:$I$89,3,0)*VLOOKUP('Données projet'!$B$9,Paramètres!$A$1:$I$89,5,0)</f>
        <v>136.68408000000002</v>
      </c>
      <c r="P44" s="14">
        <f t="shared" si="33"/>
        <v>35.536318307654433</v>
      </c>
      <c r="Q44" s="22">
        <f t="shared" si="53"/>
        <v>299.9505270524981</v>
      </c>
      <c r="R44" s="60">
        <f t="shared" si="0"/>
        <v>548.55321664700205</v>
      </c>
      <c r="S44" s="60">
        <f ca="1">AVERAGE(OFFSET($R$3,0,0,'Données projet'!$E$9+1,1))-AVERAGE(OFFSET($H$3,0,0,'Données projet'!$E$9+1,1))</f>
        <v>336.25341821407534</v>
      </c>
      <c r="T44" s="60">
        <f t="shared" si="34"/>
        <v>360.3246221345039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525.95411757395698</v>
      </c>
      <c r="AN44" s="60">
        <f ca="1">AVERAGE(OFFSET($AM$3,0,0,'Données projet'!$E$10+1,1))-AVERAGE(OFFSET($H$3,0,0,'Données projet'!$E$10+1,1))</f>
        <v>516.30971934066179</v>
      </c>
      <c r="AO44" s="60">
        <f t="shared" si="36"/>
        <v>290.84286505723571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0">
        <f t="shared" si="8"/>
        <v>548.55321664700205</v>
      </c>
      <c r="BI44" s="60">
        <f ca="1">AVERAGE(OFFSET($BH$3,0,0,'Données projet'!$E$11+1,1))-AVERAGE(OFFSET($H$3,0,0,'Données projet'!$E$11+1,1))</f>
        <v>336.25341821407534</v>
      </c>
      <c r="BJ44" s="60">
        <f t="shared" si="38"/>
        <v>360.3246221345039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5.7692307692307683</v>
      </c>
      <c r="BY44" s="13">
        <f>IF('Données projet'!$A$114&gt;35,BY43+BX44-CG43,IF(A44&lt;'Données projet'!$A$114,$BV$205^A44,IF(A44='Données projet'!$A$114,'Données projet'!$B$114,BY43+BX44-CG43)))</f>
        <v>129.48717948717956</v>
      </c>
      <c r="BZ44" s="14">
        <f>BY44*VLOOKUP('Données projet'!$B$12,Paramètres!$A$1:$I$89,3,0)*VLOOKUP('Données projet'!$B$12,Paramètres!$A$1:$I$89,5,0)</f>
        <v>123.22000000000007</v>
      </c>
      <c r="CA44" s="14">
        <f t="shared" si="39"/>
        <v>32.42485010818541</v>
      </c>
      <c r="CB44" s="22">
        <f t="shared" si="10"/>
        <v>271.08144727175642</v>
      </c>
      <c r="CC44" s="60">
        <f t="shared" si="11"/>
        <v>519.68413686626036</v>
      </c>
      <c r="CD44" s="60">
        <f ca="1">AVERAGE(OFFSET($CC$3,0,0,'Données projet'!$E$12+1,1))-AVERAGE(OFFSET($H$3,0,0,'Données projet'!$E$12+1,1))</f>
        <v>398.29746143975166</v>
      </c>
      <c r="CE44" s="60">
        <f t="shared" si="40"/>
        <v>300.63705521148802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120.31968000000002</v>
      </c>
      <c r="CV44" s="14">
        <f t="shared" si="41"/>
        <v>31.74954785566829</v>
      </c>
      <c r="CW44" s="22">
        <f t="shared" si="13"/>
        <v>264.85390518195561</v>
      </c>
      <c r="CX44" s="60">
        <f t="shared" si="14"/>
        <v>513.45659477645961</v>
      </c>
      <c r="CY44" s="60">
        <f ca="1">AVERAGE(OFFSET($CX$3,0,0,'Données projet'!$E$13+1,1))-AVERAGE(OFFSET($H$3,0,0,'Données projet'!$E$13+1,1))</f>
        <v>496.33873798282525</v>
      </c>
      <c r="CZ44" s="60">
        <f t="shared" si="42"/>
        <v>280.25465074992246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196.57142857142853</v>
      </c>
      <c r="DP44" s="18">
        <f>DO44*VLOOKUP('Données projet'!$B$14,Paramètres!$A$1:$I$89,3,0)*VLOOKUP('Données projet'!$B$14,Paramètres!$A$1:$I$89,5,0)</f>
        <v>153.32571428571427</v>
      </c>
      <c r="DQ44" s="14">
        <f t="shared" si="43"/>
        <v>39.33339883761419</v>
      </c>
      <c r="DR44" s="22">
        <f t="shared" si="16"/>
        <v>335.54795535646372</v>
      </c>
      <c r="DS44" s="60">
        <f t="shared" si="17"/>
        <v>584.15064495096772</v>
      </c>
      <c r="DT44" s="60">
        <f ca="1">AVERAGE(OFFSET($DS$3,0,0,'Données projet'!$E$14+1,1))-AVERAGE(OFFSET($H$3,0,0,'Données projet'!$E$14+1,1))</f>
        <v>312.59632808777332</v>
      </c>
      <c r="DU44" s="60">
        <f t="shared" si="44"/>
        <v>302.59481222418219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6.7948717948717956</v>
      </c>
      <c r="EJ44" s="13">
        <f>IF('Données projet'!$A$192&gt;35,EJ43+EI44-ER43,IF(A44&lt;'Données projet'!$A$192,$EG$205^A44,IF(A44='Données projet'!$A$192,'Données projet'!$B$192,EJ43+EI44-ER43)))</f>
        <v>163.20512820512823</v>
      </c>
      <c r="EK44" s="18">
        <f>EJ44*VLOOKUP('Données projet'!$B$15,Paramètres!$A$1:$I$89,3,0)*VLOOKUP('Données projet'!$B$15,Paramètres!$A$1:$I$89,5,0)</f>
        <v>109.47800000000001</v>
      </c>
      <c r="EL44" s="14">
        <f t="shared" si="45"/>
        <v>29.207963273678622</v>
      </c>
      <c r="EM44" s="22">
        <f t="shared" si="19"/>
        <v>241.5447193683236</v>
      </c>
      <c r="EN44" s="60">
        <f t="shared" si="20"/>
        <v>490.14740896282757</v>
      </c>
      <c r="EO44" s="60">
        <f ca="1">AVERAGE(OFFSET($EN$3,0,0,'Données projet'!$E$15+1,1))-AVERAGE(OFFSET($H$3,0,0,'Données projet'!$E$15+1,1))</f>
        <v>344.62096650402731</v>
      </c>
      <c r="EP44" s="60">
        <f t="shared" si="46"/>
        <v>277.30931495079346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8.2000000000000064</v>
      </c>
      <c r="FE44" s="13">
        <f>IF('Données projet'!$A$218&gt;35,FE43+FD44-FM43,IF(A44&lt;'Données projet'!$A$218,$FB$205^A44,IF(A44='Données projet'!$A$218,'Données projet'!$B$218,FE43+FD44-FM43)))</f>
        <v>171.8</v>
      </c>
      <c r="FF44" s="18">
        <f>FE44*VLOOKUP('Données projet'!$B$16,Paramètres!$A$1:$I$89,3,0)*VLOOKUP('Données projet'!$B$16,Paramètres!$A$1:$I$89,5,0)</f>
        <v>150.08448000000001</v>
      </c>
      <c r="FG44" s="14">
        <f t="shared" si="47"/>
        <v>38.597783374841299</v>
      </c>
      <c r="FH44" s="22">
        <f t="shared" si="22"/>
        <v>328.62160871118198</v>
      </c>
      <c r="FI44" s="60">
        <f t="shared" si="23"/>
        <v>577.22429830568592</v>
      </c>
      <c r="FJ44" s="60">
        <f ca="1">AVERAGE(OFFSET($FI$3,0,0,'Données projet'!$E$16+1,1))-AVERAGE(OFFSET($H$3,0,0,'Données projet'!$E$16+1,1))</f>
        <v>363.28611056308665</v>
      </c>
      <c r="FK44" s="60">
        <f t="shared" si="48"/>
        <v>389.43647559455974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124.40000000000003</v>
      </c>
      <c r="GA44" s="18">
        <f>FZ44*VLOOKUP('Données projet'!$B$17,Paramètres!$A$1:$I$89,3,0)*VLOOKUP('Données projet'!$B$17,Paramètres!$A$1:$I$89,5,0)</f>
        <v>133.90416000000002</v>
      </c>
      <c r="GB44" s="14">
        <f t="shared" si="49"/>
        <v>34.896936615903982</v>
      </c>
      <c r="GC44" s="22">
        <f t="shared" si="25"/>
        <v>293.99524327269938</v>
      </c>
      <c r="GD44" s="60">
        <f t="shared" si="26"/>
        <v>542.59793286720333</v>
      </c>
      <c r="GE44" s="60">
        <f ca="1">AVERAGE(OFFSET($GD$3,0,0,'Données projet'!$E$17+1,1))-AVERAGE(OFFSET($H$3,0,0,'Données projet'!$E$17+1,1))</f>
        <v>542.90832990875208</v>
      </c>
      <c r="GF44" s="60">
        <f t="shared" si="50"/>
        <v>304.94365539329362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8.2000000000000064</v>
      </c>
      <c r="N45" s="14">
        <f>IF('Données projet'!$A$36&gt;35,N44+M45-V44,IF(A45&lt;'Données projet'!$A$36,$K$205^A45,IF(A45='Données projet'!$A$36,'Données projet'!$B$36,N44+M45-V44)))</f>
        <v>180.00000000000003</v>
      </c>
      <c r="O45" s="14">
        <f>N45*VLOOKUP('Données projet'!$B$9,Paramètres!$A$1:$I$89,3,0)*VLOOKUP('Données projet'!$B$9,Paramètres!$A$1:$I$89,5,0)</f>
        <v>143.20800000000003</v>
      </c>
      <c r="P45" s="14">
        <f t="shared" si="33"/>
        <v>37.030941422835831</v>
      </c>
      <c r="Q45" s="22">
        <f t="shared" si="53"/>
        <v>313.91615631143912</v>
      </c>
      <c r="R45" s="60">
        <f t="shared" si="0"/>
        <v>563.29482257207383</v>
      </c>
      <c r="S45" s="60">
        <f ca="1">AVERAGE(OFFSET($R$3,0,0,'Données projet'!$E$9+1,1))-AVERAGE(OFFSET($H$3,0,0,'Données projet'!$E$9+1,1))</f>
        <v>336.25341821407534</v>
      </c>
      <c r="T45" s="60">
        <f t="shared" si="34"/>
        <v>360.3246221345039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544.991657937745</v>
      </c>
      <c r="AN45" s="60">
        <f ca="1">AVERAGE(OFFSET($AM$3,0,0,'Données projet'!$E$10+1,1))-AVERAGE(OFFSET($H$3,0,0,'Données projet'!$E$10+1,1))</f>
        <v>516.30971934066179</v>
      </c>
      <c r="AO45" s="60">
        <f t="shared" si="36"/>
        <v>290.84286505723571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0">
        <f t="shared" si="8"/>
        <v>563.29482257207383</v>
      </c>
      <c r="BI45" s="60">
        <f ca="1">AVERAGE(OFFSET($BH$3,0,0,'Données projet'!$E$11+1,1))-AVERAGE(OFFSET($H$3,0,0,'Données projet'!$E$11+1,1))</f>
        <v>336.25341821407534</v>
      </c>
      <c r="BJ45" s="60">
        <f t="shared" si="38"/>
        <v>360.3246221345039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5.7692307692307683</v>
      </c>
      <c r="BY45" s="13">
        <f>IF('Données projet'!$A$114&gt;35,BY44+BX45-CG44,IF(A45&lt;'Données projet'!$A$114,$BV$205^A45,IF(A45='Données projet'!$A$114,'Données projet'!$B$114,BY44+BX45-CG44)))</f>
        <v>135.25641025641033</v>
      </c>
      <c r="BZ45" s="14">
        <f>BY45*VLOOKUP('Données projet'!$B$12,Paramètres!$A$1:$I$89,3,0)*VLOOKUP('Données projet'!$B$12,Paramètres!$A$1:$I$89,5,0)</f>
        <v>128.71000000000009</v>
      </c>
      <c r="CA45" s="14">
        <f t="shared" si="39"/>
        <v>33.698105419900322</v>
      </c>
      <c r="CB45" s="22">
        <f t="shared" si="10"/>
        <v>282.86078360632649</v>
      </c>
      <c r="CC45" s="60">
        <f t="shared" si="11"/>
        <v>532.23944986696119</v>
      </c>
      <c r="CD45" s="60">
        <f ca="1">AVERAGE(OFFSET($CC$3,0,0,'Données projet'!$E$12+1,1))-AVERAGE(OFFSET($H$3,0,0,'Données projet'!$E$12+1,1))</f>
        <v>398.29746143975166</v>
      </c>
      <c r="CE45" s="60">
        <f t="shared" si="40"/>
        <v>300.63705521148802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128.44416000000004</v>
      </c>
      <c r="CV45" s="14">
        <f t="shared" si="41"/>
        <v>33.636598855068954</v>
      </c>
      <c r="CW45" s="22">
        <f t="shared" si="13"/>
        <v>282.29065500591184</v>
      </c>
      <c r="CX45" s="60">
        <f t="shared" si="14"/>
        <v>531.6693212665466</v>
      </c>
      <c r="CY45" s="60">
        <f ca="1">AVERAGE(OFFSET($CX$3,0,0,'Données projet'!$E$13+1,1))-AVERAGE(OFFSET($H$3,0,0,'Données projet'!$E$13+1,1))</f>
        <v>496.33873798282525</v>
      </c>
      <c r="CZ45" s="60">
        <f t="shared" si="42"/>
        <v>280.25465074992246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207.71428571428567</v>
      </c>
      <c r="DP45" s="18">
        <f>DO45*VLOOKUP('Données projet'!$B$14,Paramètres!$A$1:$I$89,3,0)*VLOOKUP('Données projet'!$B$14,Paramètres!$A$1:$I$89,5,0)</f>
        <v>162.01714285714283</v>
      </c>
      <c r="DQ45" s="14">
        <f t="shared" si="43"/>
        <v>41.297155335096676</v>
      </c>
      <c r="DR45" s="22">
        <f t="shared" si="16"/>
        <v>354.10573601815048</v>
      </c>
      <c r="DS45" s="60">
        <f t="shared" si="17"/>
        <v>603.48440227878518</v>
      </c>
      <c r="DT45" s="60">
        <f ca="1">AVERAGE(OFFSET($DS$3,0,0,'Données projet'!$E$14+1,1))-AVERAGE(OFFSET($H$3,0,0,'Données projet'!$E$14+1,1))</f>
        <v>312.59632808777332</v>
      </c>
      <c r="DU45" s="60">
        <f t="shared" si="44"/>
        <v>302.59481222418219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6.7948717948717956</v>
      </c>
      <c r="EJ45" s="13">
        <f>IF('Données projet'!$A$192&gt;35,EJ44+EI45-ER44,IF(A45&lt;'Données projet'!$A$192,$EG$205^A45,IF(A45='Données projet'!$A$192,'Données projet'!$B$192,EJ44+EI45-ER44)))</f>
        <v>170.00000000000003</v>
      </c>
      <c r="EK45" s="18">
        <f>EJ45*VLOOKUP('Données projet'!$B$15,Paramètres!$A$1:$I$89,3,0)*VLOOKUP('Données projet'!$B$15,Paramètres!$A$1:$I$89,5,0)</f>
        <v>114.03600000000002</v>
      </c>
      <c r="EL45" s="14">
        <f t="shared" si="45"/>
        <v>30.279894261296121</v>
      </c>
      <c r="EM45" s="22">
        <f t="shared" si="19"/>
        <v>251.35018250509077</v>
      </c>
      <c r="EN45" s="60">
        <f t="shared" si="20"/>
        <v>500.7288487657255</v>
      </c>
      <c r="EO45" s="60">
        <f ca="1">AVERAGE(OFFSET($EN$3,0,0,'Données projet'!$E$15+1,1))-AVERAGE(OFFSET($H$3,0,0,'Données projet'!$E$15+1,1))</f>
        <v>344.62096650402731</v>
      </c>
      <c r="EP45" s="60">
        <f t="shared" si="46"/>
        <v>277.30931495079346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8.2000000000000064</v>
      </c>
      <c r="FE45" s="13">
        <f>IF('Données projet'!$A$218&gt;35,FE44+FD45-FM44,IF(A45&lt;'Données projet'!$A$218,$FB$205^A45,IF(A45='Données projet'!$A$218,'Données projet'!$B$218,FE44+FD45-FM44)))</f>
        <v>180.00000000000003</v>
      </c>
      <c r="FF45" s="18">
        <f>FE45*VLOOKUP('Données projet'!$B$16,Paramètres!$A$1:$I$89,3,0)*VLOOKUP('Données projet'!$B$16,Paramètres!$A$1:$I$89,5,0)</f>
        <v>157.24800000000005</v>
      </c>
      <c r="FG45" s="14">
        <f t="shared" si="47"/>
        <v>40.221168744348645</v>
      </c>
      <c r="FH45" s="22">
        <f t="shared" si="22"/>
        <v>343.92546889640727</v>
      </c>
      <c r="FI45" s="60">
        <f t="shared" si="23"/>
        <v>593.30413515704197</v>
      </c>
      <c r="FJ45" s="60">
        <f ca="1">AVERAGE(OFFSET($FI$3,0,0,'Données projet'!$E$16+1,1))-AVERAGE(OFFSET($H$3,0,0,'Données projet'!$E$16+1,1))</f>
        <v>363.28611056308665</v>
      </c>
      <c r="FK45" s="60">
        <f t="shared" si="48"/>
        <v>389.43647559455974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132.80000000000004</v>
      </c>
      <c r="GA45" s="18">
        <f>FZ45*VLOOKUP('Données projet'!$B$17,Paramètres!$A$1:$I$89,3,0)*VLOOKUP('Données projet'!$B$17,Paramètres!$A$1:$I$89,5,0)</f>
        <v>142.94592000000003</v>
      </c>
      <c r="GB45" s="14">
        <f t="shared" si="49"/>
        <v>36.971054314096854</v>
      </c>
      <c r="GC45" s="22">
        <f t="shared" si="25"/>
        <v>313.35539693038538</v>
      </c>
      <c r="GD45" s="60">
        <f t="shared" si="26"/>
        <v>562.73406319102014</v>
      </c>
      <c r="GE45" s="60">
        <f ca="1">AVERAGE(OFFSET($GD$3,0,0,'Données projet'!$E$17+1,1))-AVERAGE(OFFSET($H$3,0,0,'Données projet'!$E$17+1,1))</f>
        <v>542.90832990875208</v>
      </c>
      <c r="GF45" s="60">
        <f t="shared" si="50"/>
        <v>304.94365539329362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8.2000000000000064</v>
      </c>
      <c r="N46" s="14">
        <f>IF('Données projet'!$A$36&gt;35,N45+M46-V45,IF(A46&lt;'Données projet'!$A$36,$K$205^A46,IF(A46='Données projet'!$A$36,'Données projet'!$B$36,N45+M46-V45)))</f>
        <v>188.20000000000005</v>
      </c>
      <c r="O46" s="14">
        <f>N46*VLOOKUP('Données projet'!$B$9,Paramètres!$A$1:$I$89,3,0)*VLOOKUP('Données projet'!$B$9,Paramètres!$A$1:$I$89,5,0)</f>
        <v>149.73192000000006</v>
      </c>
      <c r="P46" s="14">
        <f t="shared" si="33"/>
        <v>38.517657137847586</v>
      </c>
      <c r="Q46" s="22">
        <f t="shared" si="53"/>
        <v>327.86801351508461</v>
      </c>
      <c r="R46" s="60">
        <f t="shared" si="0"/>
        <v>578.00919498151666</v>
      </c>
      <c r="S46" s="60">
        <f ca="1">AVERAGE(OFFSET($R$3,0,0,'Données projet'!$E$9+1,1))-AVERAGE(OFFSET($H$3,0,0,'Données projet'!$E$9+1,1))</f>
        <v>336.25341821407534</v>
      </c>
      <c r="T46" s="60">
        <f t="shared" si="34"/>
        <v>360.3246221345039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563.99058187455717</v>
      </c>
      <c r="AN46" s="60">
        <f ca="1">AVERAGE(OFFSET($AM$3,0,0,'Données projet'!$E$10+1,1))-AVERAGE(OFFSET($H$3,0,0,'Données projet'!$E$10+1,1))</f>
        <v>516.30971934066179</v>
      </c>
      <c r="AO46" s="60">
        <f t="shared" si="36"/>
        <v>290.84286505723571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0">
        <f t="shared" si="8"/>
        <v>578.00919498151666</v>
      </c>
      <c r="BI46" s="60">
        <f ca="1">AVERAGE(OFFSET($BH$3,0,0,'Données projet'!$E$11+1,1))-AVERAGE(OFFSET($H$3,0,0,'Données projet'!$E$11+1,1))</f>
        <v>336.25341821407534</v>
      </c>
      <c r="BJ46" s="60">
        <f t="shared" si="38"/>
        <v>360.3246221345039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5.7692307692307683</v>
      </c>
      <c r="BY46" s="13">
        <f>IF('Données projet'!$A$114&gt;35,BY45+BX46-CG45,IF(A46&lt;'Données projet'!$A$114,$BV$205^A46,IF(A46='Données projet'!$A$114,'Données projet'!$B$114,BY45+BX46-CG45)))</f>
        <v>141.02564102564111</v>
      </c>
      <c r="BZ46" s="14">
        <f>BY46*VLOOKUP('Données projet'!$B$12,Paramètres!$A$1:$I$89,3,0)*VLOOKUP('Données projet'!$B$12,Paramètres!$A$1:$I$89,5,0)</f>
        <v>134.20000000000007</v>
      </c>
      <c r="CA46" s="14">
        <f t="shared" si="39"/>
        <v>34.965052756825415</v>
      </c>
      <c r="CB46" s="22">
        <f t="shared" si="10"/>
        <v>294.62913355147111</v>
      </c>
      <c r="CC46" s="60">
        <f t="shared" si="11"/>
        <v>544.77031501790316</v>
      </c>
      <c r="CD46" s="60">
        <f ca="1">AVERAGE(OFFSET($CC$3,0,0,'Données projet'!$E$12+1,1))-AVERAGE(OFFSET($H$3,0,0,'Données projet'!$E$12+1,1))</f>
        <v>398.29746143975166</v>
      </c>
      <c r="CE46" s="60">
        <f t="shared" si="40"/>
        <v>300.63705521148802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136.56864000000004</v>
      </c>
      <c r="CV46" s="14">
        <f t="shared" si="41"/>
        <v>35.509797430964703</v>
      </c>
      <c r="CW46" s="22">
        <f t="shared" si="13"/>
        <v>299.70327852559694</v>
      </c>
      <c r="CX46" s="60">
        <f t="shared" si="14"/>
        <v>549.84445999202899</v>
      </c>
      <c r="CY46" s="60">
        <f ca="1">AVERAGE(OFFSET($CX$3,0,0,'Données projet'!$E$13+1,1))-AVERAGE(OFFSET($H$3,0,0,'Données projet'!$E$13+1,1))</f>
        <v>496.33873798282525</v>
      </c>
      <c r="CZ46" s="60">
        <f t="shared" si="42"/>
        <v>280.25465074992246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218.8571428571428</v>
      </c>
      <c r="DP46" s="18">
        <f>DO46*VLOOKUP('Données projet'!$B$14,Paramètres!$A$1:$I$89,3,0)*VLOOKUP('Données projet'!$B$14,Paramètres!$A$1:$I$89,5,0)</f>
        <v>170.70857142857139</v>
      </c>
      <c r="DQ46" s="14">
        <f t="shared" si="43"/>
        <v>43.248681576985412</v>
      </c>
      <c r="DR46" s="22">
        <f t="shared" si="16"/>
        <v>372.64221565134471</v>
      </c>
      <c r="DS46" s="60">
        <f t="shared" si="17"/>
        <v>622.78339711777676</v>
      </c>
      <c r="DT46" s="60">
        <f ca="1">AVERAGE(OFFSET($DS$3,0,0,'Données projet'!$E$14+1,1))-AVERAGE(OFFSET($H$3,0,0,'Données projet'!$E$14+1,1))</f>
        <v>312.59632808777332</v>
      </c>
      <c r="DU46" s="60">
        <f t="shared" si="44"/>
        <v>302.59481222418219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6.7948717948717956</v>
      </c>
      <c r="EJ46" s="13">
        <f>IF('Données projet'!$A$192&gt;35,EJ45+EI46-ER45,IF(A46&lt;'Données projet'!$A$192,$EG$205^A46,IF(A46='Données projet'!$A$192,'Données projet'!$B$192,EJ45+EI46-ER45)))</f>
        <v>176.79487179487182</v>
      </c>
      <c r="EK46" s="18">
        <f>EJ46*VLOOKUP('Données projet'!$B$15,Paramètres!$A$1:$I$89,3,0)*VLOOKUP('Données projet'!$B$15,Paramètres!$A$1:$I$89,5,0)</f>
        <v>118.59400000000002</v>
      </c>
      <c r="EL46" s="14">
        <f t="shared" si="45"/>
        <v>31.346848285873225</v>
      </c>
      <c r="EM46" s="22">
        <f t="shared" si="19"/>
        <v>261.14697743122923</v>
      </c>
      <c r="EN46" s="60">
        <f t="shared" si="20"/>
        <v>511.28815889766128</v>
      </c>
      <c r="EO46" s="60">
        <f ca="1">AVERAGE(OFFSET($EN$3,0,0,'Données projet'!$E$15+1,1))-AVERAGE(OFFSET($H$3,0,0,'Données projet'!$E$15+1,1))</f>
        <v>344.62096650402731</v>
      </c>
      <c r="EP46" s="60">
        <f t="shared" si="46"/>
        <v>277.30931495079346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8.2000000000000064</v>
      </c>
      <c r="FE46" s="13">
        <f>IF('Données projet'!$A$218&gt;35,FE45+FD46-FM45,IF(A46&lt;'Données projet'!$A$218,$FB$205^A46,IF(A46='Données projet'!$A$218,'Données projet'!$B$218,FE45+FD46-FM45)))</f>
        <v>188.20000000000005</v>
      </c>
      <c r="FF46" s="18">
        <f>FE46*VLOOKUP('Données projet'!$B$16,Paramètres!$A$1:$I$89,3,0)*VLOOKUP('Données projet'!$B$16,Paramètres!$A$1:$I$89,5,0)</f>
        <v>164.41152000000005</v>
      </c>
      <c r="FG46" s="14">
        <f t="shared" si="47"/>
        <v>41.835965488659532</v>
      </c>
      <c r="FH46" s="22">
        <f t="shared" si="22"/>
        <v>359.21437055941539</v>
      </c>
      <c r="FI46" s="60">
        <f t="shared" si="23"/>
        <v>609.35555202584737</v>
      </c>
      <c r="FJ46" s="60">
        <f ca="1">AVERAGE(OFFSET($FI$3,0,0,'Données projet'!$E$16+1,1))-AVERAGE(OFFSET($H$3,0,0,'Données projet'!$E$16+1,1))</f>
        <v>363.28611056308665</v>
      </c>
      <c r="FK46" s="60">
        <f t="shared" si="48"/>
        <v>389.43647559455974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141.20000000000005</v>
      </c>
      <c r="GA46" s="18">
        <f>FZ46*VLOOKUP('Données projet'!$B$17,Paramètres!$A$1:$I$89,3,0)*VLOOKUP('Données projet'!$B$17,Paramètres!$A$1:$I$89,5,0)</f>
        <v>151.98768000000004</v>
      </c>
      <c r="GB46" s="14">
        <f t="shared" si="49"/>
        <v>39.029946373574369</v>
      </c>
      <c r="GC46" s="22">
        <f t="shared" si="25"/>
        <v>332.68903260064207</v>
      </c>
      <c r="GD46" s="60">
        <f t="shared" si="26"/>
        <v>582.83021406707417</v>
      </c>
      <c r="GE46" s="60">
        <f ca="1">AVERAGE(OFFSET($GD$3,0,0,'Données projet'!$E$17+1,1))-AVERAGE(OFFSET($H$3,0,0,'Données projet'!$E$17+1,1))</f>
        <v>542.90832990875208</v>
      </c>
      <c r="GF46" s="60">
        <f t="shared" si="50"/>
        <v>304.94365539329362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8.2000000000000064</v>
      </c>
      <c r="N47" s="14">
        <f>IF('Données projet'!$A$36&gt;35,N46+M47-V46,IF(A47&lt;'Données projet'!$A$36,$K$205^A47,IF(A47='Données projet'!$A$36,'Données projet'!$B$36,N46+M47-V46)))</f>
        <v>196.40000000000006</v>
      </c>
      <c r="O47" s="14">
        <f>N47*VLOOKUP('Données projet'!$B$9,Paramètres!$A$1:$I$89,3,0)*VLOOKUP('Données projet'!$B$9,Paramètres!$A$1:$I$89,5,0)</f>
        <v>156.25584000000006</v>
      </c>
      <c r="P47" s="14">
        <f t="shared" si="33"/>
        <v>39.996849361050039</v>
      </c>
      <c r="Q47" s="22">
        <f t="shared" si="53"/>
        <v>341.80676730382885</v>
      </c>
      <c r="R47" s="60">
        <f t="shared" si="0"/>
        <v>592.69723604196633</v>
      </c>
      <c r="S47" s="60">
        <f ca="1">AVERAGE(OFFSET($R$3,0,0,'Données projet'!$E$9+1,1))-AVERAGE(OFFSET($H$3,0,0,'Données projet'!$E$9+1,1))</f>
        <v>336.25341821407534</v>
      </c>
      <c r="T47" s="60">
        <f t="shared" si="34"/>
        <v>360.3246221345039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582.95278982375464</v>
      </c>
      <c r="AN47" s="60">
        <f ca="1">AVERAGE(OFFSET($AM$3,0,0,'Données projet'!$E$10+1,1))-AVERAGE(OFFSET($H$3,0,0,'Données projet'!$E$10+1,1))</f>
        <v>516.30971934066179</v>
      </c>
      <c r="AO47" s="60">
        <f t="shared" si="36"/>
        <v>290.84286505723571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0">
        <f t="shared" si="8"/>
        <v>592.69723604196633</v>
      </c>
      <c r="BI47" s="60">
        <f ca="1">AVERAGE(OFFSET($BH$3,0,0,'Données projet'!$E$11+1,1))-AVERAGE(OFFSET($H$3,0,0,'Données projet'!$E$11+1,1))</f>
        <v>336.25341821407534</v>
      </c>
      <c r="BJ47" s="60">
        <f t="shared" si="38"/>
        <v>360.3246221345039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5.7692307692307683</v>
      </c>
      <c r="BY47" s="13">
        <f>IF('Données projet'!$A$114&gt;35,BY46+BX47-CG46,IF(A47&lt;'Données projet'!$A$114,$BV$205^A47,IF(A47='Données projet'!$A$114,'Données projet'!$B$114,BY46+BX47-CG46)))</f>
        <v>146.79487179487188</v>
      </c>
      <c r="BZ47" s="14">
        <f>BY47*VLOOKUP('Données projet'!$B$12,Paramètres!$A$1:$I$89,3,0)*VLOOKUP('Données projet'!$B$12,Paramètres!$A$1:$I$89,5,0)</f>
        <v>139.69000000000008</v>
      </c>
      <c r="CA47" s="14">
        <f t="shared" si="39"/>
        <v>36.225979688604163</v>
      </c>
      <c r="CB47" s="22">
        <f t="shared" si="10"/>
        <v>306.3869979576524</v>
      </c>
      <c r="CC47" s="60">
        <f t="shared" si="11"/>
        <v>557.27746669578983</v>
      </c>
      <c r="CD47" s="60">
        <f ca="1">AVERAGE(OFFSET($CC$3,0,0,'Données projet'!$E$12+1,1))-AVERAGE(OFFSET($H$3,0,0,'Données projet'!$E$12+1,1))</f>
        <v>398.29746143975166</v>
      </c>
      <c r="CE47" s="60">
        <f t="shared" si="40"/>
        <v>300.63705521148802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144.69312000000005</v>
      </c>
      <c r="CV47" s="14">
        <f t="shared" si="41"/>
        <v>37.370061524802772</v>
      </c>
      <c r="CW47" s="22">
        <f t="shared" si="13"/>
        <v>317.09337448903153</v>
      </c>
      <c r="CX47" s="60">
        <f t="shared" si="14"/>
        <v>567.98384322716902</v>
      </c>
      <c r="CY47" s="60">
        <f ca="1">AVERAGE(OFFSET($CX$3,0,0,'Données projet'!$E$13+1,1))-AVERAGE(OFFSET($H$3,0,0,'Données projet'!$E$13+1,1))</f>
        <v>496.33873798282525</v>
      </c>
      <c r="CZ47" s="60">
        <f t="shared" si="42"/>
        <v>280.25465074992246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229.99999999999994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0">
        <f t="shared" si="17"/>
        <v>642.04907123814814</v>
      </c>
      <c r="DT47" s="60">
        <f ca="1">AVERAGE(OFFSET($DS$3,0,0,'Données projet'!$E$14+1,1))-AVERAGE(OFFSET($H$3,0,0,'Données projet'!$E$14+1,1))</f>
        <v>312.59632808777332</v>
      </c>
      <c r="DU47" s="60">
        <f t="shared" si="44"/>
        <v>302.59481222418219</v>
      </c>
      <c r="DV47" s="16">
        <f>IF(ISNA(VLOOKUP(A47,'Données projet'!$A$165:$I$185,3,0)),0,VLOOKUP(A47,'Données projet'!$A$165:$I$185,3,0))</f>
        <v>4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6.7948717948717956</v>
      </c>
      <c r="EJ47" s="13">
        <f>IF('Données projet'!$A$192&gt;35,EJ46+EI47-ER46,IF(A47&lt;'Données projet'!$A$192,$EG$205^A47,IF(A47='Données projet'!$A$192,'Données projet'!$B$192,EJ46+EI47-ER46)))</f>
        <v>183.58974358974362</v>
      </c>
      <c r="EK47" s="18">
        <f>EJ47*VLOOKUP('Données projet'!$B$15,Paramètres!$A$1:$I$89,3,0)*VLOOKUP('Données projet'!$B$15,Paramètres!$A$1:$I$89,5,0)</f>
        <v>123.15200000000002</v>
      </c>
      <c r="EL47" s="14">
        <f t="shared" si="45"/>
        <v>32.409038525483382</v>
      </c>
      <c r="EM47" s="22">
        <f t="shared" si="19"/>
        <v>270.93547543188362</v>
      </c>
      <c r="EN47" s="60">
        <f t="shared" si="20"/>
        <v>521.8259441700211</v>
      </c>
      <c r="EO47" s="60">
        <f ca="1">AVERAGE(OFFSET($EN$3,0,0,'Données projet'!$E$15+1,1))-AVERAGE(OFFSET($H$3,0,0,'Données projet'!$E$15+1,1))</f>
        <v>344.62096650402731</v>
      </c>
      <c r="EP47" s="60">
        <f t="shared" si="46"/>
        <v>277.30931495079346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8.2000000000000064</v>
      </c>
      <c r="FE47" s="13">
        <f>IF('Données projet'!$A$218&gt;35,FE46+FD47-FM46,IF(A47&lt;'Données projet'!$A$218,$FB$205^A47,IF(A47='Données projet'!$A$218,'Données projet'!$B$218,FE46+FD47-FM46)))</f>
        <v>196.40000000000006</v>
      </c>
      <c r="FF47" s="18">
        <f>FE47*VLOOKUP('Données projet'!$B$16,Paramètres!$A$1:$I$89,3,0)*VLOOKUP('Données projet'!$B$16,Paramètres!$A$1:$I$89,5,0)</f>
        <v>171.57504000000009</v>
      </c>
      <c r="FG47" s="14">
        <f t="shared" si="47"/>
        <v>43.44259058996105</v>
      </c>
      <c r="FH47" s="22">
        <f t="shared" si="22"/>
        <v>374.48903994418225</v>
      </c>
      <c r="FI47" s="60">
        <f t="shared" si="23"/>
        <v>625.37950868231974</v>
      </c>
      <c r="FJ47" s="60">
        <f ca="1">AVERAGE(OFFSET($FI$3,0,0,'Données projet'!$E$16+1,1))-AVERAGE(OFFSET($H$3,0,0,'Données projet'!$E$16+1,1))</f>
        <v>363.28611056308665</v>
      </c>
      <c r="FK47" s="60">
        <f t="shared" si="48"/>
        <v>389.43647559455974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149.60000000000005</v>
      </c>
      <c r="GA47" s="18">
        <f>FZ47*VLOOKUP('Données projet'!$B$17,Paramètres!$A$1:$I$89,3,0)*VLOOKUP('Données projet'!$B$17,Paramètres!$A$1:$I$89,5,0)</f>
        <v>161.02944000000005</v>
      </c>
      <c r="GB47" s="14">
        <f t="shared" si="49"/>
        <v>41.074621732940727</v>
      </c>
      <c r="GC47" s="22">
        <f t="shared" si="25"/>
        <v>351.99790751820518</v>
      </c>
      <c r="GD47" s="60">
        <f t="shared" si="26"/>
        <v>602.88837625634255</v>
      </c>
      <c r="GE47" s="60">
        <f ca="1">AVERAGE(OFFSET($GD$3,0,0,'Données projet'!$E$17+1,1))-AVERAGE(OFFSET($H$3,0,0,'Données projet'!$E$17+1,1))</f>
        <v>542.90832990875208</v>
      </c>
      <c r="GF47" s="60">
        <f t="shared" si="50"/>
        <v>304.94365539329362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204.60000000000002</v>
      </c>
      <c r="L48" s="13">
        <f>VLOOKUP(A48,'Données projet'!$A$35:$I$55,9,0)</f>
        <v>8.2000000000000064</v>
      </c>
      <c r="M48" s="13">
        <f t="array" ref="M48">INDEX(L:L,MIN(IF(ISNUMBER(L48:L244),ROW(L48:L244),"")))</f>
        <v>8.2000000000000064</v>
      </c>
      <c r="N48" s="14">
        <f>IF('Données projet'!$A$36&gt;35,N47+M48-V47,IF(A48&lt;'Données projet'!$A$36,$K$205^A48,IF(A48='Données projet'!$A$36,'Données projet'!$B$36,N47+M48-V47)))</f>
        <v>204.60000000000008</v>
      </c>
      <c r="O48" s="14">
        <f>N48*VLOOKUP('Données projet'!$B$9,Paramètres!$A$1:$I$89,3,0)*VLOOKUP('Données projet'!$B$9,Paramètres!$A$1:$I$89,5,0)</f>
        <v>162.77976000000007</v>
      </c>
      <c r="P48" s="14">
        <f t="shared" si="33"/>
        <v>41.468868129640093</v>
      </c>
      <c r="Q48" s="22">
        <f t="shared" si="53"/>
        <v>355.73302732578992</v>
      </c>
      <c r="R48" s="60">
        <f t="shared" si="0"/>
        <v>607.35978487662408</v>
      </c>
      <c r="S48" s="60">
        <f ca="1">AVERAGE(OFFSET($R$3,0,0,'Données projet'!$E$9+1,1))-AVERAGE(OFFSET($H$3,0,0,'Données projet'!$E$9+1,1))</f>
        <v>336.25341821407534</v>
      </c>
      <c r="T48" s="60">
        <f t="shared" si="34"/>
        <v>360.3246221345039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601.87998040738603</v>
      </c>
      <c r="AN48" s="60">
        <f ca="1">AVERAGE(OFFSET($AM$3,0,0,'Données projet'!$E$10+1,1))-AVERAGE(OFFSET($H$3,0,0,'Données projet'!$E$10+1,1))</f>
        <v>516.30971934066179</v>
      </c>
      <c r="AO48" s="60">
        <f t="shared" si="36"/>
        <v>290.84286505723571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0">
        <f t="shared" si="8"/>
        <v>607.35978487662408</v>
      </c>
      <c r="BI48" s="60">
        <f ca="1">AVERAGE(OFFSET($BH$3,0,0,'Données projet'!$E$11+1,1))-AVERAGE(OFFSET($H$3,0,0,'Données projet'!$E$11+1,1))</f>
        <v>336.25341821407534</v>
      </c>
      <c r="BJ48" s="60">
        <f t="shared" si="38"/>
        <v>360.3246221345039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152.56410256410257</v>
      </c>
      <c r="BW48" s="13">
        <f>VLOOKUP(A48,'Données projet'!$A$113:$I$133,9,0)</f>
        <v>5.7692307692307683</v>
      </c>
      <c r="BX48" s="13">
        <f t="array" ref="BX48">INDEX(BW:BW,MIN(IF(ISNUMBER(BW48:BW244),ROW(BW48:BW244),"")))</f>
        <v>5.7692307692307683</v>
      </c>
      <c r="BY48" s="13">
        <f>IF('Données projet'!$A$114&gt;35,BY47+BX48-CG47,IF(A48&lt;'Données projet'!$A$114,$BV$205^A48,IF(A48='Données projet'!$A$114,'Données projet'!$B$114,BY47+BX48-CG47)))</f>
        <v>152.56410256410265</v>
      </c>
      <c r="BZ48" s="14">
        <f>BY48*VLOOKUP('Données projet'!$B$12,Paramètres!$A$1:$I$89,3,0)*VLOOKUP('Données projet'!$B$12,Paramètres!$A$1:$I$89,5,0)</f>
        <v>145.18000000000009</v>
      </c>
      <c r="CA48" s="14">
        <f t="shared" si="39"/>
        <v>37.481149901429063</v>
      </c>
      <c r="CB48" s="22">
        <f t="shared" si="10"/>
        <v>318.13483607832245</v>
      </c>
      <c r="CC48" s="60">
        <f t="shared" si="11"/>
        <v>569.76159362915655</v>
      </c>
      <c r="CD48" s="60">
        <f ca="1">AVERAGE(OFFSET($CC$3,0,0,'Données projet'!$E$12+1,1))-AVERAGE(OFFSET($H$3,0,0,'Données projet'!$E$12+1,1))</f>
        <v>398.29746143975166</v>
      </c>
      <c r="CE48" s="60">
        <f t="shared" si="40"/>
        <v>300.63705521148802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152.81760000000006</v>
      </c>
      <c r="CV48" s="14">
        <f t="shared" si="41"/>
        <v>39.218200171484227</v>
      </c>
      <c r="CW48" s="22">
        <f t="shared" si="13"/>
        <v>334.46235196533513</v>
      </c>
      <c r="CX48" s="60">
        <f t="shared" si="14"/>
        <v>586.08910951616929</v>
      </c>
      <c r="CY48" s="60">
        <f ca="1">AVERAGE(OFFSET($CX$3,0,0,'Données projet'!$E$13+1,1))-AVERAGE(OFFSET($H$3,0,0,'Données projet'!$E$13+1,1))</f>
        <v>496.33873798282525</v>
      </c>
      <c r="CZ48" s="60">
        <f t="shared" si="42"/>
        <v>280.25465074992246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197.37499999999994</v>
      </c>
      <c r="DP48" s="18">
        <f>DO48*VLOOKUP('Données projet'!$B$14,Paramètres!$A$1:$I$89,3,0)*VLOOKUP('Données projet'!$B$14,Paramètres!$A$1:$I$89,5,0)</f>
        <v>153.95249999999996</v>
      </c>
      <c r="DQ48" s="14">
        <f t="shared" si="43"/>
        <v>39.475441267837397</v>
      </c>
      <c r="DR48" s="22">
        <f t="shared" si="16"/>
        <v>336.88699770815003</v>
      </c>
      <c r="DS48" s="60">
        <f t="shared" si="17"/>
        <v>588.51375525898413</v>
      </c>
      <c r="DT48" s="60">
        <f ca="1">AVERAGE(OFFSET($DS$3,0,0,'Données projet'!$E$14+1,1))-AVERAGE(OFFSET($H$3,0,0,'Données projet'!$E$14+1,1))</f>
        <v>312.59632808777332</v>
      </c>
      <c r="DU48" s="60">
        <f t="shared" si="44"/>
        <v>302.59481222418219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190.38461538461539</v>
      </c>
      <c r="EH48" s="13">
        <f>VLOOKUP(A48,'Données projet'!$A$191:$I$211,9,0)</f>
        <v>6.7948717948717956</v>
      </c>
      <c r="EI48" s="13">
        <f t="array" ref="EI48">INDEX(EH:EH,MIN(IF(ISNUMBER(EH48:EH244),ROW(EH48:EH244),"")))</f>
        <v>6.7948717948717956</v>
      </c>
      <c r="EJ48" s="13">
        <f>IF('Données projet'!$A$192&gt;35,EJ47+EI48-ER47,IF(A48&lt;'Données projet'!$A$192,$EG$205^A48,IF(A48='Données projet'!$A$192,'Données projet'!$B$192,EJ47+EI48-ER47)))</f>
        <v>190.38461538461542</v>
      </c>
      <c r="EK48" s="18">
        <f>EJ48*VLOOKUP('Données projet'!$B$15,Paramètres!$A$1:$I$89,3,0)*VLOOKUP('Données projet'!$B$15,Paramètres!$A$1:$I$89,5,0)</f>
        <v>127.71000000000002</v>
      </c>
      <c r="EL48" s="14">
        <f t="shared" si="45"/>
        <v>33.466661484162984</v>
      </c>
      <c r="EM48" s="22">
        <f t="shared" si="19"/>
        <v>280.71601875158382</v>
      </c>
      <c r="EN48" s="60">
        <f t="shared" si="20"/>
        <v>532.34277630241797</v>
      </c>
      <c r="EO48" s="60">
        <f ca="1">AVERAGE(OFFSET($EN$3,0,0,'Données projet'!$E$15+1,1))-AVERAGE(OFFSET($H$3,0,0,'Données projet'!$E$15+1,1))</f>
        <v>344.62096650402731</v>
      </c>
      <c r="EP48" s="60">
        <f t="shared" si="46"/>
        <v>277.30931495079346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204.60000000000002</v>
      </c>
      <c r="FC48" s="13">
        <f>VLOOKUP(A48,'Données projet'!$A$217:$I$237,9,0)</f>
        <v>8.2000000000000064</v>
      </c>
      <c r="FD48" s="13">
        <f t="array" ref="FD48">INDEX(FC:FC,MIN(IF(ISNUMBER(FC48:FC244),ROW(FC48:FC244),"")))</f>
        <v>8.2000000000000064</v>
      </c>
      <c r="FE48" s="13">
        <f>IF('Données projet'!$A$218&gt;35,FE47+FD48-FM47,IF(A48&lt;'Données projet'!$A$218,$FB$205^A48,IF(A48='Données projet'!$A$218,'Données projet'!$B$218,FE47+FD48-FM47)))</f>
        <v>204.60000000000008</v>
      </c>
      <c r="FF48" s="18">
        <f>FE48*VLOOKUP('Données projet'!$B$16,Paramètres!$A$1:$I$89,3,0)*VLOOKUP('Données projet'!$B$16,Paramètres!$A$1:$I$89,5,0)</f>
        <v>178.73856000000009</v>
      </c>
      <c r="FG48" s="14">
        <f t="shared" si="47"/>
        <v>45.041424241265368</v>
      </c>
      <c r="FH48" s="22">
        <f t="shared" si="22"/>
        <v>389.75013922020395</v>
      </c>
      <c r="FI48" s="60">
        <f t="shared" si="23"/>
        <v>641.3768967710381</v>
      </c>
      <c r="FJ48" s="60">
        <f ca="1">AVERAGE(OFFSET($FI$3,0,0,'Données projet'!$E$16+1,1))-AVERAGE(OFFSET($H$3,0,0,'Données projet'!$E$16+1,1))</f>
        <v>363.28611056308665</v>
      </c>
      <c r="FK48" s="60">
        <f t="shared" si="48"/>
        <v>389.43647559455974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158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158.00000000000006</v>
      </c>
      <c r="GA48" s="18">
        <f>FZ48*VLOOKUP('Données projet'!$B$17,Paramètres!$A$1:$I$89,3,0)*VLOOKUP('Données projet'!$B$17,Paramètres!$A$1:$I$89,5,0)</f>
        <v>170.07120000000003</v>
      </c>
      <c r="GB48" s="14">
        <f t="shared" si="49"/>
        <v>43.10596962815594</v>
      </c>
      <c r="GC48" s="22">
        <f t="shared" si="25"/>
        <v>371.28357043570503</v>
      </c>
      <c r="GD48" s="60">
        <f t="shared" si="26"/>
        <v>622.91032798653919</v>
      </c>
      <c r="GE48" s="60">
        <f ca="1">AVERAGE(OFFSET($GD$3,0,0,'Données projet'!$E$17+1,1))-AVERAGE(OFFSET($H$3,0,0,'Données projet'!$E$17+1,1))</f>
        <v>542.90832990875208</v>
      </c>
      <c r="GF48" s="60">
        <f t="shared" si="50"/>
        <v>304.94365539329362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7.1199999999999992</v>
      </c>
      <c r="N49" s="14">
        <f>IF('Données projet'!$A$36&gt;35,N48+M49-V48,IF(A49&lt;'Données projet'!$A$36,$K$205^A49,IF(A49='Données projet'!$A$36,'Données projet'!$B$36,N48+M49-V48)))</f>
        <v>211.72000000000008</v>
      </c>
      <c r="O49" s="14">
        <f>N49*VLOOKUP('Données projet'!$B$9,Paramètres!$A$1:$I$89,3,0)*VLOOKUP('Données projet'!$B$9,Paramètres!$A$1:$I$89,5,0)</f>
        <v>168.44443200000006</v>
      </c>
      <c r="P49" s="14">
        <f t="shared" si="33"/>
        <v>42.741441926261587</v>
      </c>
      <c r="Q49" s="22">
        <f t="shared" si="53"/>
        <v>367.81539708823902</v>
      </c>
      <c r="R49" s="60">
        <f t="shared" si="0"/>
        <v>620.1656704869647</v>
      </c>
      <c r="S49" s="60">
        <f ca="1">AVERAGE(OFFSET($R$3,0,0,'Données projet'!$E$9+1,1))-AVERAGE(OFFSET($H$3,0,0,'Données projet'!$E$9+1,1))</f>
        <v>336.25341821407534</v>
      </c>
      <c r="T49" s="60">
        <f t="shared" si="34"/>
        <v>360.3246221345039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620.34129129946962</v>
      </c>
      <c r="AN49" s="60">
        <f ca="1">AVERAGE(OFFSET($AM$3,0,0,'Données projet'!$E$10+1,1))-AVERAGE(OFFSET($H$3,0,0,'Données projet'!$E$10+1,1))</f>
        <v>516.30971934066179</v>
      </c>
      <c r="AO49" s="60">
        <f t="shared" si="36"/>
        <v>290.84286505723571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0">
        <f t="shared" si="8"/>
        <v>620.1656704869647</v>
      </c>
      <c r="BI49" s="60">
        <f ca="1">AVERAGE(OFFSET($BH$3,0,0,'Données projet'!$E$11+1,1))-AVERAGE(OFFSET($H$3,0,0,'Données projet'!$E$11+1,1))</f>
        <v>336.25341821407534</v>
      </c>
      <c r="BJ49" s="60">
        <f t="shared" si="38"/>
        <v>360.3246221345039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5.5128205128205083</v>
      </c>
      <c r="BY49" s="13">
        <f>IF('Données projet'!$A$114&gt;35,BY48+BX49-CG48,IF(A49&lt;'Données projet'!$A$114,$BV$205^A49,IF(A49='Données projet'!$A$114,'Données projet'!$B$114,BY48+BX49-CG48)))</f>
        <v>158.07692307692315</v>
      </c>
      <c r="BZ49" s="14">
        <f>BY49*VLOOKUP('Données projet'!$B$12,Paramètres!$A$1:$I$89,3,0)*VLOOKUP('Données projet'!$B$12,Paramètres!$A$1:$I$89,5,0)</f>
        <v>150.42600000000007</v>
      </c>
      <c r="CA49" s="14">
        <f t="shared" si="39"/>
        <v>38.67537966484668</v>
      </c>
      <c r="CB49" s="22">
        <f t="shared" si="10"/>
        <v>329.35156958294141</v>
      </c>
      <c r="CC49" s="60">
        <f t="shared" si="11"/>
        <v>581.70184298166703</v>
      </c>
      <c r="CD49" s="60">
        <f ca="1">AVERAGE(OFFSET($CC$3,0,0,'Données projet'!$E$12+1,1))-AVERAGE(OFFSET($H$3,0,0,'Données projet'!$E$12+1,1))</f>
        <v>398.29746143975166</v>
      </c>
      <c r="CE49" s="60">
        <f t="shared" si="40"/>
        <v>300.63705521148802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160.74864000000005</v>
      </c>
      <c r="CV49" s="14">
        <f t="shared" si="41"/>
        <v>41.011327345272264</v>
      </c>
      <c r="CW49" s="22">
        <f t="shared" si="13"/>
        <v>351.39860979301596</v>
      </c>
      <c r="CX49" s="60">
        <f t="shared" si="14"/>
        <v>603.74888319174158</v>
      </c>
      <c r="CY49" s="60">
        <f ca="1">AVERAGE(OFFSET($CX$3,0,0,'Données projet'!$E$13+1,1))-AVERAGE(OFFSET($H$3,0,0,'Données projet'!$E$13+1,1))</f>
        <v>496.33873798282525</v>
      </c>
      <c r="CZ49" s="60">
        <f t="shared" si="42"/>
        <v>280.25465074992246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207.74999999999994</v>
      </c>
      <c r="DP49" s="18">
        <f>DO49*VLOOKUP('Données projet'!$B$14,Paramètres!$A$1:$I$89,3,0)*VLOOKUP('Données projet'!$B$14,Paramètres!$A$1:$I$89,5,0)</f>
        <v>162.04499999999996</v>
      </c>
      <c r="DQ49" s="14">
        <f t="shared" si="43"/>
        <v>41.303429372463391</v>
      </c>
      <c r="DR49" s="22">
        <f t="shared" si="16"/>
        <v>354.16518115704031</v>
      </c>
      <c r="DS49" s="60">
        <f t="shared" si="17"/>
        <v>606.51545455576593</v>
      </c>
      <c r="DT49" s="60">
        <f ca="1">AVERAGE(OFFSET($DS$3,0,0,'Données projet'!$E$14+1,1))-AVERAGE(OFFSET($H$3,0,0,'Données projet'!$E$14+1,1))</f>
        <v>312.59632808777332</v>
      </c>
      <c r="DU49" s="60">
        <f t="shared" si="44"/>
        <v>302.59481222418219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6.2820512820512819</v>
      </c>
      <c r="EJ49" s="13">
        <f>IF('Données projet'!$A$192&gt;35,EJ48+EI49-ER48,IF(A49&lt;'Données projet'!$A$192,$EG$205^A49,IF(A49='Données projet'!$A$192,'Données projet'!$B$192,EJ48+EI49-ER48)))</f>
        <v>196.66666666666669</v>
      </c>
      <c r="EK49" s="18">
        <f>EJ49*VLOOKUP('Données projet'!$B$15,Paramètres!$A$1:$I$89,3,0)*VLOOKUP('Données projet'!$B$15,Paramètres!$A$1:$I$89,5,0)</f>
        <v>131.92400000000001</v>
      </c>
      <c r="EL49" s="14">
        <f t="shared" si="45"/>
        <v>34.440558391692079</v>
      </c>
      <c r="EM49" s="22">
        <f t="shared" si="19"/>
        <v>289.75160586553034</v>
      </c>
      <c r="EN49" s="60">
        <f t="shared" si="20"/>
        <v>542.10187926425601</v>
      </c>
      <c r="EO49" s="60">
        <f ca="1">AVERAGE(OFFSET($EN$3,0,0,'Données projet'!$E$15+1,1))-AVERAGE(OFFSET($H$3,0,0,'Données projet'!$E$15+1,1))</f>
        <v>344.62096650402731</v>
      </c>
      <c r="EP49" s="60">
        <f t="shared" si="46"/>
        <v>277.30931495079346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7.1199999999999992</v>
      </c>
      <c r="FE49" s="13">
        <f>IF('Données projet'!$A$218&gt;35,FE48+FD49-FM48,IF(A49&lt;'Données projet'!$A$218,$FB$205^A49,IF(A49='Données projet'!$A$218,'Données projet'!$B$218,FE48+FD49-FM48)))</f>
        <v>211.72000000000008</v>
      </c>
      <c r="FF49" s="18">
        <f>FE49*VLOOKUP('Données projet'!$B$16,Paramètres!$A$1:$I$89,3,0)*VLOOKUP('Données projet'!$B$16,Paramètres!$A$1:$I$89,5,0)</f>
        <v>184.9585920000001</v>
      </c>
      <c r="FG49" s="14">
        <f t="shared" si="47"/>
        <v>46.423630673154392</v>
      </c>
      <c r="FH49" s="22">
        <f t="shared" si="22"/>
        <v>402.99070448907742</v>
      </c>
      <c r="FI49" s="60">
        <f t="shared" si="23"/>
        <v>655.34097788780309</v>
      </c>
      <c r="FJ49" s="60">
        <f ca="1">AVERAGE(OFFSET($FI$3,0,0,'Données projet'!$E$16+1,1))-AVERAGE(OFFSET($H$3,0,0,'Données projet'!$E$16+1,1))</f>
        <v>363.28611056308665</v>
      </c>
      <c r="FK49" s="60">
        <f t="shared" si="48"/>
        <v>389.43647559455974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166.20000000000005</v>
      </c>
      <c r="GA49" s="18">
        <f>FZ49*VLOOKUP('Données projet'!$B$17,Paramètres!$A$1:$I$89,3,0)*VLOOKUP('Données projet'!$B$17,Paramètres!$A$1:$I$89,5,0)</f>
        <v>178.89768000000004</v>
      </c>
      <c r="GB49" s="14">
        <f t="shared" si="49"/>
        <v>45.076852665999411</v>
      </c>
      <c r="GC49" s="22">
        <f t="shared" si="25"/>
        <v>390.08897772661572</v>
      </c>
      <c r="GD49" s="60">
        <f t="shared" si="26"/>
        <v>642.43925112534134</v>
      </c>
      <c r="GE49" s="60">
        <f ca="1">AVERAGE(OFFSET($GD$3,0,0,'Données projet'!$E$17+1,1))-AVERAGE(OFFSET($H$3,0,0,'Données projet'!$E$17+1,1))</f>
        <v>542.90832990875208</v>
      </c>
      <c r="GF49" s="60">
        <f t="shared" si="50"/>
        <v>304.94365539329362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7.1199999999999992</v>
      </c>
      <c r="N50" s="14">
        <f>IF('Données projet'!$A$36&gt;35,N49+M50-V49,IF(A50&lt;'Données projet'!$A$36,$K$205^A50,IF(A50='Données projet'!$A$36,'Données projet'!$B$36,N49+M50-V49)))</f>
        <v>218.84000000000009</v>
      </c>
      <c r="O50" s="14">
        <f>N50*VLOOKUP('Données projet'!$B$9,Paramètres!$A$1:$I$89,3,0)*VLOOKUP('Données projet'!$B$9,Paramètres!$A$1:$I$89,5,0)</f>
        <v>174.10910400000009</v>
      </c>
      <c r="P50" s="14">
        <f t="shared" si="33"/>
        <v>44.009043039404553</v>
      </c>
      <c r="Q50" s="22">
        <f t="shared" si="53"/>
        <v>379.88910609362978</v>
      </c>
      <c r="R50" s="60">
        <f t="shared" si="0"/>
        <v>632.95034395782523</v>
      </c>
      <c r="S50" s="60">
        <f ca="1">AVERAGE(OFFSET($R$3,0,0,'Données projet'!$E$9+1,1))-AVERAGE(OFFSET($H$3,0,0,'Données projet'!$E$9+1,1))</f>
        <v>336.25341821407534</v>
      </c>
      <c r="T50" s="60">
        <f t="shared" si="34"/>
        <v>360.3246221345039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638.7713962716407</v>
      </c>
      <c r="AN50" s="60">
        <f ca="1">AVERAGE(OFFSET($AM$3,0,0,'Données projet'!$E$10+1,1))-AVERAGE(OFFSET($H$3,0,0,'Données projet'!$E$10+1,1))</f>
        <v>516.30971934066179</v>
      </c>
      <c r="AO50" s="60">
        <f t="shared" si="36"/>
        <v>290.84286505723571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0">
        <f t="shared" si="8"/>
        <v>632.95034395782523</v>
      </c>
      <c r="BI50" s="60">
        <f ca="1">AVERAGE(OFFSET($BH$3,0,0,'Données projet'!$E$11+1,1))-AVERAGE(OFFSET($H$3,0,0,'Données projet'!$E$11+1,1))</f>
        <v>336.25341821407534</v>
      </c>
      <c r="BJ50" s="60">
        <f t="shared" si="38"/>
        <v>360.3246221345039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5.5128205128205083</v>
      </c>
      <c r="BY50" s="13">
        <f>IF('Données projet'!$A$114&gt;35,BY49+BX50-CG49,IF(A50&lt;'Données projet'!$A$114,$BV$205^A50,IF(A50='Données projet'!$A$114,'Données projet'!$B$114,BY49+BX50-CG49)))</f>
        <v>163.58974358974365</v>
      </c>
      <c r="BZ50" s="14">
        <f>BY50*VLOOKUP('Données projet'!$B$12,Paramètres!$A$1:$I$89,3,0)*VLOOKUP('Données projet'!$B$12,Paramètres!$A$1:$I$89,5,0)</f>
        <v>155.67200000000005</v>
      </c>
      <c r="CA50" s="14">
        <f t="shared" si="39"/>
        <v>39.86477040096252</v>
      </c>
      <c r="CB50" s="22">
        <f t="shared" si="10"/>
        <v>340.55987511500985</v>
      </c>
      <c r="CC50" s="60">
        <f t="shared" si="11"/>
        <v>593.62111297920524</v>
      </c>
      <c r="CD50" s="60">
        <f ca="1">AVERAGE(OFFSET($CC$3,0,0,'Données projet'!$E$12+1,1))-AVERAGE(OFFSET($H$3,0,0,'Données projet'!$E$12+1,1))</f>
        <v>398.29746143975166</v>
      </c>
      <c r="CE50" s="60">
        <f t="shared" si="40"/>
        <v>300.63705521148802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168.67968000000002</v>
      </c>
      <c r="CV50" s="14">
        <f t="shared" si="41"/>
        <v>42.794181774227013</v>
      </c>
      <c r="CW50" s="22">
        <f t="shared" si="13"/>
        <v>368.3169759234454</v>
      </c>
      <c r="CX50" s="60">
        <f t="shared" si="14"/>
        <v>621.37821378764079</v>
      </c>
      <c r="CY50" s="60">
        <f ca="1">AVERAGE(OFFSET($CX$3,0,0,'Données projet'!$E$13+1,1))-AVERAGE(OFFSET($H$3,0,0,'Données projet'!$E$13+1,1))</f>
        <v>496.33873798282525</v>
      </c>
      <c r="CZ50" s="60">
        <f t="shared" si="42"/>
        <v>280.25465074992246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218.12499999999994</v>
      </c>
      <c r="DP50" s="18">
        <f>DO50*VLOOKUP('Données projet'!$B$14,Paramètres!$A$1:$I$89,3,0)*VLOOKUP('Données projet'!$B$14,Paramètres!$A$1:$I$89,5,0)</f>
        <v>170.13749999999996</v>
      </c>
      <c r="DQ50" s="14">
        <f t="shared" si="43"/>
        <v>43.120817562072411</v>
      </c>
      <c r="DR50" s="22">
        <f t="shared" si="16"/>
        <v>371.42490308727605</v>
      </c>
      <c r="DS50" s="60">
        <f t="shared" si="17"/>
        <v>624.4861409514715</v>
      </c>
      <c r="DT50" s="60">
        <f ca="1">AVERAGE(OFFSET($DS$3,0,0,'Données projet'!$E$14+1,1))-AVERAGE(OFFSET($H$3,0,0,'Données projet'!$E$14+1,1))</f>
        <v>312.59632808777332</v>
      </c>
      <c r="DU50" s="60">
        <f t="shared" si="44"/>
        <v>302.59481222418219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6.2820512820512819</v>
      </c>
      <c r="EJ50" s="13">
        <f>IF('Données projet'!$A$192&gt;35,EJ49+EI50-ER49,IF(A50&lt;'Données projet'!$A$192,$EG$205^A50,IF(A50='Données projet'!$A$192,'Données projet'!$B$192,EJ49+EI50-ER49)))</f>
        <v>202.94871794871796</v>
      </c>
      <c r="EK50" s="18">
        <f>EJ50*VLOOKUP('Données projet'!$B$15,Paramètres!$A$1:$I$89,3,0)*VLOOKUP('Données projet'!$B$15,Paramètres!$A$1:$I$89,5,0)</f>
        <v>136.13800000000001</v>
      </c>
      <c r="EL50" s="14">
        <f t="shared" si="45"/>
        <v>35.410840305135217</v>
      </c>
      <c r="EM50" s="22">
        <f t="shared" si="19"/>
        <v>298.78089686477716</v>
      </c>
      <c r="EN50" s="60">
        <f t="shared" si="20"/>
        <v>551.8421347289725</v>
      </c>
      <c r="EO50" s="60">
        <f ca="1">AVERAGE(OFFSET($EN$3,0,0,'Données projet'!$E$15+1,1))-AVERAGE(OFFSET($H$3,0,0,'Données projet'!$E$15+1,1))</f>
        <v>344.62096650402731</v>
      </c>
      <c r="EP50" s="60">
        <f t="shared" si="46"/>
        <v>277.30931495079346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7.1199999999999992</v>
      </c>
      <c r="FE50" s="13">
        <f>IF('Données projet'!$A$218&gt;35,FE49+FD50-FM49,IF(A50&lt;'Données projet'!$A$218,$FB$205^A50,IF(A50='Données projet'!$A$218,'Données projet'!$B$218,FE49+FD50-FM49)))</f>
        <v>218.84000000000009</v>
      </c>
      <c r="FF50" s="18">
        <f>FE50*VLOOKUP('Données projet'!$B$16,Paramètres!$A$1:$I$89,3,0)*VLOOKUP('Données projet'!$B$16,Paramètres!$A$1:$I$89,5,0)</f>
        <v>191.1786240000001</v>
      </c>
      <c r="FG50" s="14">
        <f t="shared" si="47"/>
        <v>47.800436023309679</v>
      </c>
      <c r="FH50" s="22">
        <f t="shared" si="22"/>
        <v>416.22186287393123</v>
      </c>
      <c r="FI50" s="60">
        <f t="shared" si="23"/>
        <v>669.28310073812668</v>
      </c>
      <c r="FJ50" s="60">
        <f ca="1">AVERAGE(OFFSET($FI$3,0,0,'Données projet'!$E$16+1,1))-AVERAGE(OFFSET($H$3,0,0,'Données projet'!$E$16+1,1))</f>
        <v>363.28611056308665</v>
      </c>
      <c r="FK50" s="60">
        <f t="shared" si="48"/>
        <v>389.43647559455974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174.40000000000003</v>
      </c>
      <c r="GA50" s="18">
        <f>FZ50*VLOOKUP('Données projet'!$B$17,Paramètres!$A$1:$I$89,3,0)*VLOOKUP('Données projet'!$B$17,Paramètres!$A$1:$I$89,5,0)</f>
        <v>187.72416000000004</v>
      </c>
      <c r="GB50" s="14">
        <f t="shared" si="49"/>
        <v>47.036444603668812</v>
      </c>
      <c r="GC50" s="22">
        <f t="shared" si="25"/>
        <v>408.87471968472323</v>
      </c>
      <c r="GD50" s="60">
        <f t="shared" si="26"/>
        <v>661.93595754891862</v>
      </c>
      <c r="GE50" s="60">
        <f ca="1">AVERAGE(OFFSET($GD$3,0,0,'Données projet'!$E$17+1,1))-AVERAGE(OFFSET($H$3,0,0,'Données projet'!$E$17+1,1))</f>
        <v>542.90832990875208</v>
      </c>
      <c r="GF50" s="60">
        <f t="shared" si="50"/>
        <v>304.94365539329362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7.1199999999999992</v>
      </c>
      <c r="N51" s="14">
        <f>IF('Données projet'!$A$36&gt;35,N50+M51-V50,IF(A51&lt;'Données projet'!$A$36,$K$205^A51,IF(A51='Données projet'!$A$36,'Données projet'!$B$36,N50+M51-V50)))</f>
        <v>225.96000000000009</v>
      </c>
      <c r="O51" s="14">
        <f>N51*VLOOKUP('Données projet'!$B$9,Paramètres!$A$1:$I$89,3,0)*VLOOKUP('Données projet'!$B$9,Paramètres!$A$1:$I$89,5,0)</f>
        <v>179.77377600000008</v>
      </c>
      <c r="P51" s="14">
        <f t="shared" si="33"/>
        <v>45.271851811295718</v>
      </c>
      <c r="Q51" s="22">
        <f t="shared" si="53"/>
        <v>391.95446843800681</v>
      </c>
      <c r="R51" s="60">
        <f t="shared" si="0"/>
        <v>645.71433712367457</v>
      </c>
      <c r="S51" s="60">
        <f ca="1">AVERAGE(OFFSET($R$3,0,0,'Données projet'!$E$9+1,1))-AVERAGE(OFFSET($H$3,0,0,'Données projet'!$E$9+1,1))</f>
        <v>336.25341821407534</v>
      </c>
      <c r="T51" s="60">
        <f t="shared" si="34"/>
        <v>360.3246221345039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657.17149032466796</v>
      </c>
      <c r="AN51" s="60">
        <f ca="1">AVERAGE(OFFSET($AM$3,0,0,'Données projet'!$E$10+1,1))-AVERAGE(OFFSET($H$3,0,0,'Données projet'!$E$10+1,1))</f>
        <v>516.30971934066179</v>
      </c>
      <c r="AO51" s="60">
        <f t="shared" si="36"/>
        <v>290.84286505723571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0">
        <f t="shared" si="8"/>
        <v>645.71433712367457</v>
      </c>
      <c r="BI51" s="60">
        <f ca="1">AVERAGE(OFFSET($BH$3,0,0,'Données projet'!$E$11+1,1))-AVERAGE(OFFSET($H$3,0,0,'Données projet'!$E$11+1,1))</f>
        <v>336.25341821407534</v>
      </c>
      <c r="BJ51" s="60">
        <f t="shared" si="38"/>
        <v>360.3246221345039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5.5128205128205083</v>
      </c>
      <c r="BY51" s="13">
        <f>IF('Données projet'!$A$114&gt;35,BY50+BX51-CG50,IF(A51&lt;'Données projet'!$A$114,$BV$205^A51,IF(A51='Données projet'!$A$114,'Données projet'!$B$114,BY50+BX51-CG50)))</f>
        <v>169.10256410256414</v>
      </c>
      <c r="BZ51" s="14">
        <f>BY51*VLOOKUP('Données projet'!$B$12,Paramètres!$A$1:$I$89,3,0)*VLOOKUP('Données projet'!$B$12,Paramètres!$A$1:$I$89,5,0)</f>
        <v>160.91800000000003</v>
      </c>
      <c r="CA51" s="14">
        <f t="shared" si="39"/>
        <v>41.049503875172206</v>
      </c>
      <c r="CB51" s="22">
        <f t="shared" si="10"/>
        <v>351.76006924925832</v>
      </c>
      <c r="CC51" s="60">
        <f t="shared" si="11"/>
        <v>605.51993793492602</v>
      </c>
      <c r="CD51" s="60">
        <f ca="1">AVERAGE(OFFSET($CC$3,0,0,'Données projet'!$E$12+1,1))-AVERAGE(OFFSET($H$3,0,0,'Données projet'!$E$12+1,1))</f>
        <v>398.29746143975166</v>
      </c>
      <c r="CE51" s="60">
        <f t="shared" si="40"/>
        <v>300.63705521148802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176.61072000000004</v>
      </c>
      <c r="CV51" s="14">
        <f t="shared" si="41"/>
        <v>44.56730162053563</v>
      </c>
      <c r="CW51" s="22">
        <f t="shared" si="13"/>
        <v>385.21838765576626</v>
      </c>
      <c r="CX51" s="60">
        <f t="shared" si="14"/>
        <v>638.97825634143396</v>
      </c>
      <c r="CY51" s="60">
        <f ca="1">AVERAGE(OFFSET($CX$3,0,0,'Données projet'!$E$13+1,1))-AVERAGE(OFFSET($H$3,0,0,'Données projet'!$E$13+1,1))</f>
        <v>496.33873798282525</v>
      </c>
      <c r="CZ51" s="60">
        <f t="shared" si="42"/>
        <v>280.25465074992246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228.49999999999994</v>
      </c>
      <c r="DP51" s="18">
        <f>DO51*VLOOKUP('Données projet'!$B$14,Paramètres!$A$1:$I$89,3,0)*VLOOKUP('Données projet'!$B$14,Paramètres!$A$1:$I$89,5,0)</f>
        <v>178.22999999999996</v>
      </c>
      <c r="DQ51" s="14">
        <f t="shared" si="43"/>
        <v>44.928167580487852</v>
      </c>
      <c r="DR51" s="22">
        <f t="shared" si="16"/>
        <v>388.66714186934956</v>
      </c>
      <c r="DS51" s="60">
        <f t="shared" si="17"/>
        <v>642.4270105550172</v>
      </c>
      <c r="DT51" s="60">
        <f ca="1">AVERAGE(OFFSET($DS$3,0,0,'Données projet'!$E$14+1,1))-AVERAGE(OFFSET($H$3,0,0,'Données projet'!$E$14+1,1))</f>
        <v>312.59632808777332</v>
      </c>
      <c r="DU51" s="60">
        <f t="shared" si="44"/>
        <v>302.59481222418219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6.2820512820512819</v>
      </c>
      <c r="EJ51" s="13">
        <f>IF('Données projet'!$A$192&gt;35,EJ50+EI51-ER50,IF(A51&lt;'Données projet'!$A$192,$EG$205^A51,IF(A51='Données projet'!$A$192,'Données projet'!$B$192,EJ50+EI51-ER50)))</f>
        <v>209.23076923076923</v>
      </c>
      <c r="EK51" s="18">
        <f>EJ51*VLOOKUP('Données projet'!$B$15,Paramètres!$A$1:$I$89,3,0)*VLOOKUP('Données projet'!$B$15,Paramètres!$A$1:$I$89,5,0)</f>
        <v>140.352</v>
      </c>
      <c r="EL51" s="14">
        <f t="shared" si="45"/>
        <v>36.377631963176114</v>
      </c>
      <c r="EM51" s="22">
        <f t="shared" si="19"/>
        <v>307.80410900253173</v>
      </c>
      <c r="EN51" s="60">
        <f t="shared" si="20"/>
        <v>561.56397768819943</v>
      </c>
      <c r="EO51" s="60">
        <f ca="1">AVERAGE(OFFSET($EN$3,0,0,'Données projet'!$E$15+1,1))-AVERAGE(OFFSET($H$3,0,0,'Données projet'!$E$15+1,1))</f>
        <v>344.62096650402731</v>
      </c>
      <c r="EP51" s="60">
        <f t="shared" si="46"/>
        <v>277.30931495079346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7.1199999999999992</v>
      </c>
      <c r="FE51" s="13">
        <f>IF('Données projet'!$A$218&gt;35,FE50+FD51-FM50,IF(A51&lt;'Données projet'!$A$218,$FB$205^A51,IF(A51='Données projet'!$A$218,'Données projet'!$B$218,FE50+FD51-FM50)))</f>
        <v>225.96000000000009</v>
      </c>
      <c r="FF51" s="18">
        <f>FE51*VLOOKUP('Données projet'!$B$16,Paramètres!$A$1:$I$89,3,0)*VLOOKUP('Données projet'!$B$16,Paramètres!$A$1:$I$89,5,0)</f>
        <v>197.3986560000001</v>
      </c>
      <c r="FG51" s="14">
        <f t="shared" si="47"/>
        <v>49.172036170497854</v>
      </c>
      <c r="FH51" s="22">
        <f t="shared" si="22"/>
        <v>429.44395553028397</v>
      </c>
      <c r="FI51" s="60">
        <f t="shared" si="23"/>
        <v>683.20382421595173</v>
      </c>
      <c r="FJ51" s="60">
        <f ca="1">AVERAGE(OFFSET($FI$3,0,0,'Données projet'!$E$16+1,1))-AVERAGE(OFFSET($H$3,0,0,'Données projet'!$E$16+1,1))</f>
        <v>363.28611056308665</v>
      </c>
      <c r="FK51" s="60">
        <f t="shared" si="48"/>
        <v>389.43647559455974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182.60000000000002</v>
      </c>
      <c r="GA51" s="18">
        <f>FZ51*VLOOKUP('Données projet'!$B$17,Paramètres!$A$1:$I$89,3,0)*VLOOKUP('Données projet'!$B$17,Paramètres!$A$1:$I$89,5,0)</f>
        <v>196.55064000000002</v>
      </c>
      <c r="GB51" s="14">
        <f t="shared" si="49"/>
        <v>48.985336952319578</v>
      </c>
      <c r="GC51" s="22">
        <f t="shared" si="25"/>
        <v>427.6418265252899</v>
      </c>
      <c r="GD51" s="60">
        <f t="shared" si="26"/>
        <v>681.40169521095754</v>
      </c>
      <c r="GE51" s="60">
        <f ca="1">AVERAGE(OFFSET($GD$3,0,0,'Données projet'!$E$17+1,1))-AVERAGE(OFFSET($H$3,0,0,'Données projet'!$E$17+1,1))</f>
        <v>542.90832990875208</v>
      </c>
      <c r="GF51" s="60">
        <f t="shared" si="50"/>
        <v>304.94365539329362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7.1199999999999992</v>
      </c>
      <c r="N52" s="14">
        <f>IF('Données projet'!$A$36&gt;35,N51+M52-V51,IF(A52&lt;'Données projet'!$A$36,$K$205^A52,IF(A52='Données projet'!$A$36,'Données projet'!$B$36,N51+M52-V51)))</f>
        <v>233.0800000000001</v>
      </c>
      <c r="O52" s="14">
        <f>N52*VLOOKUP('Données projet'!$B$9,Paramètres!$A$1:$I$89,3,0)*VLOOKUP('Données projet'!$B$9,Paramètres!$A$1:$I$89,5,0)</f>
        <v>185.43844800000008</v>
      </c>
      <c r="P52" s="14">
        <f t="shared" si="33"/>
        <v>46.530036573537593</v>
      </c>
      <c r="Q52" s="22">
        <f t="shared" si="53"/>
        <v>404.01177729891145</v>
      </c>
      <c r="R52" s="60">
        <f t="shared" si="0"/>
        <v>658.45815712320336</v>
      </c>
      <c r="S52" s="60">
        <f ca="1">AVERAGE(OFFSET($R$3,0,0,'Données projet'!$E$9+1,1))-AVERAGE(OFFSET($H$3,0,0,'Données projet'!$E$9+1,1))</f>
        <v>336.25341821407534</v>
      </c>
      <c r="T52" s="60">
        <f t="shared" si="34"/>
        <v>360.3246221345039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675.54267194845841</v>
      </c>
      <c r="AN52" s="60">
        <f ca="1">AVERAGE(OFFSET($AM$3,0,0,'Données projet'!$E$10+1,1))-AVERAGE(OFFSET($H$3,0,0,'Données projet'!$E$10+1,1))</f>
        <v>516.30971934066179</v>
      </c>
      <c r="AO52" s="60">
        <f t="shared" si="36"/>
        <v>290.84286505723571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0">
        <f t="shared" si="8"/>
        <v>658.45815712320336</v>
      </c>
      <c r="BI52" s="60">
        <f ca="1">AVERAGE(OFFSET($BH$3,0,0,'Données projet'!$E$11+1,1))-AVERAGE(OFFSET($H$3,0,0,'Données projet'!$E$11+1,1))</f>
        <v>336.25341821407534</v>
      </c>
      <c r="BJ52" s="60">
        <f t="shared" si="38"/>
        <v>360.3246221345039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5.5128205128205083</v>
      </c>
      <c r="BY52" s="13">
        <f>IF('Données projet'!$A$114&gt;35,BY51+BX52-CG51,IF(A52&lt;'Données projet'!$A$114,$BV$205^A52,IF(A52='Données projet'!$A$114,'Données projet'!$B$114,BY51+BX52-CG51)))</f>
        <v>174.61538461538464</v>
      </c>
      <c r="BZ52" s="14">
        <f>BY52*VLOOKUP('Données projet'!$B$12,Paramètres!$A$1:$I$89,3,0)*VLOOKUP('Données projet'!$B$12,Paramètres!$A$1:$I$89,5,0)</f>
        <v>166.16400000000004</v>
      </c>
      <c r="CA52" s="14">
        <f t="shared" si="39"/>
        <v>42.229749328882683</v>
      </c>
      <c r="CB52" s="22">
        <f t="shared" si="10"/>
        <v>362.95244674780406</v>
      </c>
      <c r="CC52" s="60">
        <f t="shared" si="11"/>
        <v>617.39882657209603</v>
      </c>
      <c r="CD52" s="60">
        <f ca="1">AVERAGE(OFFSET($CC$3,0,0,'Données projet'!$E$12+1,1))-AVERAGE(OFFSET($H$3,0,0,'Données projet'!$E$12+1,1))</f>
        <v>398.29746143975166</v>
      </c>
      <c r="CE52" s="60">
        <f t="shared" si="40"/>
        <v>300.63705521148802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184.54176000000001</v>
      </c>
      <c r="CV52" s="14">
        <f t="shared" si="41"/>
        <v>46.33117397953523</v>
      </c>
      <c r="CW52" s="22">
        <f t="shared" si="13"/>
        <v>402.10369334769052</v>
      </c>
      <c r="CX52" s="60">
        <f t="shared" si="14"/>
        <v>656.55007317198249</v>
      </c>
      <c r="CY52" s="60">
        <f ca="1">AVERAGE(OFFSET($CX$3,0,0,'Données projet'!$E$13+1,1))-AVERAGE(OFFSET($H$3,0,0,'Données projet'!$E$13+1,1))</f>
        <v>496.33873798282525</v>
      </c>
      <c r="CZ52" s="60">
        <f t="shared" si="42"/>
        <v>280.25465074992246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238.87499999999994</v>
      </c>
      <c r="DP52" s="18">
        <f>DO52*VLOOKUP('Données projet'!$B$14,Paramètres!$A$1:$I$89,3,0)*VLOOKUP('Données projet'!$B$14,Paramètres!$A$1:$I$89,5,0)</f>
        <v>186.32249999999996</v>
      </c>
      <c r="DQ52" s="14">
        <f t="shared" si="43"/>
        <v>46.725987276254116</v>
      </c>
      <c r="DR52" s="22">
        <f t="shared" si="16"/>
        <v>405.89278200614257</v>
      </c>
      <c r="DS52" s="60">
        <f t="shared" si="17"/>
        <v>660.33916183043448</v>
      </c>
      <c r="DT52" s="60">
        <f ca="1">AVERAGE(OFFSET($DS$3,0,0,'Données projet'!$E$14+1,1))-AVERAGE(OFFSET($H$3,0,0,'Données projet'!$E$14+1,1))</f>
        <v>312.59632808777332</v>
      </c>
      <c r="DU52" s="60">
        <f t="shared" si="44"/>
        <v>302.59481222418219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6.2820512820512819</v>
      </c>
      <c r="EJ52" s="13">
        <f>IF('Données projet'!$A$192&gt;35,EJ51+EI52-ER51,IF(A52&lt;'Données projet'!$A$192,$EG$205^A52,IF(A52='Données projet'!$A$192,'Données projet'!$B$192,EJ51+EI52-ER51)))</f>
        <v>215.5128205128205</v>
      </c>
      <c r="EK52" s="18">
        <f>EJ52*VLOOKUP('Données projet'!$B$15,Paramètres!$A$1:$I$89,3,0)*VLOOKUP('Données projet'!$B$15,Paramètres!$A$1:$I$89,5,0)</f>
        <v>144.566</v>
      </c>
      <c r="EL52" s="14">
        <f t="shared" si="45"/>
        <v>37.341050188349875</v>
      </c>
      <c r="EM52" s="22">
        <f t="shared" si="19"/>
        <v>316.82144574470937</v>
      </c>
      <c r="EN52" s="60">
        <f t="shared" si="20"/>
        <v>571.26782556900139</v>
      </c>
      <c r="EO52" s="60">
        <f ca="1">AVERAGE(OFFSET($EN$3,0,0,'Données projet'!$E$15+1,1))-AVERAGE(OFFSET($H$3,0,0,'Données projet'!$E$15+1,1))</f>
        <v>344.62096650402731</v>
      </c>
      <c r="EP52" s="60">
        <f t="shared" si="46"/>
        <v>277.30931495079346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7.1199999999999992</v>
      </c>
      <c r="FE52" s="13">
        <f>IF('Données projet'!$A$218&gt;35,FE51+FD52-FM51,IF(A52&lt;'Données projet'!$A$218,$FB$205^A52,IF(A52='Données projet'!$A$218,'Données projet'!$B$218,FE51+FD52-FM51)))</f>
        <v>233.0800000000001</v>
      </c>
      <c r="FF52" s="18">
        <f>FE52*VLOOKUP('Données projet'!$B$16,Paramètres!$A$1:$I$89,3,0)*VLOOKUP('Données projet'!$B$16,Paramètres!$A$1:$I$89,5,0)</f>
        <v>203.61868800000011</v>
      </c>
      <c r="FG52" s="14">
        <f t="shared" si="47"/>
        <v>50.538613948142249</v>
      </c>
      <c r="FH52" s="22">
        <f t="shared" si="22"/>
        <v>442.65730089301456</v>
      </c>
      <c r="FI52" s="60">
        <f t="shared" si="23"/>
        <v>697.10368071730659</v>
      </c>
      <c r="FJ52" s="60">
        <f ca="1">AVERAGE(OFFSET($FI$3,0,0,'Données projet'!$E$16+1,1))-AVERAGE(OFFSET($H$3,0,0,'Données projet'!$E$16+1,1))</f>
        <v>363.28611056308665</v>
      </c>
      <c r="FK52" s="60">
        <f t="shared" si="48"/>
        <v>389.43647559455974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190.8</v>
      </c>
      <c r="GA52" s="18">
        <f>FZ52*VLOOKUP('Données projet'!$B$17,Paramètres!$A$1:$I$89,3,0)*VLOOKUP('Données projet'!$B$17,Paramètres!$A$1:$I$89,5,0)</f>
        <v>205.37711999999999</v>
      </c>
      <c r="GB52" s="14">
        <f t="shared" si="49"/>
        <v>50.924065093909938</v>
      </c>
      <c r="GC52" s="22">
        <f t="shared" si="25"/>
        <v>446.39123070522641</v>
      </c>
      <c r="GD52" s="60">
        <f t="shared" si="26"/>
        <v>700.83761052951832</v>
      </c>
      <c r="GE52" s="60">
        <f ca="1">AVERAGE(OFFSET($GD$3,0,0,'Données projet'!$E$17+1,1))-AVERAGE(OFFSET($H$3,0,0,'Données projet'!$E$17+1,1))</f>
        <v>542.90832990875208</v>
      </c>
      <c r="GF52" s="60">
        <f t="shared" si="50"/>
        <v>304.94365539329362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240.20000000000002</v>
      </c>
      <c r="L53" s="13">
        <f>VLOOKUP(A53,'Données projet'!$A$35:$I$55,9,0)</f>
        <v>7.1199999999999992</v>
      </c>
      <c r="M53" s="13">
        <f t="array" ref="M53">INDEX(L:L,MIN(IF(ISNUMBER(L53:L249),ROW(L53:L249),"")))</f>
        <v>7.1199999999999992</v>
      </c>
      <c r="N53" s="14">
        <f>IF('Données projet'!$A$36&gt;35,N52+M53-V52,IF(A53&lt;'Données projet'!$A$36,$K$205^A53,IF(A53='Données projet'!$A$36,'Données projet'!$B$36,N52+M53-V52)))</f>
        <v>240.2000000000001</v>
      </c>
      <c r="O53" s="14">
        <f>N53*VLOOKUP('Données projet'!$B$9,Paramètres!$A$1:$I$89,3,0)*VLOOKUP('Données projet'!$B$9,Paramètres!$A$1:$I$89,5,0)</f>
        <v>191.10312000000008</v>
      </c>
      <c r="P53" s="14">
        <f t="shared" si="33"/>
        <v>47.783754789189338</v>
      </c>
      <c r="Q53" s="22">
        <f t="shared" si="53"/>
        <v>416.06130692450489</v>
      </c>
      <c r="R53" s="60">
        <f t="shared" si="0"/>
        <v>671.18228845397493</v>
      </c>
      <c r="S53" s="60">
        <f ca="1">AVERAGE(OFFSET($R$3,0,0,'Données projet'!$E$9+1,1))-AVERAGE(OFFSET($H$3,0,0,'Données projet'!$E$9+1,1))</f>
        <v>336.25341821407534</v>
      </c>
      <c r="T53" s="60">
        <f t="shared" si="34"/>
        <v>360.3246221345039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38.299999999999997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693.88595559255486</v>
      </c>
      <c r="AN53" s="60">
        <f ca="1">AVERAGE(OFFSET($AM$3,0,0,'Données projet'!$E$10+1,1))-AVERAGE(OFFSET($H$3,0,0,'Données projet'!$E$10+1,1))</f>
        <v>516.30971934066179</v>
      </c>
      <c r="AO53" s="60">
        <f t="shared" si="36"/>
        <v>290.84286505723571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0">
        <f t="shared" si="8"/>
        <v>671.18228845397493</v>
      </c>
      <c r="BI53" s="60">
        <f ca="1">AVERAGE(OFFSET($BH$3,0,0,'Données projet'!$E$11+1,1))-AVERAGE(OFFSET($H$3,0,0,'Données projet'!$E$11+1,1))</f>
        <v>336.25341821407534</v>
      </c>
      <c r="BJ53" s="60">
        <f t="shared" si="38"/>
        <v>360.3246221345039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180.12820512820511</v>
      </c>
      <c r="BW53" s="13">
        <f>VLOOKUP(A53,'Données projet'!$A$113:$I$133,9,0)</f>
        <v>5.5128205128205083</v>
      </c>
      <c r="BX53" s="13">
        <f t="array" ref="BX53">INDEX(BW:BW,MIN(IF(ISNUMBER(BW53:BW249),ROW(BW53:BW249),"")))</f>
        <v>5.5128205128205083</v>
      </c>
      <c r="BY53" s="13">
        <f>IF('Données projet'!$A$114&gt;35,BY52+BX53-CG52,IF(A53&lt;'Données projet'!$A$114,$BV$205^A53,IF(A53='Données projet'!$A$114,'Données projet'!$B$114,BY52+BX53-CG52)))</f>
        <v>180.12820512820514</v>
      </c>
      <c r="BZ53" s="14">
        <f>BY53*VLOOKUP('Données projet'!$B$12,Paramètres!$A$1:$I$89,3,0)*VLOOKUP('Données projet'!$B$12,Paramètres!$A$1:$I$89,5,0)</f>
        <v>171.41000000000003</v>
      </c>
      <c r="CA53" s="14">
        <f t="shared" si="39"/>
        <v>43.405664710300847</v>
      </c>
      <c r="CB53" s="22">
        <f t="shared" si="10"/>
        <v>374.13728270377402</v>
      </c>
      <c r="CC53" s="60">
        <f t="shared" si="11"/>
        <v>629.25826423324406</v>
      </c>
      <c r="CD53" s="60">
        <f ca="1">AVERAGE(OFFSET($CC$3,0,0,'Données projet'!$E$12+1,1))-AVERAGE(OFFSET($H$3,0,0,'Données projet'!$E$12+1,1))</f>
        <v>398.29746143975166</v>
      </c>
      <c r="CE53" s="60">
        <f t="shared" si="40"/>
        <v>300.63705521148802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30.769230769230766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192.47280000000001</v>
      </c>
      <c r="CV53" s="14">
        <f t="shared" si="41"/>
        <v>48.086241710923829</v>
      </c>
      <c r="CW53" s="22">
        <f t="shared" si="13"/>
        <v>418.97366431319239</v>
      </c>
      <c r="CX53" s="60">
        <f t="shared" si="14"/>
        <v>674.09464584266243</v>
      </c>
      <c r="CY53" s="60">
        <f ca="1">AVERAGE(OFFSET($CX$3,0,0,'Données projet'!$E$13+1,1))-AVERAGE(OFFSET($H$3,0,0,'Données projet'!$E$13+1,1))</f>
        <v>496.33873798282525</v>
      </c>
      <c r="CZ53" s="60">
        <f t="shared" si="42"/>
        <v>280.25465074992246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249.24999999999994</v>
      </c>
      <c r="DP53" s="18">
        <f>DO53*VLOOKUP('Données projet'!$B$14,Paramètres!$A$1:$I$89,3,0)*VLOOKUP('Données projet'!$B$14,Paramètres!$A$1:$I$89,5,0)</f>
        <v>194.41499999999996</v>
      </c>
      <c r="DQ53" s="14">
        <f t="shared" si="43"/>
        <v>48.514737888684969</v>
      </c>
      <c r="DR53" s="22">
        <f t="shared" si="16"/>
        <v>423.1026268227929</v>
      </c>
      <c r="DS53" s="60">
        <f t="shared" si="17"/>
        <v>678.223608352263</v>
      </c>
      <c r="DT53" s="60">
        <f ca="1">AVERAGE(OFFSET($DS$3,0,0,'Données projet'!$E$14+1,1))-AVERAGE(OFFSET($H$3,0,0,'Données projet'!$E$14+1,1))</f>
        <v>312.59632808777332</v>
      </c>
      <c r="DU53" s="60">
        <f t="shared" si="44"/>
        <v>302.59481222418219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221.7948717948718</v>
      </c>
      <c r="EH53" s="13">
        <f>VLOOKUP(A53,'Données projet'!$A$191:$I$211,9,0)</f>
        <v>6.2820512820512819</v>
      </c>
      <c r="EI53" s="13">
        <f t="array" ref="EI53">INDEX(EH:EH,MIN(IF(ISNUMBER(EH53:EH249),ROW(EH53:EH249),"")))</f>
        <v>6.2820512820512819</v>
      </c>
      <c r="EJ53" s="13">
        <f>IF('Données projet'!$A$192&gt;35,EJ52+EI53-ER52,IF(A53&lt;'Données projet'!$A$192,$EG$205^A53,IF(A53='Données projet'!$A$192,'Données projet'!$B$192,EJ52+EI53-ER52)))</f>
        <v>221.79487179487177</v>
      </c>
      <c r="EK53" s="18">
        <f>EJ53*VLOOKUP('Données projet'!$B$15,Paramètres!$A$1:$I$89,3,0)*VLOOKUP('Données projet'!$B$15,Paramètres!$A$1:$I$89,5,0)</f>
        <v>148.78</v>
      </c>
      <c r="EL53" s="14">
        <f t="shared" si="45"/>
        <v>38.301204605347834</v>
      </c>
      <c r="EM53" s="22">
        <f t="shared" si="19"/>
        <v>325.8330980209808</v>
      </c>
      <c r="EN53" s="60">
        <f t="shared" si="20"/>
        <v>580.95407955045084</v>
      </c>
      <c r="EO53" s="60">
        <f ca="1">AVERAGE(OFFSET($EN$3,0,0,'Données projet'!$E$15+1,1))-AVERAGE(OFFSET($H$3,0,0,'Données projet'!$E$15+1,1))</f>
        <v>344.62096650402731</v>
      </c>
      <c r="EP53" s="60">
        <f t="shared" si="46"/>
        <v>277.30931495079346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32.692307692307693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240.20000000000002</v>
      </c>
      <c r="FC53" s="13">
        <f>VLOOKUP(A53,'Données projet'!$A$217:$I$237,9,0)</f>
        <v>7.1199999999999992</v>
      </c>
      <c r="FD53" s="13">
        <f t="array" ref="FD53">INDEX(FC:FC,MIN(IF(ISNUMBER(FC53:FC249),ROW(FC53:FC249),"")))</f>
        <v>7.1199999999999992</v>
      </c>
      <c r="FE53" s="13">
        <f>IF('Données projet'!$A$218&gt;35,FE52+FD53-FM52,IF(A53&lt;'Données projet'!$A$218,$FB$205^A53,IF(A53='Données projet'!$A$218,'Données projet'!$B$218,FE52+FD53-FM52)))</f>
        <v>240.2000000000001</v>
      </c>
      <c r="FF53" s="18">
        <f>FE53*VLOOKUP('Données projet'!$B$16,Paramètres!$A$1:$I$89,3,0)*VLOOKUP('Données projet'!$B$16,Paramètres!$A$1:$I$89,5,0)</f>
        <v>209.83872000000011</v>
      </c>
      <c r="FG53" s="14">
        <f t="shared" si="47"/>
        <v>51.90034038479439</v>
      </c>
      <c r="FH53" s="22">
        <f t="shared" si="22"/>
        <v>455.86219683685039</v>
      </c>
      <c r="FI53" s="60">
        <f t="shared" si="23"/>
        <v>710.98317836632054</v>
      </c>
      <c r="FJ53" s="60">
        <f ca="1">AVERAGE(OFFSET($FI$3,0,0,'Données projet'!$E$16+1,1))-AVERAGE(OFFSET($H$3,0,0,'Données projet'!$E$16+1,1))</f>
        <v>363.28611056308665</v>
      </c>
      <c r="FK53" s="60">
        <f t="shared" si="48"/>
        <v>389.43647559455974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38.299999999999997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199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199</v>
      </c>
      <c r="GA53" s="18">
        <f>FZ53*VLOOKUP('Données projet'!$B$17,Paramètres!$A$1:$I$89,3,0)*VLOOKUP('Données projet'!$B$17,Paramètres!$A$1:$I$89,5,0)</f>
        <v>214.20360000000002</v>
      </c>
      <c r="GB53" s="14">
        <f t="shared" si="49"/>
        <v>52.853115789602029</v>
      </c>
      <c r="GC53" s="22">
        <f t="shared" si="25"/>
        <v>465.12378000022358</v>
      </c>
      <c r="GD53" s="60">
        <f t="shared" si="26"/>
        <v>720.24476152969373</v>
      </c>
      <c r="GE53" s="60">
        <f ca="1">AVERAGE(OFFSET($GD$3,0,0,'Données projet'!$E$17+1,1))-AVERAGE(OFFSET($H$3,0,0,'Données projet'!$E$17+1,1))</f>
        <v>542.90832990875208</v>
      </c>
      <c r="GF53" s="60">
        <f t="shared" si="50"/>
        <v>304.94365539329362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42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6.119999999999993</v>
      </c>
      <c r="N54" s="14">
        <f>IF('Données projet'!$A$36&gt;35,N53+M54-V53,IF(A54&lt;'Données projet'!$A$36,$K$205^A54,IF(A54='Données projet'!$A$36,'Données projet'!$B$36,N53+M54-V53)))</f>
        <v>208.0200000000001</v>
      </c>
      <c r="O54" s="14">
        <f>N54*VLOOKUP('Données projet'!$B$9,Paramètres!$A$1:$I$89,3,0)*VLOOKUP('Données projet'!$B$9,Paramètres!$A$1:$I$89,5,0)</f>
        <v>165.50071200000008</v>
      </c>
      <c r="P54" s="14">
        <f t="shared" si="33"/>
        <v>42.080765048766054</v>
      </c>
      <c r="Q54" s="22">
        <f t="shared" si="53"/>
        <v>361.53773919326767</v>
      </c>
      <c r="R54" s="60">
        <f t="shared" si="0"/>
        <v>617.32161959651444</v>
      </c>
      <c r="S54" s="60">
        <f ca="1">AVERAGE(OFFSET($R$3,0,0,'Données projet'!$E$9+1,1))-AVERAGE(OFFSET($H$3,0,0,'Données projet'!$E$9+1,1))</f>
        <v>336.25341821407534</v>
      </c>
      <c r="T54" s="60">
        <f t="shared" si="34"/>
        <v>360.3246221345039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621.18031326116875</v>
      </c>
      <c r="AN54" s="60">
        <f ca="1">AVERAGE(OFFSET($AM$3,0,0,'Données projet'!$E$10+1,1))-AVERAGE(OFFSET($H$3,0,0,'Données projet'!$E$10+1,1))</f>
        <v>516.30971934066179</v>
      </c>
      <c r="AO54" s="60">
        <f t="shared" si="36"/>
        <v>290.84286505723571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0">
        <f t="shared" si="8"/>
        <v>617.32161959651444</v>
      </c>
      <c r="BI54" s="60">
        <f ca="1">AVERAGE(OFFSET($BH$3,0,0,'Données projet'!$E$11+1,1))-AVERAGE(OFFSET($H$3,0,0,'Données projet'!$E$11+1,1))</f>
        <v>336.25341821407534</v>
      </c>
      <c r="BJ54" s="60">
        <f t="shared" si="38"/>
        <v>360.3246221345039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5.2564102564102599</v>
      </c>
      <c r="BY54" s="13">
        <f>IF('Données projet'!$A$114&gt;35,BY53+BX54-CG53,IF(A54&lt;'Données projet'!$A$114,$BV$205^A54,IF(A54='Données projet'!$A$114,'Données projet'!$B$114,BY53+BX54-CG53)))</f>
        <v>154.61538461538461</v>
      </c>
      <c r="BZ54" s="14">
        <f>BY54*VLOOKUP('Données projet'!$B$12,Paramètres!$A$1:$I$89,3,0)*VLOOKUP('Données projet'!$B$12,Paramètres!$A$1:$I$89,5,0)</f>
        <v>147.13200000000001</v>
      </c>
      <c r="CA54" s="14">
        <f t="shared" si="39"/>
        <v>37.926091844382093</v>
      </c>
      <c r="CB54" s="22">
        <f t="shared" si="10"/>
        <v>322.30950996229876</v>
      </c>
      <c r="CC54" s="60">
        <f t="shared" si="11"/>
        <v>578.09339036554559</v>
      </c>
      <c r="CD54" s="60">
        <f ca="1">AVERAGE(OFFSET($CC$3,0,0,'Données projet'!$E$12+1,1))-AVERAGE(OFFSET($H$3,0,0,'Données projet'!$E$12+1,1))</f>
        <v>398.29746143975166</v>
      </c>
      <c r="CE54" s="60">
        <f t="shared" si="40"/>
        <v>300.63705521148802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159.58799999999999</v>
      </c>
      <c r="CV54" s="14">
        <f t="shared" si="41"/>
        <v>40.74957371668588</v>
      </c>
      <c r="CW54" s="22">
        <f t="shared" si="13"/>
        <v>348.92127422322784</v>
      </c>
      <c r="CX54" s="60">
        <f t="shared" si="14"/>
        <v>604.70515462647472</v>
      </c>
      <c r="CY54" s="60">
        <f ca="1">AVERAGE(OFFSET($CX$3,0,0,'Données projet'!$E$13+1,1))-AVERAGE(OFFSET($H$3,0,0,'Données projet'!$E$13+1,1))</f>
        <v>496.33873798282525</v>
      </c>
      <c r="CZ54" s="60">
        <f t="shared" si="42"/>
        <v>280.25465074992246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259.62499999999994</v>
      </c>
      <c r="DP54" s="18">
        <f>DO54*VLOOKUP('Données projet'!$B$14,Paramètres!$A$1:$I$89,3,0)*VLOOKUP('Données projet'!$B$14,Paramètres!$A$1:$I$89,5,0)</f>
        <v>202.50749999999996</v>
      </c>
      <c r="DQ54" s="14">
        <f t="shared" si="43"/>
        <v>50.294840086606349</v>
      </c>
      <c r="DR54" s="22">
        <f t="shared" si="16"/>
        <v>440.29740898417259</v>
      </c>
      <c r="DS54" s="60">
        <f t="shared" si="17"/>
        <v>696.08128938741947</v>
      </c>
      <c r="DT54" s="60">
        <f ca="1">AVERAGE(OFFSET($DS$3,0,0,'Données projet'!$E$14+1,1))-AVERAGE(OFFSET($H$3,0,0,'Données projet'!$E$14+1,1))</f>
        <v>312.59632808777332</v>
      </c>
      <c r="DU54" s="60">
        <f t="shared" si="44"/>
        <v>302.59481222418219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5.7692307692307683</v>
      </c>
      <c r="EJ54" s="13">
        <f>IF('Données projet'!$A$192&gt;35,EJ53+EI54-ER53,IF(A54&lt;'Données projet'!$A$192,$EG$205^A54,IF(A54='Données projet'!$A$192,'Données projet'!$B$192,EJ53+EI54-ER53)))</f>
        <v>194.87179487179486</v>
      </c>
      <c r="EK54" s="18">
        <f>EJ54*VLOOKUP('Données projet'!$B$15,Paramètres!$A$1:$I$89,3,0)*VLOOKUP('Données projet'!$B$15,Paramètres!$A$1:$I$89,5,0)</f>
        <v>130.72</v>
      </c>
      <c r="EL54" s="14">
        <f t="shared" si="45"/>
        <v>34.162676675108806</v>
      </c>
      <c r="EM54" s="22">
        <f t="shared" si="19"/>
        <v>287.17066187581446</v>
      </c>
      <c r="EN54" s="60">
        <f t="shared" si="20"/>
        <v>542.95454227906134</v>
      </c>
      <c r="EO54" s="60">
        <f ca="1">AVERAGE(OFFSET($EN$3,0,0,'Données projet'!$E$15+1,1))-AVERAGE(OFFSET($H$3,0,0,'Données projet'!$E$15+1,1))</f>
        <v>344.62096650402731</v>
      </c>
      <c r="EP54" s="60">
        <f t="shared" si="46"/>
        <v>277.30931495079346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6.119999999999993</v>
      </c>
      <c r="FE54" s="13">
        <f>IF('Données projet'!$A$218&gt;35,FE53+FD54-FM53,IF(A54&lt;'Données projet'!$A$218,$FB$205^A54,IF(A54='Données projet'!$A$218,'Données projet'!$B$218,FE53+FD54-FM53)))</f>
        <v>208.0200000000001</v>
      </c>
      <c r="FF54" s="18">
        <f>FE54*VLOOKUP('Données projet'!$B$16,Paramètres!$A$1:$I$89,3,0)*VLOOKUP('Données projet'!$B$16,Paramètres!$A$1:$I$89,5,0)</f>
        <v>181.72627200000011</v>
      </c>
      <c r="FG54" s="14">
        <f t="shared" si="47"/>
        <v>45.706036273600446</v>
      </c>
      <c r="FH54" s="22">
        <f t="shared" si="22"/>
        <v>396.11127024318756</v>
      </c>
      <c r="FI54" s="60">
        <f t="shared" si="23"/>
        <v>651.89515064643433</v>
      </c>
      <c r="FJ54" s="60">
        <f ca="1">AVERAGE(OFFSET($FI$3,0,0,'Données projet'!$E$16+1,1))-AVERAGE(OFFSET($H$3,0,0,'Données projet'!$E$16+1,1))</f>
        <v>363.28611056308665</v>
      </c>
      <c r="FK54" s="60">
        <f t="shared" si="48"/>
        <v>389.43647559455974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165</v>
      </c>
      <c r="GA54" s="18">
        <f>FZ54*VLOOKUP('Données projet'!$B$17,Paramètres!$A$1:$I$89,3,0)*VLOOKUP('Données projet'!$B$17,Paramètres!$A$1:$I$89,5,0)</f>
        <v>177.60599999999999</v>
      </c>
      <c r="GB54" s="14">
        <f t="shared" si="49"/>
        <v>44.789150937858665</v>
      </c>
      <c r="GC54" s="22">
        <f t="shared" si="25"/>
        <v>387.33822121677048</v>
      </c>
      <c r="GD54" s="60">
        <f t="shared" si="26"/>
        <v>643.12210162001725</v>
      </c>
      <c r="GE54" s="60">
        <f ca="1">AVERAGE(OFFSET($GD$3,0,0,'Données projet'!$E$17+1,1))-AVERAGE(OFFSET($H$3,0,0,'Données projet'!$E$17+1,1))</f>
        <v>542.90832990875208</v>
      </c>
      <c r="GF54" s="60">
        <f t="shared" si="50"/>
        <v>304.94365539329362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6.119999999999993</v>
      </c>
      <c r="N55" s="14">
        <f>IF('Données projet'!$A$36&gt;35,N54+M55-V54,IF(A55&lt;'Données projet'!$A$36,$K$205^A55,IF(A55='Données projet'!$A$36,'Données projet'!$B$36,N54+M55-V54)))</f>
        <v>214.1400000000001</v>
      </c>
      <c r="O55" s="14">
        <f>N55*VLOOKUP('Données projet'!$B$9,Paramètres!$A$1:$I$89,3,0)*VLOOKUP('Données projet'!$B$9,Paramètres!$A$1:$I$89,5,0)</f>
        <v>170.3697840000001</v>
      </c>
      <c r="P55" s="14">
        <f t="shared" si="33"/>
        <v>43.172832424038276</v>
      </c>
      <c r="Q55" s="22">
        <f t="shared" si="53"/>
        <v>371.92005693853349</v>
      </c>
      <c r="R55" s="60">
        <f t="shared" si="0"/>
        <v>628.35533640211679</v>
      </c>
      <c r="S55" s="60">
        <f ca="1">AVERAGE(OFFSET($R$3,0,0,'Données projet'!$E$9+1,1))-AVERAGE(OFFSET($H$3,0,0,'Données projet'!$E$9+1,1))</f>
        <v>336.25341821407534</v>
      </c>
      <c r="T55" s="60">
        <f t="shared" si="34"/>
        <v>360.3246221345039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639.12149590668082</v>
      </c>
      <c r="AN55" s="60">
        <f ca="1">AVERAGE(OFFSET($AM$3,0,0,'Données projet'!$E$10+1,1))-AVERAGE(OFFSET($H$3,0,0,'Données projet'!$E$10+1,1))</f>
        <v>516.30971934066179</v>
      </c>
      <c r="AO55" s="60">
        <f t="shared" si="36"/>
        <v>290.84286505723571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0">
        <f t="shared" si="8"/>
        <v>628.35533640211679</v>
      </c>
      <c r="BI55" s="60">
        <f ca="1">AVERAGE(OFFSET($BH$3,0,0,'Données projet'!$E$11+1,1))-AVERAGE(OFFSET($H$3,0,0,'Données projet'!$E$11+1,1))</f>
        <v>336.25341821407534</v>
      </c>
      <c r="BJ55" s="60">
        <f t="shared" si="38"/>
        <v>360.3246221345039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5.2564102564102599</v>
      </c>
      <c r="BY55" s="13">
        <f>IF('Données projet'!$A$114&gt;35,BY54+BX55-CG54,IF(A55&lt;'Données projet'!$A$114,$BV$205^A55,IF(A55='Données projet'!$A$114,'Données projet'!$B$114,BY54+BX55-CG54)))</f>
        <v>159.87179487179486</v>
      </c>
      <c r="BZ55" s="14">
        <f>BY55*VLOOKUP('Données projet'!$B$12,Paramètres!$A$1:$I$89,3,0)*VLOOKUP('Données projet'!$B$12,Paramètres!$A$1:$I$89,5,0)</f>
        <v>152.13399999999999</v>
      </c>
      <c r="CA55" s="14">
        <f t="shared" si="39"/>
        <v>39.063145346110034</v>
      </c>
      <c r="CB55" s="22">
        <f t="shared" si="10"/>
        <v>333.00169481114159</v>
      </c>
      <c r="CC55" s="60">
        <f t="shared" si="11"/>
        <v>589.43697427472489</v>
      </c>
      <c r="CD55" s="60">
        <f ca="1">AVERAGE(OFFSET($CC$3,0,0,'Données projet'!$E$12+1,1))-AVERAGE(OFFSET($H$3,0,0,'Données projet'!$E$12+1,1))</f>
        <v>398.29746143975166</v>
      </c>
      <c r="CE55" s="60">
        <f t="shared" si="40"/>
        <v>300.63705521148802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167.32560000000001</v>
      </c>
      <c r="CV55" s="14">
        <f t="shared" si="41"/>
        <v>42.490495297127609</v>
      </c>
      <c r="CW55" s="22">
        <f t="shared" si="13"/>
        <v>365.42969930916388</v>
      </c>
      <c r="CX55" s="60">
        <f t="shared" si="14"/>
        <v>621.86497877274724</v>
      </c>
      <c r="CY55" s="60">
        <f ca="1">AVERAGE(OFFSET($CX$3,0,0,'Données projet'!$E$13+1,1))-AVERAGE(OFFSET($H$3,0,0,'Données projet'!$E$13+1,1))</f>
        <v>496.33873798282525</v>
      </c>
      <c r="CZ55" s="60">
        <f t="shared" si="42"/>
        <v>280.25465074992246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269.99999999999994</v>
      </c>
      <c r="DP55" s="18">
        <f>DO55*VLOOKUP('Données projet'!$B$14,Paramètres!$A$1:$I$89,3,0)*VLOOKUP('Données projet'!$B$14,Paramètres!$A$1:$I$89,5,0)</f>
        <v>210.59999999999997</v>
      </c>
      <c r="DQ55" s="14">
        <f t="shared" si="43"/>
        <v>52.066679014659961</v>
      </c>
      <c r="DR55" s="22">
        <f t="shared" si="16"/>
        <v>457.47779928386598</v>
      </c>
      <c r="DS55" s="60">
        <f t="shared" si="17"/>
        <v>713.91307874744939</v>
      </c>
      <c r="DT55" s="60">
        <f ca="1">AVERAGE(OFFSET($DS$3,0,0,'Données projet'!$E$14+1,1))-AVERAGE(OFFSET($H$3,0,0,'Données projet'!$E$14+1,1))</f>
        <v>312.59632808777332</v>
      </c>
      <c r="DU55" s="60">
        <f t="shared" si="44"/>
        <v>302.59481222418219</v>
      </c>
      <c r="DV55" s="16">
        <f>IF(ISNA(VLOOKUP(A55,'Données projet'!$A$165:$I$185,3,0)),0,VLOOKUP(A55,'Données projet'!$A$165:$I$185,3,0))</f>
        <v>5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5.7692307692307683</v>
      </c>
      <c r="EJ55" s="13">
        <f>IF('Données projet'!$A$192&gt;35,EJ54+EI55-ER54,IF(A55&lt;'Données projet'!$A$192,$EG$205^A55,IF(A55='Données projet'!$A$192,'Données projet'!$B$192,EJ54+EI55-ER54)))</f>
        <v>200.64102564102564</v>
      </c>
      <c r="EK55" s="18">
        <f>EJ55*VLOOKUP('Données projet'!$B$15,Paramètres!$A$1:$I$89,3,0)*VLOOKUP('Données projet'!$B$15,Paramètres!$A$1:$I$89,5,0)</f>
        <v>134.59</v>
      </c>
      <c r="EL55" s="14">
        <f t="shared" si="45"/>
        <v>35.054822215165878</v>
      </c>
      <c r="EM55" s="22">
        <f t="shared" si="19"/>
        <v>295.46473202474721</v>
      </c>
      <c r="EN55" s="60">
        <f t="shared" si="20"/>
        <v>551.90001148833062</v>
      </c>
      <c r="EO55" s="60">
        <f ca="1">AVERAGE(OFFSET($EN$3,0,0,'Données projet'!$E$15+1,1))-AVERAGE(OFFSET($H$3,0,0,'Données projet'!$E$15+1,1))</f>
        <v>344.62096650402731</v>
      </c>
      <c r="EP55" s="60">
        <f t="shared" si="46"/>
        <v>277.30931495079346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6.119999999999993</v>
      </c>
      <c r="FE55" s="13">
        <f>IF('Données projet'!$A$218&gt;35,FE54+FD55-FM54,IF(A55&lt;'Données projet'!$A$218,$FB$205^A55,IF(A55='Données projet'!$A$218,'Données projet'!$B$218,FE54+FD55-FM54)))</f>
        <v>214.1400000000001</v>
      </c>
      <c r="FF55" s="18">
        <f>FE55*VLOOKUP('Données projet'!$B$16,Paramètres!$A$1:$I$89,3,0)*VLOOKUP('Données projet'!$B$16,Paramètres!$A$1:$I$89,5,0)</f>
        <v>187.0727040000001</v>
      </c>
      <c r="FG55" s="14">
        <f t="shared" si="47"/>
        <v>46.892185598822181</v>
      </c>
      <c r="FH55" s="22">
        <f t="shared" si="22"/>
        <v>407.48884938461543</v>
      </c>
      <c r="FI55" s="60">
        <f t="shared" si="23"/>
        <v>663.92412884819873</v>
      </c>
      <c r="FJ55" s="60">
        <f ca="1">AVERAGE(OFFSET($FI$3,0,0,'Données projet'!$E$16+1,1))-AVERAGE(OFFSET($H$3,0,0,'Données projet'!$E$16+1,1))</f>
        <v>363.28611056308665</v>
      </c>
      <c r="FK55" s="60">
        <f t="shared" si="48"/>
        <v>389.43647559455974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173</v>
      </c>
      <c r="GA55" s="18">
        <f>FZ55*VLOOKUP('Données projet'!$B$17,Paramètres!$A$1:$I$89,3,0)*VLOOKUP('Données projet'!$B$17,Paramètres!$A$1:$I$89,5,0)</f>
        <v>186.21719999999999</v>
      </c>
      <c r="GB55" s="14">
        <f t="shared" si="49"/>
        <v>46.702653149673253</v>
      </c>
      <c r="GC55" s="22">
        <f t="shared" si="25"/>
        <v>405.66874423568089</v>
      </c>
      <c r="GD55" s="60">
        <f t="shared" si="26"/>
        <v>662.10402369926419</v>
      </c>
      <c r="GE55" s="60">
        <f ca="1">AVERAGE(OFFSET($GD$3,0,0,'Données projet'!$E$17+1,1))-AVERAGE(OFFSET($H$3,0,0,'Données projet'!$E$17+1,1))</f>
        <v>542.90832990875208</v>
      </c>
      <c r="GF55" s="60">
        <f t="shared" si="50"/>
        <v>304.94365539329362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6.119999999999993</v>
      </c>
      <c r="N56" s="14">
        <f>IF('Données projet'!$A$36&gt;35,N55+M56-V55,IF(A56&lt;'Données projet'!$A$36,$K$205^A56,IF(A56='Données projet'!$A$36,'Données projet'!$B$36,N55+M56-V55)))</f>
        <v>220.2600000000001</v>
      </c>
      <c r="O56" s="14">
        <f>N56*VLOOKUP('Données projet'!$B$9,Paramètres!$A$1:$I$89,3,0)*VLOOKUP('Données projet'!$B$9,Paramètres!$A$1:$I$89,5,0)</f>
        <v>175.23885600000008</v>
      </c>
      <c r="P56" s="14">
        <f t="shared" si="33"/>
        <v>44.261272391866463</v>
      </c>
      <c r="Q56" s="22">
        <f t="shared" si="53"/>
        <v>382.29605694916751</v>
      </c>
      <c r="R56" s="60">
        <f t="shared" si="0"/>
        <v>639.37143515570074</v>
      </c>
      <c r="S56" s="60">
        <f ca="1">AVERAGE(OFFSET($R$3,0,0,'Données projet'!$E$9+1,1))-AVERAGE(OFFSET($H$3,0,0,'Données projet'!$E$9+1,1))</f>
        <v>336.25341821407534</v>
      </c>
      <c r="T56" s="60">
        <f t="shared" si="34"/>
        <v>360.3246221345039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657.03440091152891</v>
      </c>
      <c r="AN56" s="60">
        <f ca="1">AVERAGE(OFFSET($AM$3,0,0,'Données projet'!$E$10+1,1))-AVERAGE(OFFSET($H$3,0,0,'Données projet'!$E$10+1,1))</f>
        <v>516.30971934066179</v>
      </c>
      <c r="AO56" s="60">
        <f t="shared" si="36"/>
        <v>290.84286505723571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0">
        <f t="shared" si="8"/>
        <v>639.37143515570074</v>
      </c>
      <c r="BI56" s="60">
        <f ca="1">AVERAGE(OFFSET($BH$3,0,0,'Données projet'!$E$11+1,1))-AVERAGE(OFFSET($H$3,0,0,'Données projet'!$E$11+1,1))</f>
        <v>336.25341821407534</v>
      </c>
      <c r="BJ56" s="60">
        <f t="shared" si="38"/>
        <v>360.3246221345039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5.2564102564102599</v>
      </c>
      <c r="BY56" s="13">
        <f>IF('Données projet'!$A$114&gt;35,BY55+BX56-CG55,IF(A56&lt;'Données projet'!$A$114,$BV$205^A56,IF(A56='Données projet'!$A$114,'Données projet'!$B$114,BY55+BX56-CG55)))</f>
        <v>165.12820512820511</v>
      </c>
      <c r="BZ56" s="14">
        <f>BY56*VLOOKUP('Données projet'!$B$12,Paramètres!$A$1:$I$89,3,0)*VLOOKUP('Données projet'!$B$12,Paramètres!$A$1:$I$89,5,0)</f>
        <v>157.136</v>
      </c>
      <c r="CA56" s="14">
        <f t="shared" si="39"/>
        <v>40.195854714214285</v>
      </c>
      <c r="CB56" s="22">
        <f t="shared" si="10"/>
        <v>343.68631362725654</v>
      </c>
      <c r="CC56" s="60">
        <f t="shared" si="11"/>
        <v>600.76169183378977</v>
      </c>
      <c r="CD56" s="60">
        <f ca="1">AVERAGE(OFFSET($CC$3,0,0,'Données projet'!$E$12+1,1))-AVERAGE(OFFSET($H$3,0,0,'Données projet'!$E$12+1,1))</f>
        <v>398.29746143975166</v>
      </c>
      <c r="CE56" s="60">
        <f t="shared" si="40"/>
        <v>300.63705521148802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175.06319999999999</v>
      </c>
      <c r="CV56" s="14">
        <f t="shared" si="41"/>
        <v>44.22206774682472</v>
      </c>
      <c r="CW56" s="22">
        <f t="shared" si="13"/>
        <v>381.9218413257197</v>
      </c>
      <c r="CX56" s="60">
        <f t="shared" si="14"/>
        <v>638.99721953225298</v>
      </c>
      <c r="CY56" s="60">
        <f ca="1">AVERAGE(OFFSET($CX$3,0,0,'Données projet'!$E$13+1,1))-AVERAGE(OFFSET($H$3,0,0,'Données projet'!$E$13+1,1))</f>
        <v>496.33873798282525</v>
      </c>
      <c r="CZ56" s="60">
        <f t="shared" si="42"/>
        <v>280.25465074992246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231.37499999999994</v>
      </c>
      <c r="DP56" s="18">
        <f>DO56*VLOOKUP('Données projet'!$B$14,Paramètres!$A$1:$I$89,3,0)*VLOOKUP('Données projet'!$B$14,Paramètres!$A$1:$I$89,5,0)</f>
        <v>180.47249999999997</v>
      </c>
      <c r="DQ56" s="14">
        <f t="shared" si="43"/>
        <v>45.427292666837829</v>
      </c>
      <c r="DR56" s="22">
        <f t="shared" si="16"/>
        <v>393.44213889474253</v>
      </c>
      <c r="DS56" s="60">
        <f t="shared" si="17"/>
        <v>650.51751710127576</v>
      </c>
      <c r="DT56" s="60">
        <f ca="1">AVERAGE(OFFSET($DS$3,0,0,'Données projet'!$E$14+1,1))-AVERAGE(OFFSET($H$3,0,0,'Données projet'!$E$14+1,1))</f>
        <v>312.59632808777332</v>
      </c>
      <c r="DU56" s="60">
        <f t="shared" si="44"/>
        <v>302.59481222418219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5.7692307692307683</v>
      </c>
      <c r="EJ56" s="13">
        <f>IF('Données projet'!$A$192&gt;35,EJ55+EI56-ER55,IF(A56&lt;'Données projet'!$A$192,$EG$205^A56,IF(A56='Données projet'!$A$192,'Données projet'!$B$192,EJ55+EI56-ER55)))</f>
        <v>206.41025641025641</v>
      </c>
      <c r="EK56" s="18">
        <f>EJ56*VLOOKUP('Données projet'!$B$15,Paramètres!$A$1:$I$89,3,0)*VLOOKUP('Données projet'!$B$15,Paramètres!$A$1:$I$89,5,0)</f>
        <v>138.45999999999998</v>
      </c>
      <c r="EL56" s="14">
        <f t="shared" si="45"/>
        <v>35.943986332761526</v>
      </c>
      <c r="EM56" s="22">
        <f t="shared" si="19"/>
        <v>303.75360952955964</v>
      </c>
      <c r="EN56" s="60">
        <f t="shared" si="20"/>
        <v>560.82898773609281</v>
      </c>
      <c r="EO56" s="60">
        <f ca="1">AVERAGE(OFFSET($EN$3,0,0,'Données projet'!$E$15+1,1))-AVERAGE(OFFSET($H$3,0,0,'Données projet'!$E$15+1,1))</f>
        <v>344.62096650402731</v>
      </c>
      <c r="EP56" s="60">
        <f t="shared" si="46"/>
        <v>277.30931495079346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6.119999999999993</v>
      </c>
      <c r="FE56" s="13">
        <f>IF('Données projet'!$A$218&gt;35,FE55+FD56-FM55,IF(A56&lt;'Données projet'!$A$218,$FB$205^A56,IF(A56='Données projet'!$A$218,'Données projet'!$B$218,FE55+FD56-FM55)))</f>
        <v>220.2600000000001</v>
      </c>
      <c r="FF56" s="18">
        <f>FE56*VLOOKUP('Données projet'!$B$16,Paramètres!$A$1:$I$89,3,0)*VLOOKUP('Données projet'!$B$16,Paramètres!$A$1:$I$89,5,0)</f>
        <v>192.41913600000012</v>
      </c>
      <c r="FG56" s="14">
        <f t="shared" si="47"/>
        <v>48.074395014300762</v>
      </c>
      <c r="FH56" s="22">
        <f t="shared" si="22"/>
        <v>418.85956651657403</v>
      </c>
      <c r="FI56" s="60">
        <f t="shared" si="23"/>
        <v>675.93494472310726</v>
      </c>
      <c r="FJ56" s="60">
        <f ca="1">AVERAGE(OFFSET($FI$3,0,0,'Données projet'!$E$16+1,1))-AVERAGE(OFFSET($H$3,0,0,'Données projet'!$E$16+1,1))</f>
        <v>363.28611056308665</v>
      </c>
      <c r="FK56" s="60">
        <f t="shared" si="48"/>
        <v>389.43647559455974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181</v>
      </c>
      <c r="GA56" s="18">
        <f>FZ56*VLOOKUP('Données projet'!$B$17,Paramètres!$A$1:$I$89,3,0)*VLOOKUP('Données projet'!$B$17,Paramètres!$A$1:$I$89,5,0)</f>
        <v>194.82839999999999</v>
      </c>
      <c r="GB56" s="14">
        <f t="shared" si="49"/>
        <v>48.605879434898533</v>
      </c>
      <c r="GC56" s="22">
        <f t="shared" si="25"/>
        <v>423.98137001578152</v>
      </c>
      <c r="GD56" s="60">
        <f t="shared" si="26"/>
        <v>681.05674822231481</v>
      </c>
      <c r="GE56" s="60">
        <f ca="1">AVERAGE(OFFSET($GD$3,0,0,'Données projet'!$E$17+1,1))-AVERAGE(OFFSET($H$3,0,0,'Données projet'!$E$17+1,1))</f>
        <v>542.90832990875208</v>
      </c>
      <c r="GF56" s="60">
        <f t="shared" si="50"/>
        <v>304.94365539329362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6.119999999999993</v>
      </c>
      <c r="N57" s="14">
        <f>IF('Données projet'!$A$36&gt;35,N56+M57-V56,IF(A57&lt;'Données projet'!$A$36,$K$205^A57,IF(A57='Données projet'!$A$36,'Données projet'!$B$36,N56+M57-V56)))</f>
        <v>226.38000000000011</v>
      </c>
      <c r="O57" s="14">
        <f>N57*VLOOKUP('Données projet'!$B$9,Paramètres!$A$1:$I$89,3,0)*VLOOKUP('Données projet'!$B$9,Paramètres!$A$1:$I$89,5,0)</f>
        <v>180.1079280000001</v>
      </c>
      <c r="P57" s="14">
        <f t="shared" si="33"/>
        <v>45.34619732035577</v>
      </c>
      <c r="Q57" s="22">
        <f t="shared" si="53"/>
        <v>392.66593493295318</v>
      </c>
      <c r="R57" s="60">
        <f t="shared" si="0"/>
        <v>650.37030760029256</v>
      </c>
      <c r="S57" s="60">
        <f ca="1">AVERAGE(OFFSET($R$3,0,0,'Données projet'!$E$9+1,1))-AVERAGE(OFFSET($H$3,0,0,'Données projet'!$E$9+1,1))</f>
        <v>336.25341821407534</v>
      </c>
      <c r="T57" s="60">
        <f t="shared" si="34"/>
        <v>360.3246221345039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674.92006043868901</v>
      </c>
      <c r="AN57" s="60">
        <f ca="1">AVERAGE(OFFSET($AM$3,0,0,'Données projet'!$E$10+1,1))-AVERAGE(OFFSET($H$3,0,0,'Données projet'!$E$10+1,1))</f>
        <v>516.30971934066179</v>
      </c>
      <c r="AO57" s="60">
        <f t="shared" si="36"/>
        <v>290.84286505723571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0">
        <f t="shared" si="8"/>
        <v>650.37030760029256</v>
      </c>
      <c r="BI57" s="60">
        <f ca="1">AVERAGE(OFFSET($BH$3,0,0,'Données projet'!$E$11+1,1))-AVERAGE(OFFSET($H$3,0,0,'Données projet'!$E$11+1,1))</f>
        <v>336.25341821407534</v>
      </c>
      <c r="BJ57" s="60">
        <f t="shared" si="38"/>
        <v>360.3246221345039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5.2564102564102599</v>
      </c>
      <c r="BY57" s="13">
        <f>IF('Données projet'!$A$114&gt;35,BY56+BX57-CG56,IF(A57&lt;'Données projet'!$A$114,$BV$205^A57,IF(A57='Données projet'!$A$114,'Données projet'!$B$114,BY56+BX57-CG56)))</f>
        <v>170.38461538461536</v>
      </c>
      <c r="BZ57" s="14">
        <f>BY57*VLOOKUP('Données projet'!$B$12,Paramètres!$A$1:$I$89,3,0)*VLOOKUP('Données projet'!$B$12,Paramètres!$A$1:$I$89,5,0)</f>
        <v>162.13799999999998</v>
      </c>
      <c r="CA57" s="14">
        <f t="shared" si="39"/>
        <v>41.324374095861224</v>
      </c>
      <c r="CB57" s="22">
        <f t="shared" si="10"/>
        <v>354.36363488362491</v>
      </c>
      <c r="CC57" s="60">
        <f t="shared" si="11"/>
        <v>612.06800755096424</v>
      </c>
      <c r="CD57" s="60">
        <f ca="1">AVERAGE(OFFSET($CC$3,0,0,'Données projet'!$E$12+1,1))-AVERAGE(OFFSET($H$3,0,0,'Données projet'!$E$12+1,1))</f>
        <v>398.29746143975166</v>
      </c>
      <c r="CE57" s="60">
        <f t="shared" si="40"/>
        <v>300.63705521148802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182.80079999999998</v>
      </c>
      <c r="CV57" s="14">
        <f t="shared" si="41"/>
        <v>45.944751507471658</v>
      </c>
      <c r="CW57" s="22">
        <f t="shared" si="13"/>
        <v>398.39850220884642</v>
      </c>
      <c r="CX57" s="60">
        <f t="shared" si="14"/>
        <v>656.10287487618575</v>
      </c>
      <c r="CY57" s="60">
        <f ca="1">AVERAGE(OFFSET($CX$3,0,0,'Données projet'!$E$13+1,1))-AVERAGE(OFFSET($H$3,0,0,'Données projet'!$E$13+1,1))</f>
        <v>496.33873798282525</v>
      </c>
      <c r="CZ57" s="60">
        <f t="shared" si="42"/>
        <v>280.25465074992246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240.74999999999994</v>
      </c>
      <c r="DP57" s="18">
        <f>DO57*VLOOKUP('Données projet'!$B$14,Paramètres!$A$1:$I$89,3,0)*VLOOKUP('Données projet'!$B$14,Paramètres!$A$1:$I$89,5,0)</f>
        <v>187.78499999999997</v>
      </c>
      <c r="DQ57" s="14">
        <f t="shared" si="43"/>
        <v>47.049914090154054</v>
      </c>
      <c r="DR57" s="22">
        <f t="shared" si="16"/>
        <v>409.00414204035161</v>
      </c>
      <c r="DS57" s="60">
        <f t="shared" si="17"/>
        <v>666.70851470769094</v>
      </c>
      <c r="DT57" s="60">
        <f ca="1">AVERAGE(OFFSET($DS$3,0,0,'Données projet'!$E$14+1,1))-AVERAGE(OFFSET($H$3,0,0,'Données projet'!$E$14+1,1))</f>
        <v>312.59632808777332</v>
      </c>
      <c r="DU57" s="60">
        <f t="shared" si="44"/>
        <v>302.59481222418219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5.7692307692307683</v>
      </c>
      <c r="EJ57" s="13">
        <f>IF('Données projet'!$A$192&gt;35,EJ56+EI57-ER56,IF(A57&lt;'Données projet'!$A$192,$EG$205^A57,IF(A57='Données projet'!$A$192,'Données projet'!$B$192,EJ56+EI57-ER56)))</f>
        <v>212.17948717948718</v>
      </c>
      <c r="EK57" s="18">
        <f>EJ57*VLOOKUP('Données projet'!$B$15,Paramètres!$A$1:$I$89,3,0)*VLOOKUP('Données projet'!$B$15,Paramètres!$A$1:$I$89,5,0)</f>
        <v>142.33000000000001</v>
      </c>
      <c r="EL57" s="14">
        <f t="shared" si="45"/>
        <v>36.830261932722308</v>
      </c>
      <c r="EM57" s="22">
        <f t="shared" si="19"/>
        <v>312.03745619949137</v>
      </c>
      <c r="EN57" s="60">
        <f t="shared" si="20"/>
        <v>569.7418288668307</v>
      </c>
      <c r="EO57" s="60">
        <f ca="1">AVERAGE(OFFSET($EN$3,0,0,'Données projet'!$E$15+1,1))-AVERAGE(OFFSET($H$3,0,0,'Données projet'!$E$15+1,1))</f>
        <v>344.62096650402731</v>
      </c>
      <c r="EP57" s="60">
        <f t="shared" si="46"/>
        <v>277.30931495079346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6.119999999999993</v>
      </c>
      <c r="FE57" s="13">
        <f>IF('Données projet'!$A$218&gt;35,FE56+FD57-FM56,IF(A57&lt;'Données projet'!$A$218,$FB$205^A57,IF(A57='Données projet'!$A$218,'Données projet'!$B$218,FE56+FD57-FM56)))</f>
        <v>226.38000000000011</v>
      </c>
      <c r="FF57" s="18">
        <f>FE57*VLOOKUP('Données projet'!$B$16,Paramètres!$A$1:$I$89,3,0)*VLOOKUP('Données projet'!$B$16,Paramètres!$A$1:$I$89,5,0)</f>
        <v>197.76556800000012</v>
      </c>
      <c r="FG57" s="14">
        <f t="shared" si="47"/>
        <v>49.252786568689096</v>
      </c>
      <c r="FH57" s="22">
        <f t="shared" si="22"/>
        <v>430.22363420713367</v>
      </c>
      <c r="FI57" s="60">
        <f t="shared" si="23"/>
        <v>687.928006874473</v>
      </c>
      <c r="FJ57" s="60">
        <f ca="1">AVERAGE(OFFSET($FI$3,0,0,'Données projet'!$E$16+1,1))-AVERAGE(OFFSET($H$3,0,0,'Données projet'!$E$16+1,1))</f>
        <v>363.28611056308665</v>
      </c>
      <c r="FK57" s="60">
        <f t="shared" si="48"/>
        <v>389.43647559455974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189</v>
      </c>
      <c r="GA57" s="18">
        <f>FZ57*VLOOKUP('Données projet'!$B$17,Paramètres!$A$1:$I$89,3,0)*VLOOKUP('Données projet'!$B$17,Paramètres!$A$1:$I$89,5,0)</f>
        <v>203.43960000000001</v>
      </c>
      <c r="GB57" s="14">
        <f t="shared" si="49"/>
        <v>50.499335879627459</v>
      </c>
      <c r="GC57" s="22">
        <f t="shared" si="25"/>
        <v>442.27697999035109</v>
      </c>
      <c r="GD57" s="60">
        <f t="shared" si="26"/>
        <v>699.98135265769042</v>
      </c>
      <c r="GE57" s="60">
        <f ca="1">AVERAGE(OFFSET($GD$3,0,0,'Données projet'!$E$17+1,1))-AVERAGE(OFFSET($H$3,0,0,'Données projet'!$E$17+1,1))</f>
        <v>542.90832990875208</v>
      </c>
      <c r="GF57" s="60">
        <f t="shared" si="50"/>
        <v>304.94365539329362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232.5</v>
      </c>
      <c r="L58" s="13">
        <f>VLOOKUP(A58,'Données projet'!$A$35:$I$55,9,0)</f>
        <v>6.119999999999993</v>
      </c>
      <c r="M58" s="13">
        <f t="array" ref="M58">INDEX(L:L,MIN(IF(ISNUMBER(L58:L254),ROW(L58:L254),"")))</f>
        <v>6.119999999999993</v>
      </c>
      <c r="N58" s="14">
        <f>IF('Données projet'!$A$36&gt;35,N57+M58-V57,IF(A58&lt;'Données projet'!$A$36,$K$205^A58,IF(A58='Données projet'!$A$36,'Données projet'!$B$36,N57+M58-V57)))</f>
        <v>232.50000000000011</v>
      </c>
      <c r="O58" s="14">
        <f>N58*VLOOKUP('Données projet'!$B$9,Paramètres!$A$1:$I$89,3,0)*VLOOKUP('Données projet'!$B$9,Paramètres!$A$1:$I$89,5,0)</f>
        <v>184.97700000000009</v>
      </c>
      <c r="P58" s="14">
        <f t="shared" si="33"/>
        <v>46.427713156194159</v>
      </c>
      <c r="Q58" s="22">
        <f t="shared" si="53"/>
        <v>403.02987541370499</v>
      </c>
      <c r="R58" s="60">
        <f t="shared" si="0"/>
        <v>661.35233089417636</v>
      </c>
      <c r="S58" s="60">
        <f ca="1">AVERAGE(OFFSET($R$3,0,0,'Données projet'!$E$9+1,1))-AVERAGE(OFFSET($H$3,0,0,'Données projet'!$E$9+1,1))</f>
        <v>336.25341821407534</v>
      </c>
      <c r="T58" s="60">
        <f t="shared" si="34"/>
        <v>360.3246221345039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692.77942846313374</v>
      </c>
      <c r="AN58" s="60">
        <f ca="1">AVERAGE(OFFSET($AM$3,0,0,'Données projet'!$E$10+1,1))-AVERAGE(OFFSET($H$3,0,0,'Données projet'!$E$10+1,1))</f>
        <v>516.30971934066179</v>
      </c>
      <c r="AO58" s="60">
        <f t="shared" si="36"/>
        <v>290.84286505723571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0">
        <f t="shared" si="8"/>
        <v>661.35233089417636</v>
      </c>
      <c r="BI58" s="60">
        <f ca="1">AVERAGE(OFFSET($BH$3,0,0,'Données projet'!$E$11+1,1))-AVERAGE(OFFSET($H$3,0,0,'Données projet'!$E$11+1,1))</f>
        <v>336.25341821407534</v>
      </c>
      <c r="BJ58" s="60">
        <f t="shared" si="38"/>
        <v>360.3246221345039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175.64102564102564</v>
      </c>
      <c r="BW58" s="13">
        <f>VLOOKUP(A58,'Données projet'!$A$113:$I$133,9,0)</f>
        <v>5.2564102564102599</v>
      </c>
      <c r="BX58" s="13">
        <f t="array" ref="BX58">INDEX(BW:BW,MIN(IF(ISNUMBER(BW58:BW254),ROW(BW58:BW254),"")))</f>
        <v>5.2564102564102599</v>
      </c>
      <c r="BY58" s="13">
        <f>IF('Données projet'!$A$114&gt;35,BY57+BX58-CG57,IF(A58&lt;'Données projet'!$A$114,$BV$205^A58,IF(A58='Données projet'!$A$114,'Données projet'!$B$114,BY57+BX58-CG57)))</f>
        <v>175.64102564102561</v>
      </c>
      <c r="BZ58" s="14">
        <f>BY58*VLOOKUP('Données projet'!$B$12,Paramètres!$A$1:$I$89,3,0)*VLOOKUP('Données projet'!$B$12,Paramètres!$A$1:$I$89,5,0)</f>
        <v>167.14</v>
      </c>
      <c r="CA58" s="14">
        <f t="shared" si="39"/>
        <v>42.448847586931429</v>
      </c>
      <c r="CB58" s="22">
        <f t="shared" si="10"/>
        <v>365.03390954723886</v>
      </c>
      <c r="CC58" s="60">
        <f t="shared" si="11"/>
        <v>623.35636502771024</v>
      </c>
      <c r="CD58" s="60">
        <f ca="1">AVERAGE(OFFSET($CC$3,0,0,'Données projet'!$E$12+1,1))-AVERAGE(OFFSET($H$3,0,0,'Données projet'!$E$12+1,1))</f>
        <v>398.29746143975166</v>
      </c>
      <c r="CE58" s="60">
        <f t="shared" si="40"/>
        <v>300.63705521148802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190.5384</v>
      </c>
      <c r="CV58" s="14">
        <f t="shared" si="41"/>
        <v>47.658965836673829</v>
      </c>
      <c r="CW58" s="22">
        <f t="shared" si="13"/>
        <v>414.86041216554025</v>
      </c>
      <c r="CX58" s="60">
        <f t="shared" si="14"/>
        <v>673.18286764601157</v>
      </c>
      <c r="CY58" s="60">
        <f ca="1">AVERAGE(OFFSET($CX$3,0,0,'Données projet'!$E$13+1,1))-AVERAGE(OFFSET($H$3,0,0,'Données projet'!$E$13+1,1))</f>
        <v>496.33873798282525</v>
      </c>
      <c r="CZ58" s="60">
        <f t="shared" si="42"/>
        <v>280.25465074992246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250.12499999999994</v>
      </c>
      <c r="DP58" s="18">
        <f>DO58*VLOOKUP('Données projet'!$B$14,Paramètres!$A$1:$I$89,3,0)*VLOOKUP('Données projet'!$B$14,Paramètres!$A$1:$I$89,5,0)</f>
        <v>195.09749999999997</v>
      </c>
      <c r="DQ58" s="14">
        <f t="shared" si="43"/>
        <v>48.66519532492584</v>
      </c>
      <c r="DR58" s="22">
        <f t="shared" si="16"/>
        <v>424.55336102424576</v>
      </c>
      <c r="DS58" s="60">
        <f t="shared" si="17"/>
        <v>682.87581650471714</v>
      </c>
      <c r="DT58" s="60">
        <f ca="1">AVERAGE(OFFSET($DS$3,0,0,'Données projet'!$E$14+1,1))-AVERAGE(OFFSET($H$3,0,0,'Données projet'!$E$14+1,1))</f>
        <v>312.59632808777332</v>
      </c>
      <c r="DU58" s="60">
        <f t="shared" si="44"/>
        <v>302.59481222418219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217.94871794871793</v>
      </c>
      <c r="EH58" s="13">
        <f>VLOOKUP(A58,'Données projet'!$A$191:$I$211,9,0)</f>
        <v>5.7692307692307683</v>
      </c>
      <c r="EI58" s="13">
        <f t="array" ref="EI58">INDEX(EH:EH,MIN(IF(ISNUMBER(EH58:EH254),ROW(EH58:EH254),"")))</f>
        <v>5.7692307692307683</v>
      </c>
      <c r="EJ58" s="13">
        <f>IF('Données projet'!$A$192&gt;35,EJ57+EI58-ER57,IF(A58&lt;'Données projet'!$A$192,$EG$205^A58,IF(A58='Données projet'!$A$192,'Données projet'!$B$192,EJ57+EI58-ER57)))</f>
        <v>217.94871794871796</v>
      </c>
      <c r="EK58" s="18">
        <f>EJ58*VLOOKUP('Données projet'!$B$15,Paramètres!$A$1:$I$89,3,0)*VLOOKUP('Données projet'!$B$15,Paramètres!$A$1:$I$89,5,0)</f>
        <v>146.19999999999999</v>
      </c>
      <c r="EL58" s="14">
        <f t="shared" si="45"/>
        <v>37.713736580072478</v>
      </c>
      <c r="EM58" s="22">
        <f t="shared" si="19"/>
        <v>320.31642454362617</v>
      </c>
      <c r="EN58" s="60">
        <f t="shared" si="20"/>
        <v>578.63888002409749</v>
      </c>
      <c r="EO58" s="60">
        <f ca="1">AVERAGE(OFFSET($EN$3,0,0,'Données projet'!$E$15+1,1))-AVERAGE(OFFSET($H$3,0,0,'Données projet'!$E$15+1,1))</f>
        <v>344.62096650402731</v>
      </c>
      <c r="EP58" s="60">
        <f t="shared" si="46"/>
        <v>277.30931495079346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232.5</v>
      </c>
      <c r="FC58" s="13">
        <f>VLOOKUP(A58,'Données projet'!$A$217:$I$237,9,0)</f>
        <v>6.119999999999993</v>
      </c>
      <c r="FD58" s="13">
        <f t="array" ref="FD58">INDEX(FC:FC,MIN(IF(ISNUMBER(FC58:FC254),ROW(FC58:FC254),"")))</f>
        <v>6.119999999999993</v>
      </c>
      <c r="FE58" s="13">
        <f>IF('Données projet'!$A$218&gt;35,FE57+FD58-FM57,IF(A58&lt;'Données projet'!$A$218,$FB$205^A58,IF(A58='Données projet'!$A$218,'Données projet'!$B$218,FE57+FD58-FM57)))</f>
        <v>232.50000000000011</v>
      </c>
      <c r="FF58" s="18">
        <f>FE58*VLOOKUP('Données projet'!$B$16,Paramètres!$A$1:$I$89,3,0)*VLOOKUP('Données projet'!$B$16,Paramètres!$A$1:$I$89,5,0)</f>
        <v>203.11200000000011</v>
      </c>
      <c r="FG58" s="14">
        <f t="shared" si="47"/>
        <v>50.427475336015824</v>
      </c>
      <c r="FH58" s="22">
        <f t="shared" si="22"/>
        <v>441.58125287689433</v>
      </c>
      <c r="FI58" s="60">
        <f t="shared" si="23"/>
        <v>699.90370835736576</v>
      </c>
      <c r="FJ58" s="60">
        <f ca="1">AVERAGE(OFFSET($FI$3,0,0,'Données projet'!$E$16+1,1))-AVERAGE(OFFSET($H$3,0,0,'Données projet'!$E$16+1,1))</f>
        <v>363.28611056308665</v>
      </c>
      <c r="FK58" s="60">
        <f t="shared" si="48"/>
        <v>389.43647559455974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197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197</v>
      </c>
      <c r="GA58" s="18">
        <f>FZ58*VLOOKUP('Données projet'!$B$17,Paramètres!$A$1:$I$89,3,0)*VLOOKUP('Données projet'!$B$17,Paramètres!$A$1:$I$89,5,0)</f>
        <v>212.05079999999998</v>
      </c>
      <c r="GB58" s="14">
        <f t="shared" si="49"/>
        <v>52.383483303212302</v>
      </c>
      <c r="GC58" s="22">
        <f t="shared" si="25"/>
        <v>460.55637675309475</v>
      </c>
      <c r="GD58" s="60">
        <f t="shared" si="26"/>
        <v>718.87883223356607</v>
      </c>
      <c r="GE58" s="60">
        <f ca="1">AVERAGE(OFFSET($GD$3,0,0,'Données projet'!$E$17+1,1))-AVERAGE(OFFSET($H$3,0,0,'Données projet'!$E$17+1,1))</f>
        <v>542.90832990875208</v>
      </c>
      <c r="GF58" s="60">
        <f t="shared" si="50"/>
        <v>304.94365539329362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5.1600000000000019</v>
      </c>
      <c r="N59" s="14">
        <f>IF('Données projet'!$A$36&gt;35,N58+M59-V58,IF(A59&lt;'Données projet'!$A$36,$K$205^A59,IF(A59='Données projet'!$A$36,'Données projet'!$B$36,N58+M59-V58)))</f>
        <v>237.66000000000011</v>
      </c>
      <c r="O59" s="14">
        <f>N59*VLOOKUP('Données projet'!$B$9,Paramètres!$A$1:$I$89,3,0)*VLOOKUP('Données projet'!$B$9,Paramètres!$A$1:$I$89,5,0)</f>
        <v>189.0822960000001</v>
      </c>
      <c r="P59" s="14">
        <f t="shared" si="33"/>
        <v>47.337004389591748</v>
      </c>
      <c r="Q59" s="22">
        <f t="shared" si="53"/>
        <v>411.76361484520572</v>
      </c>
      <c r="R59" s="60">
        <f t="shared" si="0"/>
        <v>670.69343078382747</v>
      </c>
      <c r="S59" s="60">
        <f ca="1">AVERAGE(OFFSET($R$3,0,0,'Données projet'!$E$9+1,1))-AVERAGE(OFFSET($H$3,0,0,'Données projet'!$E$9+1,1))</f>
        <v>336.25341821407534</v>
      </c>
      <c r="T59" s="60">
        <f t="shared" si="34"/>
        <v>360.3246221345039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709.7523988829879</v>
      </c>
      <c r="AN59" s="60">
        <f ca="1">AVERAGE(OFFSET($AM$3,0,0,'Données projet'!$E$10+1,1))-AVERAGE(OFFSET($H$3,0,0,'Données projet'!$E$10+1,1))</f>
        <v>516.30971934066179</v>
      </c>
      <c r="AO59" s="60">
        <f t="shared" si="36"/>
        <v>290.84286505723571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0">
        <f t="shared" si="8"/>
        <v>670.69343078382747</v>
      </c>
      <c r="BI59" s="60">
        <f ca="1">AVERAGE(OFFSET($BH$3,0,0,'Données projet'!$E$11+1,1))-AVERAGE(OFFSET($H$3,0,0,'Données projet'!$E$11+1,1))</f>
        <v>336.25341821407534</v>
      </c>
      <c r="BJ59" s="60">
        <f t="shared" si="38"/>
        <v>360.3246221345039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4.8717948717948731</v>
      </c>
      <c r="BY59" s="13">
        <f>IF('Données projet'!$A$114&gt;35,BY58+BX59-CG58,IF(A59&lt;'Données projet'!$A$114,$BV$205^A59,IF(A59='Données projet'!$A$114,'Données projet'!$B$114,BY58+BX59-CG58)))</f>
        <v>180.51282051282047</v>
      </c>
      <c r="BZ59" s="14">
        <f>BY59*VLOOKUP('Données projet'!$B$12,Paramètres!$A$1:$I$89,3,0)*VLOOKUP('Données projet'!$B$12,Paramètres!$A$1:$I$89,5,0)</f>
        <v>171.77599999999995</v>
      </c>
      <c r="CA59" s="14">
        <f t="shared" si="39"/>
        <v>43.48754759203468</v>
      </c>
      <c r="CB59" s="22">
        <f t="shared" si="10"/>
        <v>374.91734538946031</v>
      </c>
      <c r="CC59" s="60">
        <f t="shared" si="11"/>
        <v>633.84716132808205</v>
      </c>
      <c r="CD59" s="60">
        <f ca="1">AVERAGE(OFFSET($CC$3,0,0,'Données projet'!$E$12+1,1))-AVERAGE(OFFSET($H$3,0,0,'Données projet'!$E$12+1,1))</f>
        <v>398.29746143975166</v>
      </c>
      <c r="CE59" s="60">
        <f t="shared" si="40"/>
        <v>300.63705521148802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197.88911999999999</v>
      </c>
      <c r="CV59" s="14">
        <f t="shared" si="41"/>
        <v>49.279974103179534</v>
      </c>
      <c r="CW59" s="22">
        <f t="shared" si="13"/>
        <v>430.48617222970438</v>
      </c>
      <c r="CX59" s="60">
        <f t="shared" si="14"/>
        <v>689.41598816832607</v>
      </c>
      <c r="CY59" s="60">
        <f ca="1">AVERAGE(OFFSET($CX$3,0,0,'Données projet'!$E$13+1,1))-AVERAGE(OFFSET($H$3,0,0,'Données projet'!$E$13+1,1))</f>
        <v>496.33873798282525</v>
      </c>
      <c r="CZ59" s="60">
        <f t="shared" si="42"/>
        <v>280.25465074992246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259.49999999999994</v>
      </c>
      <c r="DP59" s="18">
        <f>DO59*VLOOKUP('Données projet'!$B$14,Paramètres!$A$1:$I$89,3,0)*VLOOKUP('Données projet'!$B$14,Paramètres!$A$1:$I$89,5,0)</f>
        <v>202.40999999999997</v>
      </c>
      <c r="DQ59" s="14">
        <f t="shared" si="43"/>
        <v>50.273442991661867</v>
      </c>
      <c r="DR59" s="22">
        <f t="shared" si="16"/>
        <v>440.09032987714431</v>
      </c>
      <c r="DS59" s="60">
        <f t="shared" si="17"/>
        <v>699.020145815766</v>
      </c>
      <c r="DT59" s="60">
        <f ca="1">AVERAGE(OFFSET($DS$3,0,0,'Données projet'!$E$14+1,1))-AVERAGE(OFFSET($H$3,0,0,'Données projet'!$E$14+1,1))</f>
        <v>312.59632808777332</v>
      </c>
      <c r="DU59" s="60">
        <f t="shared" si="44"/>
        <v>302.59481222418219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5.3846153846153868</v>
      </c>
      <c r="EJ59" s="13">
        <f>IF('Données projet'!$A$192&gt;35,EJ58+EI59-ER58,IF(A59&lt;'Données projet'!$A$192,$EG$205^A59,IF(A59='Données projet'!$A$192,'Données projet'!$B$192,EJ58+EI59-ER58)))</f>
        <v>223.33333333333334</v>
      </c>
      <c r="EK59" s="18">
        <f>EJ59*VLOOKUP('Données projet'!$B$15,Paramètres!$A$1:$I$89,3,0)*VLOOKUP('Données projet'!$B$15,Paramètres!$A$1:$I$89,5,0)</f>
        <v>149.81200000000001</v>
      </c>
      <c r="EL59" s="14">
        <f t="shared" si="45"/>
        <v>38.535858828351053</v>
      </c>
      <c r="EM59" s="22">
        <f t="shared" si="19"/>
        <v>328.03918745937807</v>
      </c>
      <c r="EN59" s="60">
        <f t="shared" si="20"/>
        <v>586.96900339799981</v>
      </c>
      <c r="EO59" s="60">
        <f ca="1">AVERAGE(OFFSET($EN$3,0,0,'Données projet'!$E$15+1,1))-AVERAGE(OFFSET($H$3,0,0,'Données projet'!$E$15+1,1))</f>
        <v>344.62096650402731</v>
      </c>
      <c r="EP59" s="60">
        <f t="shared" si="46"/>
        <v>277.30931495079346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5.1600000000000019</v>
      </c>
      <c r="FE59" s="13">
        <f>IF('Données projet'!$A$218&gt;35,FE58+FD59-FM58,IF(A59&lt;'Données projet'!$A$218,$FB$205^A59,IF(A59='Données projet'!$A$218,'Données projet'!$B$218,FE58+FD59-FM58)))</f>
        <v>237.66000000000011</v>
      </c>
      <c r="FF59" s="18">
        <f>FE59*VLOOKUP('Données projet'!$B$16,Paramètres!$A$1:$I$89,3,0)*VLOOKUP('Données projet'!$B$16,Paramètres!$A$1:$I$89,5,0)</f>
        <v>207.61977600000012</v>
      </c>
      <c r="FG59" s="14">
        <f t="shared" si="47"/>
        <v>51.415102296903406</v>
      </c>
      <c r="FH59" s="22">
        <f t="shared" si="22"/>
        <v>451.1524130337736</v>
      </c>
      <c r="FI59" s="60">
        <f t="shared" si="23"/>
        <v>710.08222897239534</v>
      </c>
      <c r="FJ59" s="60">
        <f ca="1">AVERAGE(OFFSET($FI$3,0,0,'Données projet'!$E$16+1,1))-AVERAGE(OFFSET($H$3,0,0,'Données projet'!$E$16+1,1))</f>
        <v>363.28611056308665</v>
      </c>
      <c r="FK59" s="60">
        <f t="shared" si="48"/>
        <v>389.43647559455974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204.6</v>
      </c>
      <c r="GA59" s="18">
        <f>FZ59*VLOOKUP('Données projet'!$B$17,Paramètres!$A$1:$I$89,3,0)*VLOOKUP('Données projet'!$B$17,Paramètres!$A$1:$I$89,5,0)</f>
        <v>220.23143999999996</v>
      </c>
      <c r="GB59" s="14">
        <f t="shared" si="49"/>
        <v>54.165184982469711</v>
      </c>
      <c r="GC59" s="22">
        <f t="shared" si="25"/>
        <v>477.9074551778013</v>
      </c>
      <c r="GD59" s="60">
        <f t="shared" si="26"/>
        <v>736.83727111642304</v>
      </c>
      <c r="GE59" s="60">
        <f ca="1">AVERAGE(OFFSET($GD$3,0,0,'Données projet'!$E$17+1,1))-AVERAGE(OFFSET($H$3,0,0,'Données projet'!$E$17+1,1))</f>
        <v>542.90832990875208</v>
      </c>
      <c r="GF59" s="60">
        <f t="shared" si="50"/>
        <v>304.94365539329362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5.1600000000000019</v>
      </c>
      <c r="N60" s="14">
        <f>IF('Données projet'!$A$36&gt;35,N59+M60-V59,IF(A60&lt;'Données projet'!$A$36,$K$205^A60,IF(A60='Données projet'!$A$36,'Données projet'!$B$36,N59+M60-V59)))</f>
        <v>242.82000000000011</v>
      </c>
      <c r="O60" s="14">
        <f>N60*VLOOKUP('Données projet'!$B$9,Paramètres!$A$1:$I$89,3,0)*VLOOKUP('Données projet'!$B$9,Paramètres!$A$1:$I$89,5,0)</f>
        <v>193.18759200000011</v>
      </c>
      <c r="P60" s="14">
        <f t="shared" si="33"/>
        <v>48.244000336014693</v>
      </c>
      <c r="Q60" s="22">
        <f t="shared" si="53"/>
        <v>420.49335665189238</v>
      </c>
      <c r="R60" s="60">
        <f t="shared" si="0"/>
        <v>680.0199967025701</v>
      </c>
      <c r="S60" s="60">
        <f ca="1">AVERAGE(OFFSET($R$3,0,0,'Données projet'!$E$9+1,1))-AVERAGE(OFFSET($H$3,0,0,'Données projet'!$E$9+1,1))</f>
        <v>336.25341821407534</v>
      </c>
      <c r="T60" s="60">
        <f t="shared" si="34"/>
        <v>360.3246221345039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726.70212981597956</v>
      </c>
      <c r="AN60" s="60">
        <f ca="1">AVERAGE(OFFSET($AM$3,0,0,'Données projet'!$E$10+1,1))-AVERAGE(OFFSET($H$3,0,0,'Données projet'!$E$10+1,1))</f>
        <v>516.30971934066179</v>
      </c>
      <c r="AO60" s="60">
        <f t="shared" si="36"/>
        <v>290.84286505723571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0">
        <f t="shared" si="8"/>
        <v>680.0199967025701</v>
      </c>
      <c r="BI60" s="60">
        <f ca="1">AVERAGE(OFFSET($BH$3,0,0,'Données projet'!$E$11+1,1))-AVERAGE(OFFSET($H$3,0,0,'Données projet'!$E$11+1,1))</f>
        <v>336.25341821407534</v>
      </c>
      <c r="BJ60" s="60">
        <f t="shared" si="38"/>
        <v>360.3246221345039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4.8717948717948731</v>
      </c>
      <c r="BY60" s="13">
        <f>IF('Données projet'!$A$114&gt;35,BY59+BX60-CG59,IF(A60&lt;'Données projet'!$A$114,$BV$205^A60,IF(A60='Données projet'!$A$114,'Données projet'!$B$114,BY59+BX60-CG59)))</f>
        <v>185.38461538461533</v>
      </c>
      <c r="BZ60" s="14">
        <f>BY60*VLOOKUP('Données projet'!$B$12,Paramètres!$A$1:$I$89,3,0)*VLOOKUP('Données projet'!$B$12,Paramètres!$A$1:$I$89,5,0)</f>
        <v>176.41199999999995</v>
      </c>
      <c r="CA60" s="14">
        <f t="shared" si="39"/>
        <v>44.522989246723967</v>
      </c>
      <c r="CB60" s="22">
        <f t="shared" si="10"/>
        <v>384.79510627137751</v>
      </c>
      <c r="CC60" s="60">
        <f t="shared" si="11"/>
        <v>644.32174632205522</v>
      </c>
      <c r="CD60" s="60">
        <f ca="1">AVERAGE(OFFSET($CC$3,0,0,'Données projet'!$E$12+1,1))-AVERAGE(OFFSET($H$3,0,0,'Données projet'!$E$12+1,1))</f>
        <v>398.29746143975166</v>
      </c>
      <c r="CE60" s="60">
        <f t="shared" si="40"/>
        <v>300.63705521148802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205.23983999999999</v>
      </c>
      <c r="CV60" s="14">
        <f t="shared" si="41"/>
        <v>50.893986960458122</v>
      </c>
      <c r="CW60" s="22">
        <f t="shared" si="13"/>
        <v>446.0997486227979</v>
      </c>
      <c r="CX60" s="60">
        <f t="shared" si="14"/>
        <v>705.62638867347562</v>
      </c>
      <c r="CY60" s="60">
        <f ca="1">AVERAGE(OFFSET($CX$3,0,0,'Données projet'!$E$13+1,1))-AVERAGE(OFFSET($H$3,0,0,'Données projet'!$E$13+1,1))</f>
        <v>496.33873798282525</v>
      </c>
      <c r="CZ60" s="60">
        <f t="shared" si="42"/>
        <v>280.25465074992246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268.87499999999994</v>
      </c>
      <c r="DP60" s="18">
        <f>DO60*VLOOKUP('Données projet'!$B$14,Paramètres!$A$1:$I$89,3,0)*VLOOKUP('Données projet'!$B$14,Paramètres!$A$1:$I$89,5,0)</f>
        <v>209.72249999999997</v>
      </c>
      <c r="DQ60" s="14">
        <f t="shared" si="43"/>
        <v>51.874940300502296</v>
      </c>
      <c r="DR60" s="22">
        <f t="shared" si="16"/>
        <v>455.61554185670815</v>
      </c>
      <c r="DS60" s="60">
        <f t="shared" si="17"/>
        <v>715.14218190738586</v>
      </c>
      <c r="DT60" s="60">
        <f ca="1">AVERAGE(OFFSET($DS$3,0,0,'Données projet'!$E$14+1,1))-AVERAGE(OFFSET($H$3,0,0,'Données projet'!$E$14+1,1))</f>
        <v>312.59632808777332</v>
      </c>
      <c r="DU60" s="60">
        <f t="shared" si="44"/>
        <v>302.59481222418219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5.3846153846153868</v>
      </c>
      <c r="EJ60" s="13">
        <f>IF('Données projet'!$A$192&gt;35,EJ59+EI60-ER59,IF(A60&lt;'Données projet'!$A$192,$EG$205^A60,IF(A60='Données projet'!$A$192,'Données projet'!$B$192,EJ59+EI60-ER59)))</f>
        <v>228.71794871794873</v>
      </c>
      <c r="EK60" s="18">
        <f>EJ60*VLOOKUP('Données projet'!$B$15,Paramètres!$A$1:$I$89,3,0)*VLOOKUP('Données projet'!$B$15,Paramètres!$A$1:$I$89,5,0)</f>
        <v>153.42400000000001</v>
      </c>
      <c r="EL60" s="14">
        <f t="shared" si="45"/>
        <v>39.355676847161391</v>
      </c>
      <c r="EM60" s="22">
        <f t="shared" si="19"/>
        <v>335.75793717547276</v>
      </c>
      <c r="EN60" s="60">
        <f t="shared" si="20"/>
        <v>595.28457722615053</v>
      </c>
      <c r="EO60" s="60">
        <f ca="1">AVERAGE(OFFSET($EN$3,0,0,'Données projet'!$E$15+1,1))-AVERAGE(OFFSET($H$3,0,0,'Données projet'!$E$15+1,1))</f>
        <v>344.62096650402731</v>
      </c>
      <c r="EP60" s="60">
        <f t="shared" si="46"/>
        <v>277.30931495079346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5.1600000000000019</v>
      </c>
      <c r="FE60" s="13">
        <f>IF('Données projet'!$A$218&gt;35,FE59+FD60-FM59,IF(A60&lt;'Données projet'!$A$218,$FB$205^A60,IF(A60='Données projet'!$A$218,'Données projet'!$B$218,FE59+FD60-FM59)))</f>
        <v>242.82000000000011</v>
      </c>
      <c r="FF60" s="18">
        <f>FE60*VLOOKUP('Données projet'!$B$16,Paramètres!$A$1:$I$89,3,0)*VLOOKUP('Données projet'!$B$16,Paramètres!$A$1:$I$89,5,0)</f>
        <v>212.12755200000012</v>
      </c>
      <c r="FG60" s="14">
        <f t="shared" si="47"/>
        <v>52.400236231117169</v>
      </c>
      <c r="FH60" s="22">
        <f t="shared" si="22"/>
        <v>460.71923116919589</v>
      </c>
      <c r="FI60" s="60">
        <f t="shared" si="23"/>
        <v>720.24587121987361</v>
      </c>
      <c r="FJ60" s="60">
        <f ca="1">AVERAGE(OFFSET($FI$3,0,0,'Données projet'!$E$16+1,1))-AVERAGE(OFFSET($H$3,0,0,'Données projet'!$E$16+1,1))</f>
        <v>363.28611056308665</v>
      </c>
      <c r="FK60" s="60">
        <f t="shared" si="48"/>
        <v>389.43647559455974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212.2</v>
      </c>
      <c r="GA60" s="18">
        <f>FZ60*VLOOKUP('Données projet'!$B$17,Paramètres!$A$1:$I$89,3,0)*VLOOKUP('Données projet'!$B$17,Paramètres!$A$1:$I$89,5,0)</f>
        <v>228.41207999999997</v>
      </c>
      <c r="GB60" s="14">
        <f t="shared" si="49"/>
        <v>55.939197785226767</v>
      </c>
      <c r="GC60" s="22">
        <f t="shared" si="25"/>
        <v>495.24514214260324</v>
      </c>
      <c r="GD60" s="60">
        <f t="shared" si="26"/>
        <v>754.77178219328096</v>
      </c>
      <c r="GE60" s="60">
        <f ca="1">AVERAGE(OFFSET($GD$3,0,0,'Données projet'!$E$17+1,1))-AVERAGE(OFFSET($H$3,0,0,'Données projet'!$E$17+1,1))</f>
        <v>542.90832990875208</v>
      </c>
      <c r="GF60" s="60">
        <f t="shared" si="50"/>
        <v>304.94365539329362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5.1600000000000019</v>
      </c>
      <c r="N61" s="14">
        <f>IF('Données projet'!$A$36&gt;35,N60+M61-V60,IF(A61&lt;'Données projet'!$A$36,$K$205^A61,IF(A61='Données projet'!$A$36,'Données projet'!$B$36,N60+M61-V60)))</f>
        <v>247.9800000000001</v>
      </c>
      <c r="O61" s="14">
        <f>N61*VLOOKUP('Données projet'!$B$9,Paramètres!$A$1:$I$89,3,0)*VLOOKUP('Données projet'!$B$9,Paramètres!$A$1:$I$89,5,0)</f>
        <v>197.29288800000009</v>
      </c>
      <c r="P61" s="14">
        <f t="shared" si="33"/>
        <v>49.148755389471887</v>
      </c>
      <c r="Q61" s="22">
        <f t="shared" si="53"/>
        <v>429.219195569997</v>
      </c>
      <c r="R61" s="60">
        <f t="shared" si="0"/>
        <v>689.33230616868536</v>
      </c>
      <c r="S61" s="60">
        <f ca="1">AVERAGE(OFFSET($R$3,0,0,'Données projet'!$E$9+1,1))-AVERAGE(OFFSET($H$3,0,0,'Données projet'!$E$9+1,1))</f>
        <v>336.25341821407534</v>
      </c>
      <c r="T61" s="60">
        <f t="shared" si="34"/>
        <v>360.3246221345039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743.62931113183822</v>
      </c>
      <c r="AN61" s="60">
        <f ca="1">AVERAGE(OFFSET($AM$3,0,0,'Données projet'!$E$10+1,1))-AVERAGE(OFFSET($H$3,0,0,'Données projet'!$E$10+1,1))</f>
        <v>516.30971934066179</v>
      </c>
      <c r="AO61" s="60">
        <f t="shared" si="36"/>
        <v>290.84286505723571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0">
        <f t="shared" si="8"/>
        <v>689.33230616868536</v>
      </c>
      <c r="BI61" s="60">
        <f ca="1">AVERAGE(OFFSET($BH$3,0,0,'Données projet'!$E$11+1,1))-AVERAGE(OFFSET($H$3,0,0,'Données projet'!$E$11+1,1))</f>
        <v>336.25341821407534</v>
      </c>
      <c r="BJ61" s="60">
        <f t="shared" si="38"/>
        <v>360.3246221345039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4.8717948717948731</v>
      </c>
      <c r="BY61" s="13">
        <f>IF('Données projet'!$A$114&gt;35,BY60+BX61-CG60,IF(A61&lt;'Données projet'!$A$114,$BV$205^A61,IF(A61='Données projet'!$A$114,'Données projet'!$B$114,BY60+BX61-CG60)))</f>
        <v>190.25641025641019</v>
      </c>
      <c r="BZ61" s="14">
        <f>BY61*VLOOKUP('Données projet'!$B$12,Paramètres!$A$1:$I$89,3,0)*VLOOKUP('Données projet'!$B$12,Paramètres!$A$1:$I$89,5,0)</f>
        <v>181.04799999999994</v>
      </c>
      <c r="CA61" s="14">
        <f t="shared" si="39"/>
        <v>45.555268021687233</v>
      </c>
      <c r="CB61" s="22">
        <f t="shared" si="10"/>
        <v>394.66735847110516</v>
      </c>
      <c r="CC61" s="60">
        <f t="shared" si="11"/>
        <v>654.78046906979353</v>
      </c>
      <c r="CD61" s="60">
        <f ca="1">AVERAGE(OFFSET($CC$3,0,0,'Données projet'!$E$12+1,1))-AVERAGE(OFFSET($H$3,0,0,'Données projet'!$E$12+1,1))</f>
        <v>398.29746143975166</v>
      </c>
      <c r="CE61" s="60">
        <f t="shared" si="40"/>
        <v>300.63705521148802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212.59055999999998</v>
      </c>
      <c r="CV61" s="14">
        <f t="shared" si="41"/>
        <v>52.501283653296404</v>
      </c>
      <c r="CW61" s="22">
        <f t="shared" si="13"/>
        <v>461.70162769615786</v>
      </c>
      <c r="CX61" s="60">
        <f t="shared" si="14"/>
        <v>721.81473829484628</v>
      </c>
      <c r="CY61" s="60">
        <f ca="1">AVERAGE(OFFSET($CX$3,0,0,'Données projet'!$E$13+1,1))-AVERAGE(OFFSET($H$3,0,0,'Données projet'!$E$13+1,1))</f>
        <v>496.33873798282525</v>
      </c>
      <c r="CZ61" s="60">
        <f t="shared" si="42"/>
        <v>280.25465074992246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278.24999999999994</v>
      </c>
      <c r="DP61" s="18">
        <f>DO61*VLOOKUP('Données projet'!$B$14,Paramètres!$A$1:$I$89,3,0)*VLOOKUP('Données projet'!$B$14,Paramètres!$A$1:$I$89,5,0)</f>
        <v>217.03499999999997</v>
      </c>
      <c r="DQ61" s="14">
        <f t="shared" si="43"/>
        <v>53.469949591969474</v>
      </c>
      <c r="DR61" s="22">
        <f t="shared" si="16"/>
        <v>471.12945387268002</v>
      </c>
      <c r="DS61" s="60">
        <f t="shared" si="17"/>
        <v>731.2425644713685</v>
      </c>
      <c r="DT61" s="60">
        <f ca="1">AVERAGE(OFFSET($DS$3,0,0,'Données projet'!$E$14+1,1))-AVERAGE(OFFSET($H$3,0,0,'Données projet'!$E$14+1,1))</f>
        <v>312.59632808777332</v>
      </c>
      <c r="DU61" s="60">
        <f t="shared" si="44"/>
        <v>302.59481222418219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5.3846153846153868</v>
      </c>
      <c r="EJ61" s="13">
        <f>IF('Données projet'!$A$192&gt;35,EJ60+EI61-ER60,IF(A61&lt;'Données projet'!$A$192,$EG$205^A61,IF(A61='Données projet'!$A$192,'Données projet'!$B$192,EJ60+EI61-ER60)))</f>
        <v>234.10256410256412</v>
      </c>
      <c r="EK61" s="18">
        <f>EJ61*VLOOKUP('Données projet'!$B$15,Paramètres!$A$1:$I$89,3,0)*VLOOKUP('Données projet'!$B$15,Paramètres!$A$1:$I$89,5,0)</f>
        <v>157.036</v>
      </c>
      <c r="EL61" s="14">
        <f t="shared" si="45"/>
        <v>40.17325112686504</v>
      </c>
      <c r="EM61" s="22">
        <f t="shared" si="19"/>
        <v>343.47277904595654</v>
      </c>
      <c r="EN61" s="60">
        <f t="shared" si="20"/>
        <v>603.58588964464502</v>
      </c>
      <c r="EO61" s="60">
        <f ca="1">AVERAGE(OFFSET($EN$3,0,0,'Données projet'!$E$15+1,1))-AVERAGE(OFFSET($H$3,0,0,'Données projet'!$E$15+1,1))</f>
        <v>344.62096650402731</v>
      </c>
      <c r="EP61" s="60">
        <f t="shared" si="46"/>
        <v>277.30931495079346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5.1600000000000019</v>
      </c>
      <c r="FE61" s="13">
        <f>IF('Données projet'!$A$218&gt;35,FE60+FD61-FM60,IF(A61&lt;'Données projet'!$A$218,$FB$205^A61,IF(A61='Données projet'!$A$218,'Données projet'!$B$218,FE60+FD61-FM60)))</f>
        <v>247.9800000000001</v>
      </c>
      <c r="FF61" s="18">
        <f>FE61*VLOOKUP('Données projet'!$B$16,Paramètres!$A$1:$I$89,3,0)*VLOOKUP('Données projet'!$B$16,Paramètres!$A$1:$I$89,5,0)</f>
        <v>216.63532800000013</v>
      </c>
      <c r="FG61" s="14">
        <f t="shared" si="47"/>
        <v>53.382936218727075</v>
      </c>
      <c r="FH61" s="22">
        <f t="shared" si="22"/>
        <v>470.28181018094989</v>
      </c>
      <c r="FI61" s="60">
        <f t="shared" si="23"/>
        <v>730.39492077963837</v>
      </c>
      <c r="FJ61" s="60">
        <f ca="1">AVERAGE(OFFSET($FI$3,0,0,'Données projet'!$E$16+1,1))-AVERAGE(OFFSET($H$3,0,0,'Données projet'!$E$16+1,1))</f>
        <v>363.28611056308665</v>
      </c>
      <c r="FK61" s="60">
        <f t="shared" si="48"/>
        <v>389.43647559455974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219.79999999999998</v>
      </c>
      <c r="GA61" s="18">
        <f>FZ61*VLOOKUP('Données projet'!$B$17,Paramètres!$A$1:$I$89,3,0)*VLOOKUP('Données projet'!$B$17,Paramètres!$A$1:$I$89,5,0)</f>
        <v>236.59271999999999</v>
      </c>
      <c r="GB61" s="14">
        <f t="shared" si="49"/>
        <v>57.705828638299394</v>
      </c>
      <c r="GC61" s="22">
        <f t="shared" si="25"/>
        <v>512.56997221170479</v>
      </c>
      <c r="GD61" s="60">
        <f t="shared" si="26"/>
        <v>772.68308281039322</v>
      </c>
      <c r="GE61" s="60">
        <f ca="1">AVERAGE(OFFSET($GD$3,0,0,'Données projet'!$E$17+1,1))-AVERAGE(OFFSET($H$3,0,0,'Données projet'!$E$17+1,1))</f>
        <v>542.90832990875208</v>
      </c>
      <c r="GF61" s="60">
        <f t="shared" si="50"/>
        <v>304.94365539329362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5.1600000000000019</v>
      </c>
      <c r="N62" s="14">
        <f>IF('Données projet'!$A$36&gt;35,N61+M62-V61,IF(A62&lt;'Données projet'!$A$36,$K$205^A62,IF(A62='Données projet'!$A$36,'Données projet'!$B$36,N61+M62-V61)))</f>
        <v>253.1400000000001</v>
      </c>
      <c r="O62" s="14">
        <f>N62*VLOOKUP('Données projet'!$B$9,Paramètres!$A$1:$I$89,3,0)*VLOOKUP('Données projet'!$B$9,Paramètres!$A$1:$I$89,5,0)</f>
        <v>201.39818400000007</v>
      </c>
      <c r="P62" s="14">
        <f t="shared" si="33"/>
        <v>50.051321550931391</v>
      </c>
      <c r="Q62" s="22">
        <f t="shared" si="53"/>
        <v>437.94122216787235</v>
      </c>
      <c r="R62" s="60">
        <f t="shared" si="0"/>
        <v>698.63062936171514</v>
      </c>
      <c r="S62" s="60">
        <f ca="1">AVERAGE(OFFSET($R$3,0,0,'Données projet'!$E$9+1,1))-AVERAGE(OFFSET($H$3,0,0,'Données projet'!$E$9+1,1))</f>
        <v>336.25341821407534</v>
      </c>
      <c r="T62" s="60">
        <f t="shared" si="34"/>
        <v>360.3246221345039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760.53459247359729</v>
      </c>
      <c r="AN62" s="60">
        <f ca="1">AVERAGE(OFFSET($AM$3,0,0,'Données projet'!$E$10+1,1))-AVERAGE(OFFSET($H$3,0,0,'Données projet'!$E$10+1,1))</f>
        <v>516.30971934066179</v>
      </c>
      <c r="AO62" s="60">
        <f t="shared" si="36"/>
        <v>290.84286505723571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0">
        <f t="shared" si="8"/>
        <v>698.63062936171514</v>
      </c>
      <c r="BI62" s="60">
        <f ca="1">AVERAGE(OFFSET($BH$3,0,0,'Données projet'!$E$11+1,1))-AVERAGE(OFFSET($H$3,0,0,'Données projet'!$E$11+1,1))</f>
        <v>336.25341821407534</v>
      </c>
      <c r="BJ62" s="60">
        <f t="shared" si="38"/>
        <v>360.3246221345039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4.8717948717948731</v>
      </c>
      <c r="BY62" s="13">
        <f>IF('Données projet'!$A$114&gt;35,BY61+BX62-CG61,IF(A62&lt;'Données projet'!$A$114,$BV$205^A62,IF(A62='Données projet'!$A$114,'Données projet'!$B$114,BY61+BX62-CG61)))</f>
        <v>195.12820512820505</v>
      </c>
      <c r="BZ62" s="14">
        <f>BY62*VLOOKUP('Données projet'!$B$12,Paramètres!$A$1:$I$89,3,0)*VLOOKUP('Données projet'!$B$12,Paramètres!$A$1:$I$89,5,0)</f>
        <v>185.68399999999991</v>
      </c>
      <c r="CA62" s="14">
        <f t="shared" si="39"/>
        <v>46.584474219718061</v>
      </c>
      <c r="CB62" s="22">
        <f t="shared" si="10"/>
        <v>404.5342592660088</v>
      </c>
      <c r="CC62" s="60">
        <f t="shared" si="11"/>
        <v>665.22366645985153</v>
      </c>
      <c r="CD62" s="60">
        <f ca="1">AVERAGE(OFFSET($CC$3,0,0,'Données projet'!$E$12+1,1))-AVERAGE(OFFSET($H$3,0,0,'Données projet'!$E$12+1,1))</f>
        <v>398.29746143975166</v>
      </c>
      <c r="CE62" s="60">
        <f t="shared" si="40"/>
        <v>300.63705521148802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219.94127999999995</v>
      </c>
      <c r="CV62" s="14">
        <f t="shared" si="41"/>
        <v>54.102123020446285</v>
      </c>
      <c r="CW62" s="22">
        <f t="shared" si="13"/>
        <v>477.29226026061059</v>
      </c>
      <c r="CX62" s="60">
        <f t="shared" si="14"/>
        <v>737.98166745445337</v>
      </c>
      <c r="CY62" s="60">
        <f ca="1">AVERAGE(OFFSET($CX$3,0,0,'Données projet'!$E$13+1,1))-AVERAGE(OFFSET($H$3,0,0,'Données projet'!$E$13+1,1))</f>
        <v>496.33873798282525</v>
      </c>
      <c r="CZ62" s="60">
        <f t="shared" si="42"/>
        <v>280.25465074992246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287.62499999999994</v>
      </c>
      <c r="DP62" s="18">
        <f>DO62*VLOOKUP('Données projet'!$B$14,Paramètres!$A$1:$I$89,3,0)*VLOOKUP('Données projet'!$B$14,Paramètres!$A$1:$I$89,5,0)</f>
        <v>224.34749999999997</v>
      </c>
      <c r="DQ62" s="14">
        <f t="shared" si="43"/>
        <v>55.058714525680479</v>
      </c>
      <c r="DR62" s="22">
        <f t="shared" si="16"/>
        <v>486.63249029889352</v>
      </c>
      <c r="DS62" s="60">
        <f t="shared" si="17"/>
        <v>747.3218974927363</v>
      </c>
      <c r="DT62" s="60">
        <f ca="1">AVERAGE(OFFSET($DS$3,0,0,'Données projet'!$E$14+1,1))-AVERAGE(OFFSET($H$3,0,0,'Données projet'!$E$14+1,1))</f>
        <v>312.59632808777332</v>
      </c>
      <c r="DU62" s="60">
        <f t="shared" si="44"/>
        <v>302.59481222418219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5.3846153846153868</v>
      </c>
      <c r="EJ62" s="13">
        <f>IF('Données projet'!$A$192&gt;35,EJ61+EI62-ER61,IF(A62&lt;'Données projet'!$A$192,$EG$205^A62,IF(A62='Données projet'!$A$192,'Données projet'!$B$192,EJ61+EI62-ER61)))</f>
        <v>239.4871794871795</v>
      </c>
      <c r="EK62" s="18">
        <f>EJ62*VLOOKUP('Données projet'!$B$15,Paramètres!$A$1:$I$89,3,0)*VLOOKUP('Données projet'!$B$15,Paramètres!$A$1:$I$89,5,0)</f>
        <v>160.648</v>
      </c>
      <c r="EL62" s="14">
        <f t="shared" si="45"/>
        <v>40.988639216339969</v>
      </c>
      <c r="EM62" s="22">
        <f t="shared" si="19"/>
        <v>351.1838133017921</v>
      </c>
      <c r="EN62" s="60">
        <f t="shared" si="20"/>
        <v>611.87322049563488</v>
      </c>
      <c r="EO62" s="60">
        <f ca="1">AVERAGE(OFFSET($EN$3,0,0,'Données projet'!$E$15+1,1))-AVERAGE(OFFSET($H$3,0,0,'Données projet'!$E$15+1,1))</f>
        <v>344.62096650402731</v>
      </c>
      <c r="EP62" s="60">
        <f t="shared" si="46"/>
        <v>277.30931495079346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5.1600000000000019</v>
      </c>
      <c r="FE62" s="13">
        <f>IF('Données projet'!$A$218&gt;35,FE61+FD62-FM61,IF(A62&lt;'Données projet'!$A$218,$FB$205^A62,IF(A62='Données projet'!$A$218,'Données projet'!$B$218,FE61+FD62-FM61)))</f>
        <v>253.1400000000001</v>
      </c>
      <c r="FF62" s="18">
        <f>FE62*VLOOKUP('Données projet'!$B$16,Paramètres!$A$1:$I$89,3,0)*VLOOKUP('Données projet'!$B$16,Paramètres!$A$1:$I$89,5,0)</f>
        <v>221.14310400000014</v>
      </c>
      <c r="FG62" s="14">
        <f t="shared" si="47"/>
        <v>54.36325874060109</v>
      </c>
      <c r="FH62" s="22">
        <f t="shared" si="22"/>
        <v>479.84024843988044</v>
      </c>
      <c r="FI62" s="60">
        <f t="shared" si="23"/>
        <v>740.52965563372322</v>
      </c>
      <c r="FJ62" s="60">
        <f ca="1">AVERAGE(OFFSET($FI$3,0,0,'Données projet'!$E$16+1,1))-AVERAGE(OFFSET($H$3,0,0,'Données projet'!$E$16+1,1))</f>
        <v>363.28611056308665</v>
      </c>
      <c r="FK62" s="60">
        <f t="shared" si="48"/>
        <v>389.43647559455974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227.39999999999998</v>
      </c>
      <c r="GA62" s="18">
        <f>FZ62*VLOOKUP('Données projet'!$B$17,Paramètres!$A$1:$I$89,3,0)*VLOOKUP('Données projet'!$B$17,Paramètres!$A$1:$I$89,5,0)</f>
        <v>244.77335999999997</v>
      </c>
      <c r="GB62" s="14">
        <f t="shared" si="49"/>
        <v>59.465362039582196</v>
      </c>
      <c r="GC62" s="22">
        <f t="shared" si="25"/>
        <v>529.88244088560566</v>
      </c>
      <c r="GD62" s="60">
        <f t="shared" si="26"/>
        <v>790.5718480794485</v>
      </c>
      <c r="GE62" s="60">
        <f ca="1">AVERAGE(OFFSET($GD$3,0,0,'Données projet'!$E$17+1,1))-AVERAGE(OFFSET($H$3,0,0,'Données projet'!$E$17+1,1))</f>
        <v>542.90832990875208</v>
      </c>
      <c r="GF62" s="60">
        <f t="shared" si="50"/>
        <v>304.94365539329362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258.3</v>
      </c>
      <c r="L63" s="13">
        <f>VLOOKUP(A63,'Données projet'!$A$35:$I$55,9,0)</f>
        <v>5.1600000000000019</v>
      </c>
      <c r="M63" s="13">
        <f t="array" ref="M63">INDEX(L:L,MIN(IF(ISNUMBER(L63:L259),ROW(L63:L259),"")))</f>
        <v>5.1600000000000019</v>
      </c>
      <c r="N63" s="14">
        <f>IF('Données projet'!$A$36&gt;35,N62+M63-V62,IF(A63&lt;'Données projet'!$A$36,$K$205^A63,IF(A63='Données projet'!$A$36,'Données projet'!$B$36,N62+M63-V62)))</f>
        <v>258.30000000000013</v>
      </c>
      <c r="O63" s="14">
        <f>N63*VLOOKUP('Données projet'!$B$9,Paramètres!$A$1:$I$89,3,0)*VLOOKUP('Données projet'!$B$9,Paramètres!$A$1:$I$89,5,0)</f>
        <v>205.50348000000011</v>
      </c>
      <c r="P63" s="14">
        <f t="shared" si="33"/>
        <v>50.951748580199457</v>
      </c>
      <c r="Q63" s="22">
        <f t="shared" si="53"/>
        <v>446.65952311051416</v>
      </c>
      <c r="R63" s="60">
        <f t="shared" si="0"/>
        <v>707.91522944199164</v>
      </c>
      <c r="S63" s="60">
        <f ca="1">AVERAGE(OFFSET($R$3,0,0,'Données projet'!$E$9+1,1))-AVERAGE(OFFSET($H$3,0,0,'Données projet'!$E$9+1,1))</f>
        <v>336.25341821407534</v>
      </c>
      <c r="T63" s="60">
        <f t="shared" si="34"/>
        <v>360.3246221345039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25.200000000000003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777.41858716755496</v>
      </c>
      <c r="AN63" s="60">
        <f ca="1">AVERAGE(OFFSET($AM$3,0,0,'Données projet'!$E$10+1,1))-AVERAGE(OFFSET($H$3,0,0,'Données projet'!$E$10+1,1))</f>
        <v>516.30971934066179</v>
      </c>
      <c r="AO63" s="60">
        <f t="shared" si="36"/>
        <v>290.84286505723571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0">
        <f t="shared" si="8"/>
        <v>707.91522944199164</v>
      </c>
      <c r="BI63" s="60">
        <f ca="1">AVERAGE(OFFSET($BH$3,0,0,'Données projet'!$E$11+1,1))-AVERAGE(OFFSET($H$3,0,0,'Données projet'!$E$11+1,1))</f>
        <v>336.25341821407534</v>
      </c>
      <c r="BJ63" s="60">
        <f t="shared" si="38"/>
        <v>360.3246221345039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200</v>
      </c>
      <c r="BW63" s="13">
        <f>VLOOKUP(A63,'Données projet'!$A$113:$I$133,9,0)</f>
        <v>4.8717948717948731</v>
      </c>
      <c r="BX63" s="13">
        <f t="array" ref="BX63">INDEX(BW:BW,MIN(IF(ISNUMBER(BW63:BW259),ROW(BW63:BW259),"")))</f>
        <v>4.8717948717948731</v>
      </c>
      <c r="BY63" s="13">
        <f>IF('Données projet'!$A$114&gt;35,BY62+BX63-CG62,IF(A63&lt;'Données projet'!$A$114,$BV$205^A63,IF(A63='Données projet'!$A$114,'Données projet'!$B$114,BY62+BX63-CG62)))</f>
        <v>199.99999999999991</v>
      </c>
      <c r="BZ63" s="14">
        <f>BY63*VLOOKUP('Données projet'!$B$12,Paramètres!$A$1:$I$89,3,0)*VLOOKUP('Données projet'!$B$12,Paramètres!$A$1:$I$89,5,0)</f>
        <v>190.31999999999991</v>
      </c>
      <c r="CA63" s="14">
        <f t="shared" si="39"/>
        <v>47.61069337740188</v>
      </c>
      <c r="CB63" s="22">
        <f t="shared" si="10"/>
        <v>414.39595763230813</v>
      </c>
      <c r="CC63" s="60">
        <f t="shared" si="11"/>
        <v>675.65166396378561</v>
      </c>
      <c r="CD63" s="60">
        <f ca="1">AVERAGE(OFFSET($CC$3,0,0,'Données projet'!$E$12+1,1))-AVERAGE(OFFSET($H$3,0,0,'Données projet'!$E$12+1,1))</f>
        <v>398.29746143975166</v>
      </c>
      <c r="CE63" s="60">
        <f t="shared" si="40"/>
        <v>300.63705521148802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29.487179487179485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227.292</v>
      </c>
      <c r="CV63" s="14">
        <f t="shared" si="41"/>
        <v>55.6967456174837</v>
      </c>
      <c r="CW63" s="22">
        <f t="shared" si="13"/>
        <v>492.87206528378402</v>
      </c>
      <c r="CX63" s="60">
        <f t="shared" si="14"/>
        <v>754.12777161526151</v>
      </c>
      <c r="CY63" s="60">
        <f ca="1">AVERAGE(OFFSET($CX$3,0,0,'Données projet'!$E$13+1,1))-AVERAGE(OFFSET($H$3,0,0,'Données projet'!$E$13+1,1))</f>
        <v>496.33873798282525</v>
      </c>
      <c r="CZ63" s="60">
        <f t="shared" si="42"/>
        <v>280.25465074992246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296.99999999999994</v>
      </c>
      <c r="DP63" s="18">
        <f>DO63*VLOOKUP('Données projet'!$B$14,Paramètres!$A$1:$I$89,3,0)*VLOOKUP('Données projet'!$B$14,Paramètres!$A$1:$I$89,5,0)</f>
        <v>231.65999999999997</v>
      </c>
      <c r="DQ63" s="14">
        <f t="shared" si="43"/>
        <v>56.641461975682766</v>
      </c>
      <c r="DR63" s="22">
        <f t="shared" si="16"/>
        <v>502.12504627431412</v>
      </c>
      <c r="DS63" s="60">
        <f t="shared" si="17"/>
        <v>763.3807526057916</v>
      </c>
      <c r="DT63" s="60">
        <f ca="1">AVERAGE(OFFSET($DS$3,0,0,'Données projet'!$E$14+1,1))-AVERAGE(OFFSET($H$3,0,0,'Données projet'!$E$14+1,1))</f>
        <v>312.59632808777332</v>
      </c>
      <c r="DU63" s="60">
        <f t="shared" si="44"/>
        <v>302.59481222418219</v>
      </c>
      <c r="DV63" s="16">
        <f>IF(ISNA(VLOOKUP(A63,'Données projet'!$A$165:$I$185,3,0)),0,VLOOKUP(A63,'Données projet'!$A$165:$I$185,3,0))</f>
        <v>6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244.87179487179486</v>
      </c>
      <c r="EH63" s="13">
        <f>VLOOKUP(A63,'Données projet'!$A$191:$I$211,9,0)</f>
        <v>5.3846153846153868</v>
      </c>
      <c r="EI63" s="13">
        <f t="array" ref="EI63">INDEX(EH:EH,MIN(IF(ISNUMBER(EH63:EH259),ROW(EH63:EH259),"")))</f>
        <v>5.3846153846153868</v>
      </c>
      <c r="EJ63" s="13">
        <f>IF('Données projet'!$A$192&gt;35,EJ62+EI63-ER62,IF(A63&lt;'Données projet'!$A$192,$EG$205^A63,IF(A63='Données projet'!$A$192,'Données projet'!$B$192,EJ62+EI63-ER62)))</f>
        <v>244.87179487179489</v>
      </c>
      <c r="EK63" s="18">
        <f>EJ63*VLOOKUP('Données projet'!$B$15,Paramètres!$A$1:$I$89,3,0)*VLOOKUP('Données projet'!$B$15,Paramètres!$A$1:$I$89,5,0)</f>
        <v>164.26000000000002</v>
      </c>
      <c r="EL63" s="14">
        <f t="shared" si="45"/>
        <v>41.801895928887475</v>
      </c>
      <c r="EM63" s="22">
        <f t="shared" si="19"/>
        <v>358.89113540947909</v>
      </c>
      <c r="EN63" s="60">
        <f t="shared" si="20"/>
        <v>620.14684174095657</v>
      </c>
      <c r="EO63" s="60">
        <f ca="1">AVERAGE(OFFSET($EN$3,0,0,'Données projet'!$E$15+1,1))-AVERAGE(OFFSET($H$3,0,0,'Données projet'!$E$15+1,1))</f>
        <v>344.62096650402731</v>
      </c>
      <c r="EP63" s="60">
        <f t="shared" si="46"/>
        <v>277.30931495079346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30.128205128205128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258.3</v>
      </c>
      <c r="FC63" s="13">
        <f>VLOOKUP(A63,'Données projet'!$A$217:$I$237,9,0)</f>
        <v>5.1600000000000019</v>
      </c>
      <c r="FD63" s="13">
        <f t="array" ref="FD63">INDEX(FC:FC,MIN(IF(ISNUMBER(FC63:FC259),ROW(FC63:FC259),"")))</f>
        <v>5.1600000000000019</v>
      </c>
      <c r="FE63" s="13">
        <f>IF('Données projet'!$A$218&gt;35,FE62+FD63-FM62,IF(A63&lt;'Données projet'!$A$218,$FB$205^A63,IF(A63='Données projet'!$A$218,'Données projet'!$B$218,FE62+FD63-FM62)))</f>
        <v>258.30000000000013</v>
      </c>
      <c r="FF63" s="18">
        <f>FE63*VLOOKUP('Données projet'!$B$16,Paramètres!$A$1:$I$89,3,0)*VLOOKUP('Données projet'!$B$16,Paramètres!$A$1:$I$89,5,0)</f>
        <v>225.65088000000014</v>
      </c>
      <c r="FG63" s="14">
        <f t="shared" si="47"/>
        <v>55.341257843368382</v>
      </c>
      <c r="FH63" s="22">
        <f t="shared" si="22"/>
        <v>489.39464007720022</v>
      </c>
      <c r="FI63" s="60">
        <f t="shared" si="23"/>
        <v>750.65034640867771</v>
      </c>
      <c r="FJ63" s="60">
        <f ca="1">AVERAGE(OFFSET($FI$3,0,0,'Données projet'!$E$16+1,1))-AVERAGE(OFFSET($H$3,0,0,'Données projet'!$E$16+1,1))</f>
        <v>363.28611056308665</v>
      </c>
      <c r="FK63" s="60">
        <f t="shared" si="48"/>
        <v>389.43647559455974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25.200000000000003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235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234.99999999999997</v>
      </c>
      <c r="GA63" s="18">
        <f>FZ63*VLOOKUP('Données projet'!$B$17,Paramètres!$A$1:$I$89,3,0)*VLOOKUP('Données projet'!$B$17,Paramètres!$A$1:$I$89,5,0)</f>
        <v>252.95399999999998</v>
      </c>
      <c r="GB63" s="14">
        <f t="shared" si="49"/>
        <v>61.218062391350081</v>
      </c>
      <c r="GC63" s="22">
        <f t="shared" si="25"/>
        <v>547.18300866493462</v>
      </c>
      <c r="GD63" s="60">
        <f t="shared" si="26"/>
        <v>808.43871499641205</v>
      </c>
      <c r="GE63" s="60">
        <f ca="1">AVERAGE(OFFSET($GD$3,0,0,'Données projet'!$E$17+1,1))-AVERAGE(OFFSET($H$3,0,0,'Données projet'!$E$17+1,1))</f>
        <v>542.90832990875208</v>
      </c>
      <c r="GF63" s="60">
        <f t="shared" si="50"/>
        <v>304.94365539329362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4.3399999999999981</v>
      </c>
      <c r="N64" s="14">
        <f>IF('Données projet'!$A$36&gt;35,N63+M64-V63,IF(A64&lt;'Données projet'!$A$36,$K$205^A64,IF(A64='Données projet'!$A$36,'Données projet'!$B$36,N63+M64-V63)))</f>
        <v>237.44000000000011</v>
      </c>
      <c r="O64" s="14">
        <f>N64*VLOOKUP('Données projet'!$B$9,Paramètres!$A$1:$I$89,3,0)*VLOOKUP('Données projet'!$B$9,Paramètres!$A$1:$I$89,5,0)</f>
        <v>188.90726400000011</v>
      </c>
      <c r="P64" s="14">
        <f t="shared" si="33"/>
        <v>47.298283397901834</v>
      </c>
      <c r="Q64" s="22">
        <f t="shared" si="53"/>
        <v>411.39132838467918</v>
      </c>
      <c r="R64" s="60">
        <f t="shared" si="0"/>
        <v>673.20350982980858</v>
      </c>
      <c r="S64" s="60">
        <f ca="1">AVERAGE(OFFSET($R$3,0,0,'Données projet'!$E$9+1,1))-AVERAGE(OFFSET($H$3,0,0,'Données projet'!$E$9+1,1))</f>
        <v>336.25341821407534</v>
      </c>
      <c r="T64" s="60">
        <f t="shared" si="34"/>
        <v>360.3246221345039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703.16152006419338</v>
      </c>
      <c r="AN64" s="60">
        <f ca="1">AVERAGE(OFFSET($AM$3,0,0,'Données projet'!$E$10+1,1))-AVERAGE(OFFSET($H$3,0,0,'Données projet'!$E$10+1,1))</f>
        <v>516.30971934066179</v>
      </c>
      <c r="AO64" s="60">
        <f t="shared" si="36"/>
        <v>290.84286505723571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0">
        <f t="shared" si="8"/>
        <v>673.20350982980858</v>
      </c>
      <c r="BI64" s="60">
        <f ca="1">AVERAGE(OFFSET($BH$3,0,0,'Données projet'!$E$11+1,1))-AVERAGE(OFFSET($H$3,0,0,'Données projet'!$E$11+1,1))</f>
        <v>336.25341821407534</v>
      </c>
      <c r="BJ64" s="60">
        <f t="shared" si="38"/>
        <v>360.3246221345039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4.6153846153846132</v>
      </c>
      <c r="BY64" s="13">
        <f>IF('Données projet'!$A$114&gt;35,BY63+BX64-CG63,IF(A64&lt;'Données projet'!$A$114,$BV$205^A64,IF(A64='Données projet'!$A$114,'Données projet'!$B$114,BY63+BX64-CG63)))</f>
        <v>175.12820512820505</v>
      </c>
      <c r="BZ64" s="14">
        <f>BY64*VLOOKUP('Données projet'!$B$12,Paramètres!$A$1:$I$89,3,0)*VLOOKUP('Données projet'!$B$12,Paramètres!$A$1:$I$89,5,0)</f>
        <v>166.65199999999993</v>
      </c>
      <c r="CA64" s="14">
        <f t="shared" si="39"/>
        <v>42.339317127801309</v>
      </c>
      <c r="CB64" s="22">
        <f t="shared" si="10"/>
        <v>363.99321066425381</v>
      </c>
      <c r="CC64" s="60">
        <f t="shared" si="11"/>
        <v>625.80539210938309</v>
      </c>
      <c r="CD64" s="60">
        <f ca="1">AVERAGE(OFFSET($CC$3,0,0,'Données projet'!$E$12+1,1))-AVERAGE(OFFSET($H$3,0,0,'Données projet'!$E$12+1,1))</f>
        <v>398.29746143975166</v>
      </c>
      <c r="CE64" s="60">
        <f t="shared" si="40"/>
        <v>300.63705521148802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193.63343999999998</v>
      </c>
      <c r="CV64" s="14">
        <f t="shared" si="41"/>
        <v>48.342367086681229</v>
      </c>
      <c r="CW64" s="22">
        <f t="shared" si="13"/>
        <v>421.44119734263637</v>
      </c>
      <c r="CX64" s="60">
        <f t="shared" si="14"/>
        <v>683.25337878776577</v>
      </c>
      <c r="CY64" s="60">
        <f ca="1">AVERAGE(OFFSET($CX$3,0,0,'Données projet'!$E$13+1,1))-AVERAGE(OFFSET($H$3,0,0,'Données projet'!$E$13+1,1))</f>
        <v>496.33873798282525</v>
      </c>
      <c r="CZ64" s="60">
        <f t="shared" si="42"/>
        <v>280.25465074992246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258.66666666666663</v>
      </c>
      <c r="DP64" s="18">
        <f>DO64*VLOOKUP('Données projet'!$B$14,Paramètres!$A$1:$I$89,3,0)*VLOOKUP('Données projet'!$B$14,Paramètres!$A$1:$I$89,5,0)</f>
        <v>201.76</v>
      </c>
      <c r="DQ64" s="14">
        <f t="shared" si="43"/>
        <v>50.130765000424212</v>
      </c>
      <c r="DR64" s="22">
        <f t="shared" si="16"/>
        <v>438.70974904240546</v>
      </c>
      <c r="DS64" s="60">
        <f t="shared" si="17"/>
        <v>700.52193048753475</v>
      </c>
      <c r="DT64" s="60">
        <f ca="1">AVERAGE(OFFSET($DS$3,0,0,'Données projet'!$E$14+1,1))-AVERAGE(OFFSET($H$3,0,0,'Données projet'!$E$14+1,1))</f>
        <v>312.59632808777332</v>
      </c>
      <c r="DU64" s="60">
        <f t="shared" si="44"/>
        <v>302.59481222418219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5.1282051282051331</v>
      </c>
      <c r="EJ64" s="13">
        <f>IF('Données projet'!$A$192&gt;35,EJ63+EI64-ER63,IF(A64&lt;'Données projet'!$A$192,$EG$205^A64,IF(A64='Données projet'!$A$192,'Données projet'!$B$192,EJ63+EI64-ER63)))</f>
        <v>219.87179487179489</v>
      </c>
      <c r="EK64" s="18">
        <f>EJ64*VLOOKUP('Données projet'!$B$15,Paramètres!$A$1:$I$89,3,0)*VLOOKUP('Données projet'!$B$15,Paramètres!$A$1:$I$89,5,0)</f>
        <v>147.49</v>
      </c>
      <c r="EL64" s="14">
        <f t="shared" si="45"/>
        <v>38.007620116459833</v>
      </c>
      <c r="EM64" s="22">
        <f t="shared" si="19"/>
        <v>323.07502170283419</v>
      </c>
      <c r="EN64" s="60">
        <f t="shared" si="20"/>
        <v>584.88720314796353</v>
      </c>
      <c r="EO64" s="60">
        <f ca="1">AVERAGE(OFFSET($EN$3,0,0,'Données projet'!$E$15+1,1))-AVERAGE(OFFSET($H$3,0,0,'Données projet'!$E$15+1,1))</f>
        <v>344.62096650402731</v>
      </c>
      <c r="EP64" s="60">
        <f t="shared" si="46"/>
        <v>277.30931495079346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4.3399999999999981</v>
      </c>
      <c r="FE64" s="13">
        <f>IF('Données projet'!$A$218&gt;35,FE63+FD64-FM63,IF(A64&lt;'Données projet'!$A$218,$FB$205^A64,IF(A64='Données projet'!$A$218,'Données projet'!$B$218,FE63+FD64-FM63)))</f>
        <v>237.44000000000011</v>
      </c>
      <c r="FF64" s="18">
        <f>FE64*VLOOKUP('Données projet'!$B$16,Paramètres!$A$1:$I$89,3,0)*VLOOKUP('Données projet'!$B$16,Paramètres!$A$1:$I$89,5,0)</f>
        <v>207.42758400000014</v>
      </c>
      <c r="FG64" s="14">
        <f t="shared" si="47"/>
        <v>51.373045479526681</v>
      </c>
      <c r="FH64" s="22">
        <f t="shared" si="22"/>
        <v>450.74442967684257</v>
      </c>
      <c r="FI64" s="60">
        <f t="shared" si="23"/>
        <v>712.55661112197186</v>
      </c>
      <c r="FJ64" s="60">
        <f ca="1">AVERAGE(OFFSET($FI$3,0,0,'Données projet'!$E$16+1,1))-AVERAGE(OFFSET($H$3,0,0,'Données projet'!$E$16+1,1))</f>
        <v>363.28611056308665</v>
      </c>
      <c r="FK64" s="60">
        <f t="shared" si="48"/>
        <v>389.43647559455974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200.19999999999996</v>
      </c>
      <c r="GA64" s="18">
        <f>FZ64*VLOOKUP('Données projet'!$B$17,Paramètres!$A$1:$I$89,3,0)*VLOOKUP('Données projet'!$B$17,Paramètres!$A$1:$I$89,5,0)</f>
        <v>215.49527999999992</v>
      </c>
      <c r="GB64" s="14">
        <f t="shared" si="49"/>
        <v>53.134631326269272</v>
      </c>
      <c r="GC64" s="22">
        <f t="shared" si="25"/>
        <v>467.86376222658549</v>
      </c>
      <c r="GD64" s="60">
        <f t="shared" si="26"/>
        <v>729.67594367171478</v>
      </c>
      <c r="GE64" s="60">
        <f ca="1">AVERAGE(OFFSET($GD$3,0,0,'Données projet'!$E$17+1,1))-AVERAGE(OFFSET($H$3,0,0,'Données projet'!$E$17+1,1))</f>
        <v>542.90832990875208</v>
      </c>
      <c r="GF64" s="60">
        <f t="shared" si="50"/>
        <v>304.94365539329362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4.3399999999999981</v>
      </c>
      <c r="N65" s="14">
        <f>IF('Données projet'!$A$36&gt;35,N64+M65-V64,IF(A65&lt;'Données projet'!$A$36,$K$205^A65,IF(A65='Données projet'!$A$36,'Données projet'!$B$36,N64+M65-V64)))</f>
        <v>241.78000000000011</v>
      </c>
      <c r="O65" s="14">
        <f>N65*VLOOKUP('Données projet'!$B$9,Paramètres!$A$1:$I$89,3,0)*VLOOKUP('Données projet'!$B$9,Paramètres!$A$1:$I$89,5,0)</f>
        <v>192.3601680000001</v>
      </c>
      <c r="P65" s="14">
        <f t="shared" si="33"/>
        <v>48.061376979759274</v>
      </c>
      <c r="Q65" s="22">
        <f t="shared" si="53"/>
        <v>418.73419083974755</v>
      </c>
      <c r="R65" s="60">
        <f t="shared" si="0"/>
        <v>681.09319379939893</v>
      </c>
      <c r="S65" s="60">
        <f ca="1">AVERAGE(OFFSET($R$3,0,0,'Données projet'!$E$9+1,1))-AVERAGE(OFFSET($H$3,0,0,'Données projet'!$E$9+1,1))</f>
        <v>336.25341821407534</v>
      </c>
      <c r="T65" s="60">
        <f t="shared" si="34"/>
        <v>360.3246221345039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719.20779121567296</v>
      </c>
      <c r="AN65" s="60">
        <f ca="1">AVERAGE(OFFSET($AM$3,0,0,'Données projet'!$E$10+1,1))-AVERAGE(OFFSET($H$3,0,0,'Données projet'!$E$10+1,1))</f>
        <v>516.30971934066179</v>
      </c>
      <c r="AO65" s="60">
        <f t="shared" si="36"/>
        <v>290.84286505723571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0">
        <f t="shared" si="8"/>
        <v>681.09319379939893</v>
      </c>
      <c r="BI65" s="60">
        <f ca="1">AVERAGE(OFFSET($BH$3,0,0,'Données projet'!$E$11+1,1))-AVERAGE(OFFSET($H$3,0,0,'Données projet'!$E$11+1,1))</f>
        <v>336.25341821407534</v>
      </c>
      <c r="BJ65" s="60">
        <f t="shared" si="38"/>
        <v>360.3246221345039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4.6153846153846132</v>
      </c>
      <c r="BY65" s="13">
        <f>IF('Données projet'!$A$114&gt;35,BY64+BX65-CG64,IF(A65&lt;'Données projet'!$A$114,$BV$205^A65,IF(A65='Données projet'!$A$114,'Données projet'!$B$114,BY64+BX65-CG64)))</f>
        <v>179.74358974358967</v>
      </c>
      <c r="BZ65" s="14">
        <f>BY65*VLOOKUP('Données projet'!$B$12,Paramètres!$A$1:$I$89,3,0)*VLOOKUP('Données projet'!$B$12,Paramètres!$A$1:$I$89,5,0)</f>
        <v>171.04399999999993</v>
      </c>
      <c r="CA65" s="14">
        <f t="shared" si="39"/>
        <v>43.32376147477413</v>
      </c>
      <c r="CB65" s="22">
        <f t="shared" si="10"/>
        <v>373.35718456856483</v>
      </c>
      <c r="CC65" s="60">
        <f t="shared" si="11"/>
        <v>635.7161875282161</v>
      </c>
      <c r="CD65" s="60">
        <f ca="1">AVERAGE(OFFSET($CC$3,0,0,'Données projet'!$E$12+1,1))-AVERAGE(OFFSET($H$3,0,0,'Données projet'!$E$12+1,1))</f>
        <v>398.29746143975166</v>
      </c>
      <c r="CE65" s="60">
        <f t="shared" si="40"/>
        <v>300.63705521148802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200.59727999999996</v>
      </c>
      <c r="CV65" s="14">
        <f t="shared" si="41"/>
        <v>49.875409002022977</v>
      </c>
      <c r="CW65" s="22">
        <f t="shared" si="13"/>
        <v>436.23993334518991</v>
      </c>
      <c r="CX65" s="60">
        <f t="shared" si="14"/>
        <v>698.59893630484123</v>
      </c>
      <c r="CY65" s="60">
        <f ca="1">AVERAGE(OFFSET($CX$3,0,0,'Données projet'!$E$13+1,1))-AVERAGE(OFFSET($H$3,0,0,'Données projet'!$E$13+1,1))</f>
        <v>496.33873798282525</v>
      </c>
      <c r="CZ65" s="60">
        <f t="shared" si="42"/>
        <v>280.25465074992246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267.33333333333331</v>
      </c>
      <c r="DP65" s="18">
        <f>DO65*VLOOKUP('Données projet'!$B$14,Paramètres!$A$1:$I$89,3,0)*VLOOKUP('Données projet'!$B$14,Paramètres!$A$1:$I$89,5,0)</f>
        <v>208.51999999999998</v>
      </c>
      <c r="DQ65" s="14">
        <f t="shared" si="43"/>
        <v>51.612035456318509</v>
      </c>
      <c r="DR65" s="22">
        <f t="shared" si="16"/>
        <v>453.06329508642131</v>
      </c>
      <c r="DS65" s="60">
        <f t="shared" si="17"/>
        <v>715.42229804607268</v>
      </c>
      <c r="DT65" s="60">
        <f ca="1">AVERAGE(OFFSET($DS$3,0,0,'Données projet'!$E$14+1,1))-AVERAGE(OFFSET($H$3,0,0,'Données projet'!$E$14+1,1))</f>
        <v>312.59632808777332</v>
      </c>
      <c r="DU65" s="60">
        <f t="shared" si="44"/>
        <v>302.59481222418219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5.1282051282051331</v>
      </c>
      <c r="EJ65" s="13">
        <f>IF('Données projet'!$A$192&gt;35,EJ64+EI65-ER64,IF(A65&lt;'Données projet'!$A$192,$EG$205^A65,IF(A65='Données projet'!$A$192,'Données projet'!$B$192,EJ64+EI65-ER64)))</f>
        <v>225.00000000000003</v>
      </c>
      <c r="EK65" s="18">
        <f>EJ65*VLOOKUP('Données projet'!$B$15,Paramètres!$A$1:$I$89,3,0)*VLOOKUP('Données projet'!$B$15,Paramètres!$A$1:$I$89,5,0)</f>
        <v>150.93000000000004</v>
      </c>
      <c r="EL65" s="14">
        <f t="shared" si="45"/>
        <v>38.789855371379076</v>
      </c>
      <c r="EM65" s="22">
        <f t="shared" si="19"/>
        <v>330.42874810515195</v>
      </c>
      <c r="EN65" s="60">
        <f t="shared" si="20"/>
        <v>592.78775106480327</v>
      </c>
      <c r="EO65" s="60">
        <f ca="1">AVERAGE(OFFSET($EN$3,0,0,'Données projet'!$E$15+1,1))-AVERAGE(OFFSET($H$3,0,0,'Données projet'!$E$15+1,1))</f>
        <v>344.62096650402731</v>
      </c>
      <c r="EP65" s="60">
        <f t="shared" si="46"/>
        <v>277.30931495079346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4.3399999999999981</v>
      </c>
      <c r="FE65" s="13">
        <f>IF('Données projet'!$A$218&gt;35,FE64+FD65-FM64,IF(A65&lt;'Données projet'!$A$218,$FB$205^A65,IF(A65='Données projet'!$A$218,'Données projet'!$B$218,FE64+FD65-FM64)))</f>
        <v>241.78000000000011</v>
      </c>
      <c r="FF65" s="18">
        <f>FE65*VLOOKUP('Données projet'!$B$16,Paramètres!$A$1:$I$89,3,0)*VLOOKUP('Données projet'!$B$16,Paramètres!$A$1:$I$89,5,0)</f>
        <v>211.21900800000012</v>
      </c>
      <c r="FG65" s="14">
        <f t="shared" si="47"/>
        <v>52.201879814931679</v>
      </c>
      <c r="FH65" s="22">
        <f t="shared" si="22"/>
        <v>458.79137961100622</v>
      </c>
      <c r="FI65" s="60">
        <f t="shared" si="23"/>
        <v>721.15038257065748</v>
      </c>
      <c r="FJ65" s="60">
        <f ca="1">AVERAGE(OFFSET($FI$3,0,0,'Données projet'!$E$16+1,1))-AVERAGE(OFFSET($H$3,0,0,'Données projet'!$E$16+1,1))</f>
        <v>363.28611056308665</v>
      </c>
      <c r="FK65" s="60">
        <f t="shared" si="48"/>
        <v>389.43647559455974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207.39999999999995</v>
      </c>
      <c r="GA65" s="18">
        <f>FZ65*VLOOKUP('Données projet'!$B$17,Paramètres!$A$1:$I$89,3,0)*VLOOKUP('Données projet'!$B$17,Paramètres!$A$1:$I$89,5,0)</f>
        <v>223.24535999999995</v>
      </c>
      <c r="GB65" s="14">
        <f t="shared" si="49"/>
        <v>54.819646394591118</v>
      </c>
      <c r="GC65" s="22">
        <f t="shared" si="25"/>
        <v>484.29655280391279</v>
      </c>
      <c r="GD65" s="60">
        <f t="shared" si="26"/>
        <v>746.65555576356405</v>
      </c>
      <c r="GE65" s="60">
        <f ca="1">AVERAGE(OFFSET($GD$3,0,0,'Données projet'!$E$17+1,1))-AVERAGE(OFFSET($H$3,0,0,'Données projet'!$E$17+1,1))</f>
        <v>542.90832990875208</v>
      </c>
      <c r="GF65" s="60">
        <f t="shared" si="50"/>
        <v>304.94365539329362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4.3399999999999981</v>
      </c>
      <c r="N66" s="14">
        <f>IF('Données projet'!$A$36&gt;35,N65+M66-V65,IF(A66&lt;'Données projet'!$A$36,$K$205^A66,IF(A66='Données projet'!$A$36,'Données projet'!$B$36,N65+M66-V65)))</f>
        <v>246.12000000000012</v>
      </c>
      <c r="O66" s="14">
        <f>N66*VLOOKUP('Données projet'!$B$9,Paramètres!$A$1:$I$89,3,0)*VLOOKUP('Données projet'!$B$9,Paramètres!$A$1:$I$89,5,0)</f>
        <v>195.81307200000012</v>
      </c>
      <c r="P66" s="14">
        <f t="shared" si="33"/>
        <v>48.822877725242478</v>
      </c>
      <c r="Q66" s="22">
        <f t="shared" si="53"/>
        <v>426.07427910479754</v>
      </c>
      <c r="R66" s="60">
        <f t="shared" si="0"/>
        <v>688.97061744820371</v>
      </c>
      <c r="S66" s="60">
        <f ca="1">AVERAGE(OFFSET($R$3,0,0,'Données projet'!$E$9+1,1))-AVERAGE(OFFSET($H$3,0,0,'Données projet'!$E$9+1,1))</f>
        <v>336.25341821407534</v>
      </c>
      <c r="T66" s="60">
        <f t="shared" si="34"/>
        <v>360.3246221345039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735.23334716798627</v>
      </c>
      <c r="AN66" s="60">
        <f ca="1">AVERAGE(OFFSET($AM$3,0,0,'Données projet'!$E$10+1,1))-AVERAGE(OFFSET($H$3,0,0,'Données projet'!$E$10+1,1))</f>
        <v>516.30971934066179</v>
      </c>
      <c r="AO66" s="60">
        <f t="shared" si="36"/>
        <v>290.84286505723571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0">
        <f t="shared" si="8"/>
        <v>688.97061744820371</v>
      </c>
      <c r="BI66" s="60">
        <f ca="1">AVERAGE(OFFSET($BH$3,0,0,'Données projet'!$E$11+1,1))-AVERAGE(OFFSET($H$3,0,0,'Données projet'!$E$11+1,1))</f>
        <v>336.25341821407534</v>
      </c>
      <c r="BJ66" s="60">
        <f t="shared" si="38"/>
        <v>360.3246221345039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4.6153846153846132</v>
      </c>
      <c r="BY66" s="13">
        <f>IF('Données projet'!$A$114&gt;35,BY65+BX66-CG65,IF(A66&lt;'Données projet'!$A$114,$BV$205^A66,IF(A66='Données projet'!$A$114,'Données projet'!$B$114,BY65+BX66-CG65)))</f>
        <v>184.35897435897428</v>
      </c>
      <c r="BZ66" s="14">
        <f>BY66*VLOOKUP('Données projet'!$B$12,Paramètres!$A$1:$I$89,3,0)*VLOOKUP('Données projet'!$B$12,Paramètres!$A$1:$I$89,5,0)</f>
        <v>175.43599999999992</v>
      </c>
      <c r="CA66" s="14">
        <f t="shared" si="39"/>
        <v>44.305267494172632</v>
      </c>
      <c r="CB66" s="22">
        <f t="shared" si="10"/>
        <v>382.71604088568387</v>
      </c>
      <c r="CC66" s="60">
        <f t="shared" si="11"/>
        <v>645.61237922909004</v>
      </c>
      <c r="CD66" s="60">
        <f ca="1">AVERAGE(OFFSET($CC$3,0,0,'Données projet'!$E$12+1,1))-AVERAGE(OFFSET($H$3,0,0,'Données projet'!$E$12+1,1))</f>
        <v>398.29746143975166</v>
      </c>
      <c r="CE66" s="60">
        <f t="shared" si="40"/>
        <v>300.63705521148802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207.56111999999996</v>
      </c>
      <c r="CV66" s="14">
        <f t="shared" si="41"/>
        <v>51.40226725537714</v>
      </c>
      <c r="CW66" s="22">
        <f t="shared" si="13"/>
        <v>451.02789946978169</v>
      </c>
      <c r="CX66" s="60">
        <f t="shared" si="14"/>
        <v>713.9242378131878</v>
      </c>
      <c r="CY66" s="60">
        <f ca="1">AVERAGE(OFFSET($CX$3,0,0,'Données projet'!$E$13+1,1))-AVERAGE(OFFSET($H$3,0,0,'Données projet'!$E$13+1,1))</f>
        <v>496.33873798282525</v>
      </c>
      <c r="CZ66" s="60">
        <f t="shared" si="42"/>
        <v>280.25465074992246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276</v>
      </c>
      <c r="DP66" s="18">
        <f>DO66*VLOOKUP('Données projet'!$B$14,Paramètres!$A$1:$I$89,3,0)*VLOOKUP('Données projet'!$B$14,Paramètres!$A$1:$I$89,5,0)</f>
        <v>215.28</v>
      </c>
      <c r="DQ66" s="14">
        <f t="shared" si="43"/>
        <v>53.087725740853138</v>
      </c>
      <c r="DR66" s="22">
        <f t="shared" si="16"/>
        <v>467.40712233198587</v>
      </c>
      <c r="DS66" s="60">
        <f t="shared" si="17"/>
        <v>730.30346067539199</v>
      </c>
      <c r="DT66" s="60">
        <f ca="1">AVERAGE(OFFSET($DS$3,0,0,'Données projet'!$E$14+1,1))-AVERAGE(OFFSET($H$3,0,0,'Données projet'!$E$14+1,1))</f>
        <v>312.59632808777332</v>
      </c>
      <c r="DU66" s="60">
        <f t="shared" si="44"/>
        <v>302.59481222418219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5.1282051282051331</v>
      </c>
      <c r="EJ66" s="13">
        <f>IF('Données projet'!$A$192&gt;35,EJ65+EI66-ER65,IF(A66&lt;'Données projet'!$A$192,$EG$205^A66,IF(A66='Données projet'!$A$192,'Données projet'!$B$192,EJ65+EI66-ER65)))</f>
        <v>230.12820512820517</v>
      </c>
      <c r="EK66" s="18">
        <f>EJ66*VLOOKUP('Données projet'!$B$15,Paramètres!$A$1:$I$89,3,0)*VLOOKUP('Données projet'!$B$15,Paramètres!$A$1:$I$89,5,0)</f>
        <v>154.37000000000003</v>
      </c>
      <c r="EL66" s="14">
        <f t="shared" si="45"/>
        <v>39.570017923578433</v>
      </c>
      <c r="EM66" s="22">
        <f t="shared" si="19"/>
        <v>337.77886455023247</v>
      </c>
      <c r="EN66" s="60">
        <f t="shared" si="20"/>
        <v>600.67520289363858</v>
      </c>
      <c r="EO66" s="60">
        <f ca="1">AVERAGE(OFFSET($EN$3,0,0,'Données projet'!$E$15+1,1))-AVERAGE(OFFSET($H$3,0,0,'Données projet'!$E$15+1,1))</f>
        <v>344.62096650402731</v>
      </c>
      <c r="EP66" s="60">
        <f t="shared" si="46"/>
        <v>277.30931495079346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4.3399999999999981</v>
      </c>
      <c r="FE66" s="13">
        <f>IF('Données projet'!$A$218&gt;35,FE65+FD66-FM65,IF(A66&lt;'Données projet'!$A$218,$FB$205^A66,IF(A66='Données projet'!$A$218,'Données projet'!$B$218,FE65+FD66-FM65)))</f>
        <v>246.12000000000012</v>
      </c>
      <c r="FF66" s="18">
        <f>FE66*VLOOKUP('Données projet'!$B$16,Paramètres!$A$1:$I$89,3,0)*VLOOKUP('Données projet'!$B$16,Paramètres!$A$1:$I$89,5,0)</f>
        <v>215.01043200000015</v>
      </c>
      <c r="FG66" s="14">
        <f t="shared" si="47"/>
        <v>53.028984090604766</v>
      </c>
      <c r="FH66" s="22">
        <f t="shared" si="22"/>
        <v>466.83531635780349</v>
      </c>
      <c r="FI66" s="60">
        <f t="shared" si="23"/>
        <v>729.73165470120966</v>
      </c>
      <c r="FJ66" s="60">
        <f ca="1">AVERAGE(OFFSET($FI$3,0,0,'Données projet'!$E$16+1,1))-AVERAGE(OFFSET($H$3,0,0,'Données projet'!$E$16+1,1))</f>
        <v>363.28611056308665</v>
      </c>
      <c r="FK66" s="60">
        <f t="shared" si="48"/>
        <v>389.43647559455974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214.59999999999994</v>
      </c>
      <c r="GA66" s="18">
        <f>FZ66*VLOOKUP('Données projet'!$B$17,Paramètres!$A$1:$I$89,3,0)*VLOOKUP('Données projet'!$B$17,Paramètres!$A$1:$I$89,5,0)</f>
        <v>230.99543999999995</v>
      </c>
      <c r="GB66" s="14">
        <f t="shared" si="49"/>
        <v>56.497864803589785</v>
      </c>
      <c r="GC66" s="22">
        <f t="shared" si="25"/>
        <v>500.71750586625211</v>
      </c>
      <c r="GD66" s="60">
        <f t="shared" si="26"/>
        <v>763.61384420965828</v>
      </c>
      <c r="GE66" s="60">
        <f ca="1">AVERAGE(OFFSET($GD$3,0,0,'Données projet'!$E$17+1,1))-AVERAGE(OFFSET($H$3,0,0,'Données projet'!$E$17+1,1))</f>
        <v>542.90832990875208</v>
      </c>
      <c r="GF66" s="60">
        <f t="shared" si="50"/>
        <v>304.94365539329362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4.3399999999999981</v>
      </c>
      <c r="N67" s="14">
        <f>IF('Données projet'!$A$36&gt;35,N66+M67-V66,IF(A67&lt;'Données projet'!$A$36,$K$205^A67,IF(A67='Données projet'!$A$36,'Données projet'!$B$36,N66+M67-V66)))</f>
        <v>250.46000000000012</v>
      </c>
      <c r="O67" s="14">
        <f>N67*VLOOKUP('Données projet'!$B$9,Paramètres!$A$1:$I$89,3,0)*VLOOKUP('Données projet'!$B$9,Paramètres!$A$1:$I$89,5,0)</f>
        <v>199.26597600000011</v>
      </c>
      <c r="P67" s="14">
        <f t="shared" si="33"/>
        <v>49.582816962415684</v>
      </c>
      <c r="Q67" s="22">
        <f t="shared" ref="Q67:Q98" si="54">(O67+P67)*0.475*44/12</f>
        <v>433.4116477428741</v>
      </c>
      <c r="R67" s="60">
        <f t="shared" ref="R67:R130" si="55">Q67+(I67+J67)*44/12</f>
        <v>696.83599990242885</v>
      </c>
      <c r="S67" s="60">
        <f ca="1">AVERAGE(OFFSET($R$3,0,0,'Données projet'!$E$9+1,1))-AVERAGE(OFFSET($H$3,0,0,'Données projet'!$E$9+1,1))</f>
        <v>336.25341821407534</v>
      </c>
      <c r="T67" s="60">
        <f t="shared" si="34"/>
        <v>360.3246221345039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751.23877242127901</v>
      </c>
      <c r="AN67" s="60">
        <f ca="1">AVERAGE(OFFSET($AM$3,0,0,'Données projet'!$E$10+1,1))-AVERAGE(OFFSET($H$3,0,0,'Données projet'!$E$10+1,1))</f>
        <v>516.30971934066179</v>
      </c>
      <c r="AO67" s="60">
        <f t="shared" si="36"/>
        <v>290.84286505723571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0">
        <f t="shared" si="8"/>
        <v>696.83599990242885</v>
      </c>
      <c r="BI67" s="60">
        <f ca="1">AVERAGE(OFFSET($BH$3,0,0,'Données projet'!$E$11+1,1))-AVERAGE(OFFSET($H$3,0,0,'Données projet'!$E$11+1,1))</f>
        <v>336.25341821407534</v>
      </c>
      <c r="BJ67" s="60">
        <f t="shared" si="38"/>
        <v>360.3246221345039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4.6153846153846132</v>
      </c>
      <c r="BY67" s="13">
        <f>IF('Données projet'!$A$114&gt;35,BY66+BX67-CG66,IF(A67&lt;'Données projet'!$A$114,$BV$205^A67,IF(A67='Données projet'!$A$114,'Données projet'!$B$114,BY66+BX67-CG66)))</f>
        <v>188.97435897435889</v>
      </c>
      <c r="BZ67" s="14">
        <f>BY67*VLOOKUP('Données projet'!$B$12,Paramètres!$A$1:$I$89,3,0)*VLOOKUP('Données projet'!$B$12,Paramètres!$A$1:$I$89,5,0)</f>
        <v>179.82799999999992</v>
      </c>
      <c r="CA67" s="14">
        <f t="shared" si="39"/>
        <v>45.283917206572795</v>
      </c>
      <c r="CB67" s="22">
        <f t="shared" si="10"/>
        <v>392.0699224681141</v>
      </c>
      <c r="CC67" s="60">
        <f t="shared" si="11"/>
        <v>655.4942746276688</v>
      </c>
      <c r="CD67" s="60">
        <f ca="1">AVERAGE(OFFSET($CC$3,0,0,'Données projet'!$E$12+1,1))-AVERAGE(OFFSET($H$3,0,0,'Données projet'!$E$12+1,1))</f>
        <v>398.29746143975166</v>
      </c>
      <c r="CE67" s="60">
        <f t="shared" si="40"/>
        <v>300.63705521148802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214.52495999999994</v>
      </c>
      <c r="CV67" s="14">
        <f t="shared" si="41"/>
        <v>52.923173099085716</v>
      </c>
      <c r="CW67" s="22">
        <f t="shared" si="13"/>
        <v>465.80549848090754</v>
      </c>
      <c r="CX67" s="60">
        <f t="shared" si="14"/>
        <v>729.22985064046225</v>
      </c>
      <c r="CY67" s="60">
        <f ca="1">AVERAGE(OFFSET($CX$3,0,0,'Données projet'!$E$13+1,1))-AVERAGE(OFFSET($H$3,0,0,'Données projet'!$E$13+1,1))</f>
        <v>496.33873798282525</v>
      </c>
      <c r="CZ67" s="60">
        <f t="shared" si="42"/>
        <v>280.25465074992246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284.66666666666669</v>
      </c>
      <c r="DP67" s="18">
        <f>DO67*VLOOKUP('Données projet'!$B$14,Paramètres!$A$1:$I$89,3,0)*VLOOKUP('Données projet'!$B$14,Paramètres!$A$1:$I$89,5,0)</f>
        <v>222.04000000000002</v>
      </c>
      <c r="DQ67" s="14">
        <f t="shared" si="43"/>
        <v>54.558031180803596</v>
      </c>
      <c r="DR67" s="22">
        <f t="shared" si="16"/>
        <v>481.74157097323291</v>
      </c>
      <c r="DS67" s="60">
        <f t="shared" si="17"/>
        <v>745.16592313278761</v>
      </c>
      <c r="DT67" s="60">
        <f ca="1">AVERAGE(OFFSET($DS$3,0,0,'Données projet'!$E$14+1,1))-AVERAGE(OFFSET($H$3,0,0,'Données projet'!$E$14+1,1))</f>
        <v>312.59632808777332</v>
      </c>
      <c r="DU67" s="60">
        <f t="shared" si="44"/>
        <v>302.59481222418219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5.1282051282051331</v>
      </c>
      <c r="EJ67" s="13">
        <f>IF('Données projet'!$A$192&gt;35,EJ66+EI67-ER66,IF(A67&lt;'Données projet'!$A$192,$EG$205^A67,IF(A67='Données projet'!$A$192,'Données projet'!$B$192,EJ66+EI67-ER66)))</f>
        <v>235.25641025641031</v>
      </c>
      <c r="EK67" s="18">
        <f>EJ67*VLOOKUP('Données projet'!$B$15,Paramètres!$A$1:$I$89,3,0)*VLOOKUP('Données projet'!$B$15,Paramètres!$A$1:$I$89,5,0)</f>
        <v>157.81000000000003</v>
      </c>
      <c r="EL67" s="14">
        <f t="shared" si="45"/>
        <v>40.348159279539125</v>
      </c>
      <c r="EM67" s="22">
        <f t="shared" si="19"/>
        <v>345.12546074519736</v>
      </c>
      <c r="EN67" s="60">
        <f t="shared" si="20"/>
        <v>608.54981290475212</v>
      </c>
      <c r="EO67" s="60">
        <f ca="1">AVERAGE(OFFSET($EN$3,0,0,'Données projet'!$E$15+1,1))-AVERAGE(OFFSET($H$3,0,0,'Données projet'!$E$15+1,1))</f>
        <v>344.62096650402731</v>
      </c>
      <c r="EP67" s="60">
        <f t="shared" si="46"/>
        <v>277.30931495079346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4.3399999999999981</v>
      </c>
      <c r="FE67" s="13">
        <f>IF('Données projet'!$A$218&gt;35,FE66+FD67-FM66,IF(A67&lt;'Données projet'!$A$218,$FB$205^A67,IF(A67='Données projet'!$A$218,'Données projet'!$B$218,FE66+FD67-FM66)))</f>
        <v>250.46000000000012</v>
      </c>
      <c r="FF67" s="18">
        <f>FE67*VLOOKUP('Données projet'!$B$16,Paramètres!$A$1:$I$89,3,0)*VLOOKUP('Données projet'!$B$16,Paramètres!$A$1:$I$89,5,0)</f>
        <v>218.80185600000013</v>
      </c>
      <c r="FG67" s="14">
        <f t="shared" si="47"/>
        <v>53.854392333532836</v>
      </c>
      <c r="FH67" s="22">
        <f t="shared" si="22"/>
        <v>474.87629918090329</v>
      </c>
      <c r="FI67" s="60">
        <f t="shared" si="23"/>
        <v>738.30065134045799</v>
      </c>
      <c r="FJ67" s="60">
        <f ca="1">AVERAGE(OFFSET($FI$3,0,0,'Données projet'!$E$16+1,1))-AVERAGE(OFFSET($H$3,0,0,'Données projet'!$E$16+1,1))</f>
        <v>363.28611056308665</v>
      </c>
      <c r="FK67" s="60">
        <f t="shared" si="48"/>
        <v>389.43647559455974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221.79999999999993</v>
      </c>
      <c r="GA67" s="18">
        <f>FZ67*VLOOKUP('Données projet'!$B$17,Paramètres!$A$1:$I$89,3,0)*VLOOKUP('Données projet'!$B$17,Paramètres!$A$1:$I$89,5,0)</f>
        <v>238.74551999999991</v>
      </c>
      <c r="GB67" s="14">
        <f t="shared" si="49"/>
        <v>58.169540730060781</v>
      </c>
      <c r="GC67" s="22">
        <f t="shared" si="25"/>
        <v>517.12706410485578</v>
      </c>
      <c r="GD67" s="60">
        <f t="shared" si="26"/>
        <v>780.55141626441059</v>
      </c>
      <c r="GE67" s="60">
        <f ca="1">AVERAGE(OFFSET($GD$3,0,0,'Données projet'!$E$17+1,1))-AVERAGE(OFFSET($H$3,0,0,'Données projet'!$E$17+1,1))</f>
        <v>542.90832990875208</v>
      </c>
      <c r="GF67" s="60">
        <f t="shared" si="50"/>
        <v>304.94365539329362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254.8</v>
      </c>
      <c r="L68" s="13">
        <f>VLOOKUP(A68,'Données projet'!$A$35:$I$55,9,0)</f>
        <v>4.3399999999999981</v>
      </c>
      <c r="M68" s="13">
        <f t="array" ref="M68">INDEX(L:L,MIN(IF(ISNUMBER(L68:L264),ROW(L68:L264),"")))</f>
        <v>4.3399999999999981</v>
      </c>
      <c r="N68" s="14">
        <f>IF('Données projet'!$A$36&gt;35,N67+M68-V67,IF(A68&lt;'Données projet'!$A$36,$K$205^A68,IF(A68='Données projet'!$A$36,'Données projet'!$B$36,N67+M68-V67)))</f>
        <v>254.80000000000013</v>
      </c>
      <c r="O68" s="14">
        <f>N68*VLOOKUP('Données projet'!$B$9,Paramètres!$A$1:$I$89,3,0)*VLOOKUP('Données projet'!$B$9,Paramètres!$A$1:$I$89,5,0)</f>
        <v>202.7188800000001</v>
      </c>
      <c r="P68" s="14">
        <f t="shared" si="33"/>
        <v>50.341224871428125</v>
      </c>
      <c r="Q68" s="22">
        <f t="shared" si="54"/>
        <v>440.7463493177375</v>
      </c>
      <c r="R68" s="60">
        <f t="shared" si="55"/>
        <v>704.6895554341927</v>
      </c>
      <c r="S68" s="60">
        <f ca="1">AVERAGE(OFFSET($R$3,0,0,'Données projet'!$E$9+1,1))-AVERAGE(OFFSET($H$3,0,0,'Données projet'!$E$9+1,1))</f>
        <v>336.25341821407534</v>
      </c>
      <c r="T68" s="60">
        <f t="shared" si="34"/>
        <v>360.3246221345039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767.2246198094922</v>
      </c>
      <c r="AN68" s="60">
        <f ca="1">AVERAGE(OFFSET($AM$3,0,0,'Données projet'!$E$10+1,1))-AVERAGE(OFFSET($H$3,0,0,'Données projet'!$E$10+1,1))</f>
        <v>516.30971934066179</v>
      </c>
      <c r="AO68" s="60">
        <f t="shared" si="36"/>
        <v>290.84286505723571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0">
        <f t="shared" ref="BH68:BH131" si="62">BG68+(AY68+AZ68)*44/12</f>
        <v>704.6895554341927</v>
      </c>
      <c r="BI68" s="60">
        <f ca="1">AVERAGE(OFFSET($BH$3,0,0,'Données projet'!$E$11+1,1))-AVERAGE(OFFSET($H$3,0,0,'Données projet'!$E$11+1,1))</f>
        <v>336.25341821407534</v>
      </c>
      <c r="BJ68" s="60">
        <f t="shared" si="38"/>
        <v>360.3246221345039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193.58974358974359</v>
      </c>
      <c r="BW68" s="13">
        <f>VLOOKUP(A68,'Données projet'!$A$113:$I$133,9,0)</f>
        <v>4.6153846153846132</v>
      </c>
      <c r="BX68" s="13">
        <f t="array" ref="BX68">INDEX(BW:BW,MIN(IF(ISNUMBER(BW68:BW264),ROW(BW68:BW264),"")))</f>
        <v>4.6153846153846132</v>
      </c>
      <c r="BY68" s="13">
        <f>IF('Données projet'!$A$114&gt;35,BY67+BX68-CG67,IF(A68&lt;'Données projet'!$A$114,$BV$205^A68,IF(A68='Données projet'!$A$114,'Données projet'!$B$114,BY67+BX68-CG67)))</f>
        <v>193.58974358974351</v>
      </c>
      <c r="BZ68" s="14">
        <f>BY68*VLOOKUP('Données projet'!$B$12,Paramètres!$A$1:$I$89,3,0)*VLOOKUP('Données projet'!$B$12,Paramètres!$A$1:$I$89,5,0)</f>
        <v>184.21999999999991</v>
      </c>
      <c r="CA68" s="14">
        <f t="shared" si="39"/>
        <v>46.259788397695985</v>
      </c>
      <c r="CB68" s="22">
        <f t="shared" ref="CB68:CB131" si="64">(BZ68+CA68)*0.475*44/12</f>
        <v>401.4189647926537</v>
      </c>
      <c r="CC68" s="60">
        <f t="shared" ref="CC68:CC131" si="65">CB68+(BT68+BU68)*44/12</f>
        <v>665.36217090910895</v>
      </c>
      <c r="CD68" s="60">
        <f ca="1">AVERAGE(OFFSET($CC$3,0,0,'Données projet'!$E$12+1,1))-AVERAGE(OFFSET($H$3,0,0,'Données projet'!$E$12+1,1))</f>
        <v>398.29746143975166</v>
      </c>
      <c r="CE68" s="60">
        <f t="shared" si="40"/>
        <v>300.63705521148802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221.48879999999991</v>
      </c>
      <c r="CV68" s="14">
        <f t="shared" si="41"/>
        <v>54.43834191952984</v>
      </c>
      <c r="CW68" s="22">
        <f t="shared" ref="CW68:CW131" si="67">(CU68+CV68)*0.475*44/12</f>
        <v>480.57310550984766</v>
      </c>
      <c r="CX68" s="60">
        <f t="shared" ref="CX68:CX131" si="68">CW68+(CO68+CP68)*44/12</f>
        <v>744.51631162630292</v>
      </c>
      <c r="CY68" s="60">
        <f ca="1">AVERAGE(OFFSET($CX$3,0,0,'Données projet'!$E$13+1,1))-AVERAGE(OFFSET($H$3,0,0,'Données projet'!$E$13+1,1))</f>
        <v>496.33873798282525</v>
      </c>
      <c r="CZ68" s="60">
        <f t="shared" si="42"/>
        <v>280.25465074992246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293.33333333333337</v>
      </c>
      <c r="DP68" s="18">
        <f>DO68*VLOOKUP('Données projet'!$B$14,Paramètres!$A$1:$I$89,3,0)*VLOOKUP('Données projet'!$B$14,Paramètres!$A$1:$I$89,5,0)</f>
        <v>228.80000000000004</v>
      </c>
      <c r="DQ68" s="14">
        <f t="shared" si="43"/>
        <v>56.023134533701196</v>
      </c>
      <c r="DR68" s="22">
        <f t="shared" ref="DR68:DR131" si="70">(DP68+DQ68)*0.475*44/12</f>
        <v>496.06695931286299</v>
      </c>
      <c r="DS68" s="60">
        <f t="shared" ref="DS68:DS131" si="71">DR68+(DJ68+DK68)*44/12</f>
        <v>760.01016542931825</v>
      </c>
      <c r="DT68" s="60">
        <f ca="1">AVERAGE(OFFSET($DS$3,0,0,'Données projet'!$E$14+1,1))-AVERAGE(OFFSET($H$3,0,0,'Données projet'!$E$14+1,1))</f>
        <v>312.59632808777332</v>
      </c>
      <c r="DU68" s="60">
        <f t="shared" si="44"/>
        <v>302.59481222418219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240.38461538461539</v>
      </c>
      <c r="EH68" s="13">
        <f>VLOOKUP(A68,'Données projet'!$A$191:$I$211,9,0)</f>
        <v>5.1282051282051331</v>
      </c>
      <c r="EI68" s="13">
        <f t="array" ref="EI68">INDEX(EH:EH,MIN(IF(ISNUMBER(EH68:EH264),ROW(EH68:EH264),"")))</f>
        <v>5.1282051282051331</v>
      </c>
      <c r="EJ68" s="13">
        <f>IF('Données projet'!$A$192&gt;35,EJ67+EI68-ER67,IF(A68&lt;'Données projet'!$A$192,$EG$205^A68,IF(A68='Données projet'!$A$192,'Données projet'!$B$192,EJ67+EI68-ER67)))</f>
        <v>240.38461538461544</v>
      </c>
      <c r="EK68" s="18">
        <f>EJ68*VLOOKUP('Données projet'!$B$15,Paramètres!$A$1:$I$89,3,0)*VLOOKUP('Données projet'!$B$15,Paramètres!$A$1:$I$89,5,0)</f>
        <v>161.25000000000006</v>
      </c>
      <c r="EL68" s="14">
        <f t="shared" si="45"/>
        <v>41.124328571986439</v>
      </c>
      <c r="EM68" s="22">
        <f t="shared" ref="EM68:EM131" si="73">(EK68+EL68)*0.475*44/12</f>
        <v>352.46862226287652</v>
      </c>
      <c r="EN68" s="60">
        <f t="shared" ref="EN68:EN131" si="74">EM68+(EE68+EF68)*44/12</f>
        <v>616.41182837933172</v>
      </c>
      <c r="EO68" s="60">
        <f ca="1">AVERAGE(OFFSET($EN$3,0,0,'Données projet'!$E$15+1,1))-AVERAGE(OFFSET($H$3,0,0,'Données projet'!$E$15+1,1))</f>
        <v>344.62096650402731</v>
      </c>
      <c r="EP68" s="60">
        <f t="shared" si="46"/>
        <v>277.30931495079346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254.8</v>
      </c>
      <c r="FC68" s="13">
        <f>VLOOKUP(A68,'Données projet'!$A$217:$I$237,9,0)</f>
        <v>4.3399999999999981</v>
      </c>
      <c r="FD68" s="13">
        <f t="array" ref="FD68">INDEX(FC:FC,MIN(IF(ISNUMBER(FC68:FC264),ROW(FC68:FC264),"")))</f>
        <v>4.3399999999999981</v>
      </c>
      <c r="FE68" s="13">
        <f>IF('Données projet'!$A$218&gt;35,FE67+FD68-FM67,IF(A68&lt;'Données projet'!$A$218,$FB$205^A68,IF(A68='Données projet'!$A$218,'Données projet'!$B$218,FE67+FD68-FM67)))</f>
        <v>254.80000000000013</v>
      </c>
      <c r="FF68" s="18">
        <f>FE68*VLOOKUP('Données projet'!$B$16,Paramètres!$A$1:$I$89,3,0)*VLOOKUP('Données projet'!$B$16,Paramètres!$A$1:$I$89,5,0)</f>
        <v>222.59328000000014</v>
      </c>
      <c r="FG68" s="14">
        <f t="shared" si="47"/>
        <v>54.678137323894518</v>
      </c>
      <c r="FH68" s="22">
        <f t="shared" ref="FH68:FH131" si="76">(FF68+FG68)*0.475*44/12</f>
        <v>482.91438517244984</v>
      </c>
      <c r="FI68" s="60">
        <f t="shared" ref="FI68:FI131" si="77">FH68+(EZ68+FA68)*44/12</f>
        <v>746.85759128890504</v>
      </c>
      <c r="FJ68" s="60">
        <f ca="1">AVERAGE(OFFSET($FI$3,0,0,'Données projet'!$E$16+1,1))-AVERAGE(OFFSET($H$3,0,0,'Données projet'!$E$16+1,1))</f>
        <v>363.28611056308665</v>
      </c>
      <c r="FK68" s="60">
        <f t="shared" si="48"/>
        <v>389.43647559455974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229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228.99999999999991</v>
      </c>
      <c r="GA68" s="18">
        <f>FZ68*VLOOKUP('Données projet'!$B$17,Paramètres!$A$1:$I$89,3,0)*VLOOKUP('Données projet'!$B$17,Paramètres!$A$1:$I$89,5,0)</f>
        <v>246.49559999999991</v>
      </c>
      <c r="GB68" s="14">
        <f t="shared" si="49"/>
        <v>59.834910912017278</v>
      </c>
      <c r="GC68" s="22">
        <f t="shared" ref="GC68:GC131" si="79">(GA68+GB68)*0.475*44/12</f>
        <v>533.52563983842992</v>
      </c>
      <c r="GD68" s="60">
        <f t="shared" ref="GD68:GD131" si="80">GC68+(FU68+FV68)*44/12</f>
        <v>797.46884595488518</v>
      </c>
      <c r="GE68" s="60">
        <f ca="1">AVERAGE(OFFSET($GD$3,0,0,'Données projet'!$E$17+1,1))-AVERAGE(OFFSET($H$3,0,0,'Données projet'!$E$17+1,1))</f>
        <v>542.90832990875208</v>
      </c>
      <c r="GF68" s="60">
        <f t="shared" si="50"/>
        <v>304.94365539329362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3.7599999999999909</v>
      </c>
      <c r="N69" s="14">
        <f>IF('Données projet'!$A$36&gt;35,N68+M69-V68,IF(A69&lt;'Données projet'!$A$36,$K$205^A69,IF(A69='Données projet'!$A$36,'Données projet'!$B$36,N68+M69-V68)))</f>
        <v>258.56000000000012</v>
      </c>
      <c r="O69" s="14">
        <f>N69*VLOOKUP('Données projet'!$B$9,Paramètres!$A$1:$I$89,3,0)*VLOOKUP('Données projet'!$B$9,Paramètres!$A$1:$I$89,5,0)</f>
        <v>205.7103360000001</v>
      </c>
      <c r="P69" s="14">
        <f t="shared" ref="P69:P132" si="87">EXP(-1.0587+0.8836*LN(O69)+0.284)</f>
        <v>50.99706319664395</v>
      </c>
      <c r="Q69" s="22">
        <f t="shared" si="54"/>
        <v>447.09872026748832</v>
      </c>
      <c r="R69" s="60">
        <f t="shared" si="55"/>
        <v>711.55177938467546</v>
      </c>
      <c r="S69" s="60">
        <f ca="1">AVERAGE(OFFSET($R$3,0,0,'Données projet'!$E$9+1,1))-AVERAGE(OFFSET($H$3,0,0,'Données projet'!$E$9+1,1))</f>
        <v>336.25341821407534</v>
      </c>
      <c r="T69" s="60">
        <f t="shared" ref="T69:T132" si="88">$T$3</f>
        <v>360.3246221345039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782.33295227416579</v>
      </c>
      <c r="AN69" s="60">
        <f ca="1">AVERAGE(OFFSET($AM$3,0,0,'Données projet'!$E$10+1,1))-AVERAGE(OFFSET($H$3,0,0,'Données projet'!$E$10+1,1))</f>
        <v>516.30971934066179</v>
      </c>
      <c r="AO69" s="60">
        <f t="shared" ref="AO69:AO132" si="90">$AO$3</f>
        <v>290.84286505723571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0">
        <f t="shared" si="62"/>
        <v>711.55177938467546</v>
      </c>
      <c r="BI69" s="60">
        <f ca="1">AVERAGE(OFFSET($BH$3,0,0,'Données projet'!$E$11+1,1))-AVERAGE(OFFSET($H$3,0,0,'Données projet'!$E$11+1,1))</f>
        <v>336.25341821407534</v>
      </c>
      <c r="BJ69" s="60">
        <f t="shared" ref="BJ69:BJ132" si="92">$BJ$3</f>
        <v>360.3246221345039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4.3589743589743595</v>
      </c>
      <c r="BY69" s="13">
        <f>IF('Données projet'!$A$114&gt;35,BY68+BX69-CG68,IF(A69&lt;'Données projet'!$A$114,$BV$205^A69,IF(A69='Données projet'!$A$114,'Données projet'!$B$114,BY68+BX69-CG68)))</f>
        <v>197.94871794871787</v>
      </c>
      <c r="BZ69" s="14">
        <f>BY69*VLOOKUP('Données projet'!$B$12,Paramètres!$A$1:$I$89,3,0)*VLOOKUP('Données projet'!$B$12,Paramètres!$A$1:$I$89,5,0)</f>
        <v>188.36799999999994</v>
      </c>
      <c r="CA69" s="14">
        <f t="shared" ref="CA69:CA132" si="93">EXP(-1.0587+0.8836*LN(BZ69)+0.284)</f>
        <v>47.17895987093894</v>
      </c>
      <c r="CB69" s="22">
        <f t="shared" si="64"/>
        <v>410.2442884418852</v>
      </c>
      <c r="CC69" s="60">
        <f t="shared" si="65"/>
        <v>674.69734755907234</v>
      </c>
      <c r="CD69" s="60">
        <f ca="1">AVERAGE(OFFSET($CC$3,0,0,'Données projet'!$E$12+1,1))-AVERAGE(OFFSET($H$3,0,0,'Données projet'!$E$12+1,1))</f>
        <v>398.29746143975166</v>
      </c>
      <c r="CE69" s="60">
        <f t="shared" ref="CE69:CE132" si="94">$CE$3</f>
        <v>300.63705521148802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228.06575999999993</v>
      </c>
      <c r="CV69" s="14">
        <f t="shared" ref="CV69:CV132" si="95">EXP(-1.0587+0.8836*LN(CU69)+0.284)</f>
        <v>55.864248276798108</v>
      </c>
      <c r="CW69" s="22">
        <f t="shared" si="67"/>
        <v>494.51143108208981</v>
      </c>
      <c r="CX69" s="60">
        <f t="shared" si="68"/>
        <v>758.96449019927695</v>
      </c>
      <c r="CY69" s="60">
        <f ca="1">AVERAGE(OFFSET($CX$3,0,0,'Données projet'!$E$13+1,1))-AVERAGE(OFFSET($H$3,0,0,'Données projet'!$E$13+1,1))</f>
        <v>496.33873798282525</v>
      </c>
      <c r="CZ69" s="60">
        <f t="shared" ref="CZ69:CZ132" si="96">$CZ$3</f>
        <v>280.25465074992246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302.00000000000006</v>
      </c>
      <c r="DP69" s="18">
        <f>DO69*VLOOKUP('Données projet'!$B$14,Paramètres!$A$1:$I$89,3,0)*VLOOKUP('Données projet'!$B$14,Paramètres!$A$1:$I$89,5,0)</f>
        <v>235.56000000000006</v>
      </c>
      <c r="DQ69" s="14">
        <f t="shared" ref="DQ69:DQ132" si="97">EXP(-1.0587+0.8836*LN(DP69)+0.284)</f>
        <v>57.483207143847771</v>
      </c>
      <c r="DR69" s="22">
        <f t="shared" si="70"/>
        <v>510.38358577553487</v>
      </c>
      <c r="DS69" s="60">
        <f t="shared" si="71"/>
        <v>774.83664489272201</v>
      </c>
      <c r="DT69" s="60">
        <f ca="1">AVERAGE(OFFSET($DS$3,0,0,'Données projet'!$E$14+1,1))-AVERAGE(OFFSET($H$3,0,0,'Données projet'!$E$14+1,1))</f>
        <v>312.59632808777332</v>
      </c>
      <c r="DU69" s="60">
        <f t="shared" ref="DU69:DU132" si="98">$DU$3</f>
        <v>302.59481222418219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4.9999999999999947</v>
      </c>
      <c r="EJ69" s="13">
        <f>IF('Données projet'!$A$192&gt;35,EJ68+EI69-ER68,IF(A69&lt;'Données projet'!$A$192,$EG$205^A69,IF(A69='Données projet'!$A$192,'Données projet'!$B$192,EJ68+EI69-ER68)))</f>
        <v>245.38461538461544</v>
      </c>
      <c r="EK69" s="18">
        <f>EJ69*VLOOKUP('Données projet'!$B$15,Paramètres!$A$1:$I$89,3,0)*VLOOKUP('Données projet'!$B$15,Paramètres!$A$1:$I$89,5,0)</f>
        <v>164.60400000000004</v>
      </c>
      <c r="EL69" s="14">
        <f t="shared" ref="EL69:EL132" si="99">EXP(-1.0587+0.8836*LN(EK69)+0.284)</f>
        <v>41.879239712742802</v>
      </c>
      <c r="EM69" s="22">
        <f t="shared" si="73"/>
        <v>359.62497583302707</v>
      </c>
      <c r="EN69" s="60">
        <f t="shared" si="74"/>
        <v>624.07803495021415</v>
      </c>
      <c r="EO69" s="60">
        <f ca="1">AVERAGE(OFFSET($EN$3,0,0,'Données projet'!$E$15+1,1))-AVERAGE(OFFSET($H$3,0,0,'Données projet'!$E$15+1,1))</f>
        <v>344.62096650402731</v>
      </c>
      <c r="EP69" s="60">
        <f t="shared" ref="EP69:EP132" si="100">$EP$3</f>
        <v>277.30931495079346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3.7599999999999909</v>
      </c>
      <c r="FE69" s="13">
        <f>IF('Données projet'!$A$218&gt;35,FE68+FD69-FM68,IF(A69&lt;'Données projet'!$A$218,$FB$205^A69,IF(A69='Données projet'!$A$218,'Données projet'!$B$218,FE68+FD69-FM68)))</f>
        <v>258.56000000000012</v>
      </c>
      <c r="FF69" s="18">
        <f>FE69*VLOOKUP('Données projet'!$B$16,Paramètres!$A$1:$I$89,3,0)*VLOOKUP('Données projet'!$B$16,Paramètres!$A$1:$I$89,5,0)</f>
        <v>225.87801600000014</v>
      </c>
      <c r="FG69" s="14">
        <f t="shared" ref="FG69:FG132" si="101">EXP(-1.0587+0.8836*LN(FF69)+0.284)</f>
        <v>55.390476328358808</v>
      </c>
      <c r="FH69" s="22">
        <f t="shared" si="76"/>
        <v>489.87595747189181</v>
      </c>
      <c r="FI69" s="60">
        <f t="shared" si="77"/>
        <v>754.32901658907895</v>
      </c>
      <c r="FJ69" s="60">
        <f ca="1">AVERAGE(OFFSET($FI$3,0,0,'Données projet'!$E$16+1,1))-AVERAGE(OFFSET($H$3,0,0,'Données projet'!$E$16+1,1))</f>
        <v>363.28611056308665</v>
      </c>
      <c r="FK69" s="60">
        <f t="shared" ref="FK69:FK132" si="102">$FK$3</f>
        <v>389.43647559455974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235.79999999999993</v>
      </c>
      <c r="GA69" s="18">
        <f>FZ69*VLOOKUP('Données projet'!$B$17,Paramètres!$A$1:$I$89,3,0)*VLOOKUP('Données projet'!$B$17,Paramètres!$A$1:$I$89,5,0)</f>
        <v>253.81511999999992</v>
      </c>
      <c r="GB69" s="14">
        <f t="shared" ref="GB69:GB132" si="103">EXP(-1.0587+0.8836*LN(GA69)+0.284)</f>
        <v>61.402169885153235</v>
      </c>
      <c r="GC69" s="22">
        <f t="shared" si="79"/>
        <v>549.00344654997514</v>
      </c>
      <c r="GD69" s="60">
        <f t="shared" si="80"/>
        <v>813.45650566716222</v>
      </c>
      <c r="GE69" s="60">
        <f ca="1">AVERAGE(OFFSET($GD$3,0,0,'Données projet'!$E$17+1,1))-AVERAGE(OFFSET($H$3,0,0,'Données projet'!$E$17+1,1))</f>
        <v>542.90832990875208</v>
      </c>
      <c r="GF69" s="60">
        <f t="shared" ref="GF69:GF132" si="104">$GF$3</f>
        <v>304.94365539329362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3.7599999999999909</v>
      </c>
      <c r="N70" s="14">
        <f>IF('Données projet'!$A$36&gt;35,N69+M70-V69,IF(A70&lt;'Données projet'!$A$36,$K$205^A70,IF(A70='Données projet'!$A$36,'Données projet'!$B$36,N69+M70-V69)))</f>
        <v>262.32000000000011</v>
      </c>
      <c r="O70" s="14">
        <f>N70*VLOOKUP('Données projet'!$B$9,Paramètres!$A$1:$I$89,3,0)*VLOOKUP('Données projet'!$B$9,Paramètres!$A$1:$I$89,5,0)</f>
        <v>208.7017920000001</v>
      </c>
      <c r="P70" s="14">
        <f t="shared" si="87"/>
        <v>51.651792283320177</v>
      </c>
      <c r="Q70" s="22">
        <f t="shared" si="54"/>
        <v>453.44915929344944</v>
      </c>
      <c r="R70" s="60">
        <f t="shared" si="55"/>
        <v>718.40322660166635</v>
      </c>
      <c r="S70" s="60">
        <f ca="1">AVERAGE(OFFSET($R$3,0,0,'Données projet'!$E$9+1,1))-AVERAGE(OFFSET($H$3,0,0,'Données projet'!$E$9+1,1))</f>
        <v>336.25341821407534</v>
      </c>
      <c r="T70" s="60">
        <f t="shared" si="88"/>
        <v>360.3246221345039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797.42376148267726</v>
      </c>
      <c r="AN70" s="60">
        <f ca="1">AVERAGE(OFFSET($AM$3,0,0,'Données projet'!$E$10+1,1))-AVERAGE(OFFSET($H$3,0,0,'Données projet'!$E$10+1,1))</f>
        <v>516.30971934066179</v>
      </c>
      <c r="AO70" s="60">
        <f t="shared" si="90"/>
        <v>290.84286505723571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0">
        <f t="shared" si="62"/>
        <v>718.40322660166635</v>
      </c>
      <c r="BI70" s="60">
        <f ca="1">AVERAGE(OFFSET($BH$3,0,0,'Données projet'!$E$11+1,1))-AVERAGE(OFFSET($H$3,0,0,'Données projet'!$E$11+1,1))</f>
        <v>336.25341821407534</v>
      </c>
      <c r="BJ70" s="60">
        <f t="shared" si="92"/>
        <v>360.3246221345039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4.3589743589743595</v>
      </c>
      <c r="BY70" s="13">
        <f>IF('Données projet'!$A$114&gt;35,BY69+BX70-CG69,IF(A70&lt;'Données projet'!$A$114,$BV$205^A70,IF(A70='Données projet'!$A$114,'Données projet'!$B$114,BY69+BX70-CG69)))</f>
        <v>202.30769230769224</v>
      </c>
      <c r="BZ70" s="14">
        <f>BY70*VLOOKUP('Données projet'!$B$12,Paramètres!$A$1:$I$89,3,0)*VLOOKUP('Données projet'!$B$12,Paramètres!$A$1:$I$89,5,0)</f>
        <v>192.51599999999993</v>
      </c>
      <c r="CA70" s="14">
        <f t="shared" si="93"/>
        <v>48.095778128339838</v>
      </c>
      <c r="CB70" s="22">
        <f t="shared" si="64"/>
        <v>419.0655135735251</v>
      </c>
      <c r="CC70" s="60">
        <f t="shared" si="65"/>
        <v>684.01958088174206</v>
      </c>
      <c r="CD70" s="60">
        <f ca="1">AVERAGE(OFFSET($CC$3,0,0,'Données projet'!$E$12+1,1))-AVERAGE(OFFSET($H$3,0,0,'Données projet'!$E$12+1,1))</f>
        <v>398.29746143975166</v>
      </c>
      <c r="CE70" s="60">
        <f t="shared" si="94"/>
        <v>300.63705521148802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234.64271999999994</v>
      </c>
      <c r="CV70" s="14">
        <f t="shared" si="95"/>
        <v>57.285375557336316</v>
      </c>
      <c r="CW70" s="22">
        <f t="shared" si="67"/>
        <v>508.44143309569387</v>
      </c>
      <c r="CX70" s="60">
        <f t="shared" si="68"/>
        <v>773.39550040391077</v>
      </c>
      <c r="CY70" s="60">
        <f ca="1">AVERAGE(OFFSET($CX$3,0,0,'Données projet'!$E$13+1,1))-AVERAGE(OFFSET($H$3,0,0,'Données projet'!$E$13+1,1))</f>
        <v>496.33873798282525</v>
      </c>
      <c r="CZ70" s="60">
        <f t="shared" si="96"/>
        <v>280.25465074992246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310.66666666666674</v>
      </c>
      <c r="DP70" s="18">
        <f>DO70*VLOOKUP('Données projet'!$B$14,Paramètres!$A$1:$I$89,3,0)*VLOOKUP('Données projet'!$B$14,Paramètres!$A$1:$I$89,5,0)</f>
        <v>242.32000000000008</v>
      </c>
      <c r="DQ70" s="14">
        <f t="shared" si="97"/>
        <v>58.938409961900909</v>
      </c>
      <c r="DR70" s="22">
        <f t="shared" si="70"/>
        <v>524.69173068364421</v>
      </c>
      <c r="DS70" s="60">
        <f t="shared" si="71"/>
        <v>789.64579799186117</v>
      </c>
      <c r="DT70" s="60">
        <f ca="1">AVERAGE(OFFSET($DS$3,0,0,'Données projet'!$E$14+1,1))-AVERAGE(OFFSET($H$3,0,0,'Données projet'!$E$14+1,1))</f>
        <v>312.59632808777332</v>
      </c>
      <c r="DU70" s="60">
        <f t="shared" si="98"/>
        <v>302.59481222418219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4.9999999999999947</v>
      </c>
      <c r="EJ70" s="13">
        <f>IF('Données projet'!$A$192&gt;35,EJ69+EI70-ER69,IF(A70&lt;'Données projet'!$A$192,$EG$205^A70,IF(A70='Données projet'!$A$192,'Données projet'!$B$192,EJ69+EI70-ER69)))</f>
        <v>250.38461538461544</v>
      </c>
      <c r="EK70" s="18">
        <f>EJ70*VLOOKUP('Données projet'!$B$15,Paramètres!$A$1:$I$89,3,0)*VLOOKUP('Données projet'!$B$15,Paramètres!$A$1:$I$89,5,0)</f>
        <v>167.95800000000006</v>
      </c>
      <c r="EL70" s="14">
        <f t="shared" si="99"/>
        <v>42.632362356023975</v>
      </c>
      <c r="EM70" s="22">
        <f t="shared" si="73"/>
        <v>366.77821443674179</v>
      </c>
      <c r="EN70" s="60">
        <f t="shared" si="74"/>
        <v>631.73228174495875</v>
      </c>
      <c r="EO70" s="60">
        <f ca="1">AVERAGE(OFFSET($EN$3,0,0,'Données projet'!$E$15+1,1))-AVERAGE(OFFSET($H$3,0,0,'Données projet'!$E$15+1,1))</f>
        <v>344.62096650402731</v>
      </c>
      <c r="EP70" s="60">
        <f t="shared" si="100"/>
        <v>277.30931495079346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3.7599999999999909</v>
      </c>
      <c r="FE70" s="13">
        <f>IF('Données projet'!$A$218&gt;35,FE69+FD70-FM69,IF(A70&lt;'Données projet'!$A$218,$FB$205^A70,IF(A70='Données projet'!$A$218,'Données projet'!$B$218,FE69+FD70-FM69)))</f>
        <v>262.32000000000011</v>
      </c>
      <c r="FF70" s="18">
        <f>FE70*VLOOKUP('Données projet'!$B$16,Paramètres!$A$1:$I$89,3,0)*VLOOKUP('Données projet'!$B$16,Paramètres!$A$1:$I$89,5,0)</f>
        <v>229.1627520000001</v>
      </c>
      <c r="FG70" s="14">
        <f t="shared" si="101"/>
        <v>56.101610533032222</v>
      </c>
      <c r="FH70" s="22">
        <f t="shared" si="76"/>
        <v>496.83543141169798</v>
      </c>
      <c r="FI70" s="60">
        <f t="shared" si="77"/>
        <v>761.78949871991495</v>
      </c>
      <c r="FJ70" s="60">
        <f ca="1">AVERAGE(OFFSET($FI$3,0,0,'Données projet'!$E$16+1,1))-AVERAGE(OFFSET($H$3,0,0,'Données projet'!$E$16+1,1))</f>
        <v>363.28611056308665</v>
      </c>
      <c r="FK70" s="60">
        <f t="shared" si="102"/>
        <v>389.43647559455974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242.59999999999994</v>
      </c>
      <c r="GA70" s="18">
        <f>FZ70*VLOOKUP('Données projet'!$B$17,Paramètres!$A$1:$I$89,3,0)*VLOOKUP('Données projet'!$B$17,Paramètres!$A$1:$I$89,5,0)</f>
        <v>261.13463999999993</v>
      </c>
      <c r="GB70" s="14">
        <f t="shared" si="103"/>
        <v>62.964176023241265</v>
      </c>
      <c r="GC70" s="22">
        <f t="shared" si="79"/>
        <v>564.47210457381163</v>
      </c>
      <c r="GD70" s="60">
        <f t="shared" si="80"/>
        <v>829.42617188202848</v>
      </c>
      <c r="GE70" s="60">
        <f ca="1">AVERAGE(OFFSET($GD$3,0,0,'Données projet'!$E$17+1,1))-AVERAGE(OFFSET($H$3,0,0,'Données projet'!$E$17+1,1))</f>
        <v>542.90832990875208</v>
      </c>
      <c r="GF70" s="60">
        <f t="shared" si="104"/>
        <v>304.94365539329362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3.7599999999999909</v>
      </c>
      <c r="N71" s="14">
        <f>IF('Données projet'!$A$36&gt;35,N70+M71-V70,IF(A71&lt;'Données projet'!$A$36,$K$205^A71,IF(A71='Données projet'!$A$36,'Données projet'!$B$36,N70+M71-V70)))</f>
        <v>266.0800000000001</v>
      </c>
      <c r="O71" s="14">
        <f>N71*VLOOKUP('Données projet'!$B$9,Paramètres!$A$1:$I$89,3,0)*VLOOKUP('Données projet'!$B$9,Paramètres!$A$1:$I$89,5,0)</f>
        <v>211.69324800000007</v>
      </c>
      <c r="P71" s="14">
        <f t="shared" si="87"/>
        <v>52.305429867997155</v>
      </c>
      <c r="Q71" s="22">
        <f t="shared" si="54"/>
        <v>459.79769728676183</v>
      </c>
      <c r="R71" s="60">
        <f t="shared" si="55"/>
        <v>725.24408141398067</v>
      </c>
      <c r="S71" s="60">
        <f ca="1">AVERAGE(OFFSET($R$3,0,0,'Données projet'!$E$9+1,1))-AVERAGE(OFFSET($H$3,0,0,'Données projet'!$E$9+1,1))</f>
        <v>336.25341821407534</v>
      </c>
      <c r="T71" s="60">
        <f t="shared" si="88"/>
        <v>360.3246221345039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812.49747207094686</v>
      </c>
      <c r="AN71" s="60">
        <f ca="1">AVERAGE(OFFSET($AM$3,0,0,'Données projet'!$E$10+1,1))-AVERAGE(OFFSET($H$3,0,0,'Données projet'!$E$10+1,1))</f>
        <v>516.30971934066179</v>
      </c>
      <c r="AO71" s="60">
        <f t="shared" si="90"/>
        <v>290.84286505723571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0">
        <f t="shared" si="62"/>
        <v>725.24408141398067</v>
      </c>
      <c r="BI71" s="60">
        <f ca="1">AVERAGE(OFFSET($BH$3,0,0,'Données projet'!$E$11+1,1))-AVERAGE(OFFSET($H$3,0,0,'Données projet'!$E$11+1,1))</f>
        <v>336.25341821407534</v>
      </c>
      <c r="BJ71" s="60">
        <f t="shared" si="92"/>
        <v>360.3246221345039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4.3589743589743595</v>
      </c>
      <c r="BY71" s="13">
        <f>IF('Données projet'!$A$114&gt;35,BY70+BX71-CG70,IF(A71&lt;'Données projet'!$A$114,$BV$205^A71,IF(A71='Données projet'!$A$114,'Données projet'!$B$114,BY70+BX71-CG70)))</f>
        <v>206.6666666666666</v>
      </c>
      <c r="BZ71" s="14">
        <f>BY71*VLOOKUP('Données projet'!$B$12,Paramètres!$A$1:$I$89,3,0)*VLOOKUP('Données projet'!$B$12,Paramètres!$A$1:$I$89,5,0)</f>
        <v>196.66399999999993</v>
      </c>
      <c r="CA71" s="14">
        <f t="shared" si="93"/>
        <v>49.010299712644574</v>
      </c>
      <c r="CB71" s="22">
        <f t="shared" si="64"/>
        <v>427.8827386661892</v>
      </c>
      <c r="CC71" s="60">
        <f t="shared" si="65"/>
        <v>693.32912279340803</v>
      </c>
      <c r="CD71" s="60">
        <f ca="1">AVERAGE(OFFSET($CC$3,0,0,'Données projet'!$E$12+1,1))-AVERAGE(OFFSET($H$3,0,0,'Données projet'!$E$12+1,1))</f>
        <v>398.29746143975166</v>
      </c>
      <c r="CE71" s="60">
        <f t="shared" si="94"/>
        <v>300.63705521148802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241.21967999999995</v>
      </c>
      <c r="CV71" s="14">
        <f t="shared" si="95"/>
        <v>58.701873105526744</v>
      </c>
      <c r="CW71" s="22">
        <f t="shared" si="67"/>
        <v>522.36337165879229</v>
      </c>
      <c r="CX71" s="60">
        <f t="shared" si="68"/>
        <v>787.80975578601112</v>
      </c>
      <c r="CY71" s="60">
        <f ca="1">AVERAGE(OFFSET($CX$3,0,0,'Données projet'!$E$13+1,1))-AVERAGE(OFFSET($H$3,0,0,'Données projet'!$E$13+1,1))</f>
        <v>496.33873798282525</v>
      </c>
      <c r="CZ71" s="60">
        <f t="shared" si="96"/>
        <v>280.25465074992246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319.33333333333343</v>
      </c>
      <c r="DP71" s="18">
        <f>DO71*VLOOKUP('Données projet'!$B$14,Paramètres!$A$1:$I$89,3,0)*VLOOKUP('Données projet'!$B$14,Paramètres!$A$1:$I$89,5,0)</f>
        <v>249.08000000000007</v>
      </c>
      <c r="DQ71" s="14">
        <f t="shared" si="97"/>
        <v>60.388894447487807</v>
      </c>
      <c r="DR71" s="22">
        <f t="shared" si="70"/>
        <v>538.99165782937473</v>
      </c>
      <c r="DS71" s="60">
        <f t="shared" si="71"/>
        <v>804.43804195659357</v>
      </c>
      <c r="DT71" s="60">
        <f ca="1">AVERAGE(OFFSET($DS$3,0,0,'Données projet'!$E$14+1,1))-AVERAGE(OFFSET($H$3,0,0,'Données projet'!$E$14+1,1))</f>
        <v>312.59632808777332</v>
      </c>
      <c r="DU71" s="60">
        <f t="shared" si="98"/>
        <v>302.59481222418219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4.9999999999999947</v>
      </c>
      <c r="EJ71" s="13">
        <f>IF('Données projet'!$A$192&gt;35,EJ70+EI71-ER70,IF(A71&lt;'Données projet'!$A$192,$EG$205^A71,IF(A71='Données projet'!$A$192,'Données projet'!$B$192,EJ70+EI71-ER70)))</f>
        <v>255.38461538461544</v>
      </c>
      <c r="EK71" s="18">
        <f>EJ71*VLOOKUP('Données projet'!$B$15,Paramètres!$A$1:$I$89,3,0)*VLOOKUP('Données projet'!$B$15,Paramètres!$A$1:$I$89,5,0)</f>
        <v>171.31200000000004</v>
      </c>
      <c r="EL71" s="14">
        <f t="shared" si="99"/>
        <v>43.383736333098376</v>
      </c>
      <c r="EM71" s="22">
        <f t="shared" si="73"/>
        <v>373.92840744681308</v>
      </c>
      <c r="EN71" s="60">
        <f t="shared" si="74"/>
        <v>639.37479157403186</v>
      </c>
      <c r="EO71" s="60">
        <f ca="1">AVERAGE(OFFSET($EN$3,0,0,'Données projet'!$E$15+1,1))-AVERAGE(OFFSET($H$3,0,0,'Données projet'!$E$15+1,1))</f>
        <v>344.62096650402731</v>
      </c>
      <c r="EP71" s="60">
        <f t="shared" si="100"/>
        <v>277.30931495079346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3.7599999999999909</v>
      </c>
      <c r="FE71" s="13">
        <f>IF('Données projet'!$A$218&gt;35,FE70+FD71-FM70,IF(A71&lt;'Données projet'!$A$218,$FB$205^A71,IF(A71='Données projet'!$A$218,'Données projet'!$B$218,FE70+FD71-FM70)))</f>
        <v>266.0800000000001</v>
      </c>
      <c r="FF71" s="18">
        <f>FE71*VLOOKUP('Données projet'!$B$16,Paramètres!$A$1:$I$89,3,0)*VLOOKUP('Données projet'!$B$16,Paramètres!$A$1:$I$89,5,0)</f>
        <v>232.44748800000013</v>
      </c>
      <c r="FG71" s="14">
        <f t="shared" si="101"/>
        <v>56.811559202463812</v>
      </c>
      <c r="FH71" s="22">
        <f t="shared" si="76"/>
        <v>503.79284054429132</v>
      </c>
      <c r="FI71" s="60">
        <f t="shared" si="77"/>
        <v>769.2392246715101</v>
      </c>
      <c r="FJ71" s="60">
        <f ca="1">AVERAGE(OFFSET($FI$3,0,0,'Données projet'!$E$16+1,1))-AVERAGE(OFFSET($H$3,0,0,'Données projet'!$E$16+1,1))</f>
        <v>363.28611056308665</v>
      </c>
      <c r="FK71" s="60">
        <f t="shared" si="102"/>
        <v>389.43647559455974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249.39999999999995</v>
      </c>
      <c r="GA71" s="18">
        <f>FZ71*VLOOKUP('Données projet'!$B$17,Paramètres!$A$1:$I$89,3,0)*VLOOKUP('Données projet'!$B$17,Paramètres!$A$1:$I$89,5,0)</f>
        <v>268.45415999999994</v>
      </c>
      <c r="GB71" s="14">
        <f t="shared" si="103"/>
        <v>64.521093475436089</v>
      </c>
      <c r="GC71" s="22">
        <f t="shared" si="79"/>
        <v>579.93189980305101</v>
      </c>
      <c r="GD71" s="60">
        <f t="shared" si="80"/>
        <v>845.37828393026984</v>
      </c>
      <c r="GE71" s="60">
        <f ca="1">AVERAGE(OFFSET($GD$3,0,0,'Données projet'!$E$17+1,1))-AVERAGE(OFFSET($H$3,0,0,'Données projet'!$E$17+1,1))</f>
        <v>542.90832990875208</v>
      </c>
      <c r="GF71" s="60">
        <f t="shared" si="104"/>
        <v>304.94365539329362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3.7599999999999909</v>
      </c>
      <c r="N72" s="14">
        <f>IF('Données projet'!$A$36&gt;35,N71+M72-V71,IF(A72&lt;'Données projet'!$A$36,$K$205^A72,IF(A72='Données projet'!$A$36,'Données projet'!$B$36,N71+M72-V71)))</f>
        <v>269.84000000000009</v>
      </c>
      <c r="O72" s="14">
        <f>N72*VLOOKUP('Données projet'!$B$9,Paramètres!$A$1:$I$89,3,0)*VLOOKUP('Données projet'!$B$9,Paramètres!$A$1:$I$89,5,0)</f>
        <v>214.68470400000007</v>
      </c>
      <c r="P72" s="14">
        <f t="shared" si="87"/>
        <v>52.957993157151179</v>
      </c>
      <c r="Q72" s="22">
        <f t="shared" si="54"/>
        <v>466.14436421537175</v>
      </c>
      <c r="R72" s="60">
        <f t="shared" si="55"/>
        <v>732.07452456543831</v>
      </c>
      <c r="S72" s="60">
        <f ca="1">AVERAGE(OFFSET($R$3,0,0,'Données projet'!$E$9+1,1))-AVERAGE(OFFSET($H$3,0,0,'Données projet'!$E$9+1,1))</f>
        <v>336.25341821407534</v>
      </c>
      <c r="T72" s="60">
        <f t="shared" si="88"/>
        <v>360.3246221345039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827.55449038267056</v>
      </c>
      <c r="AN72" s="60">
        <f ca="1">AVERAGE(OFFSET($AM$3,0,0,'Données projet'!$E$10+1,1))-AVERAGE(OFFSET($H$3,0,0,'Données projet'!$E$10+1,1))</f>
        <v>516.30971934066179</v>
      </c>
      <c r="AO72" s="60">
        <f t="shared" si="90"/>
        <v>290.84286505723571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0">
        <f t="shared" si="62"/>
        <v>732.07452456543831</v>
      </c>
      <c r="BI72" s="60">
        <f ca="1">AVERAGE(OFFSET($BH$3,0,0,'Données projet'!$E$11+1,1))-AVERAGE(OFFSET($H$3,0,0,'Données projet'!$E$11+1,1))</f>
        <v>336.25341821407534</v>
      </c>
      <c r="BJ72" s="60">
        <f t="shared" si="92"/>
        <v>360.3246221345039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4.3589743589743595</v>
      </c>
      <c r="BY72" s="13">
        <f>IF('Données projet'!$A$114&gt;35,BY71+BX72-CG71,IF(A72&lt;'Données projet'!$A$114,$BV$205^A72,IF(A72='Données projet'!$A$114,'Données projet'!$B$114,BY71+BX72-CG71)))</f>
        <v>211.02564102564097</v>
      </c>
      <c r="BZ72" s="14">
        <f>BY72*VLOOKUP('Données projet'!$B$12,Paramètres!$A$1:$I$89,3,0)*VLOOKUP('Données projet'!$B$12,Paramètres!$A$1:$I$89,5,0)</f>
        <v>200.81199999999993</v>
      </c>
      <c r="CA72" s="14">
        <f t="shared" si="93"/>
        <v>49.922578645138138</v>
      </c>
      <c r="CB72" s="22">
        <f t="shared" si="64"/>
        <v>436.69605780694877</v>
      </c>
      <c r="CC72" s="60">
        <f t="shared" si="65"/>
        <v>702.62621815701527</v>
      </c>
      <c r="CD72" s="60">
        <f ca="1">AVERAGE(OFFSET($CC$3,0,0,'Données projet'!$E$12+1,1))-AVERAGE(OFFSET($H$3,0,0,'Données projet'!$E$12+1,1))</f>
        <v>398.29746143975166</v>
      </c>
      <c r="CE72" s="60">
        <f t="shared" si="94"/>
        <v>300.63705521148802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247.79663999999997</v>
      </c>
      <c r="CV72" s="14">
        <f t="shared" si="95"/>
        <v>60.113881658336368</v>
      </c>
      <c r="CW72" s="22">
        <f t="shared" si="67"/>
        <v>536.27749188826908</v>
      </c>
      <c r="CX72" s="60">
        <f t="shared" si="68"/>
        <v>802.20765223833564</v>
      </c>
      <c r="CY72" s="60">
        <f ca="1">AVERAGE(OFFSET($CX$3,0,0,'Données projet'!$E$13+1,1))-AVERAGE(OFFSET($H$3,0,0,'Données projet'!$E$13+1,1))</f>
        <v>496.33873798282525</v>
      </c>
      <c r="CZ72" s="60">
        <f t="shared" si="96"/>
        <v>280.25465074992246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328.00000000000011</v>
      </c>
      <c r="DP72" s="18">
        <f>DO72*VLOOKUP('Données projet'!$B$14,Paramètres!$A$1:$I$89,3,0)*VLOOKUP('Données projet'!$B$14,Paramètres!$A$1:$I$89,5,0)</f>
        <v>255.84000000000009</v>
      </c>
      <c r="DQ72" s="14">
        <f t="shared" si="97"/>
        <v>61.834803371075836</v>
      </c>
      <c r="DR72" s="22">
        <f t="shared" si="70"/>
        <v>553.28361587129064</v>
      </c>
      <c r="DS72" s="60">
        <f t="shared" si="71"/>
        <v>819.21377622135719</v>
      </c>
      <c r="DT72" s="60">
        <f ca="1">AVERAGE(OFFSET($DS$3,0,0,'Données projet'!$E$14+1,1))-AVERAGE(OFFSET($H$3,0,0,'Données projet'!$E$14+1,1))</f>
        <v>312.59632808777332</v>
      </c>
      <c r="DU72" s="60">
        <f t="shared" si="98"/>
        <v>302.59481222418219</v>
      </c>
      <c r="DV72" s="16">
        <f>IF(ISNA(VLOOKUP(A72,'Données projet'!$A$165:$I$185,3,0)),0,VLOOKUP(A72,'Données projet'!$A$165:$I$185,3,0))</f>
        <v>7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4.9999999999999947</v>
      </c>
      <c r="EJ72" s="13">
        <f>IF('Données projet'!$A$192&gt;35,EJ71+EI72-ER71,IF(A72&lt;'Données projet'!$A$192,$EG$205^A72,IF(A72='Données projet'!$A$192,'Données projet'!$B$192,EJ71+EI72-ER71)))</f>
        <v>260.38461538461542</v>
      </c>
      <c r="EK72" s="18">
        <f>EJ72*VLOOKUP('Données projet'!$B$15,Paramètres!$A$1:$I$89,3,0)*VLOOKUP('Données projet'!$B$15,Paramètres!$A$1:$I$89,5,0)</f>
        <v>174.66600000000003</v>
      </c>
      <c r="EL72" s="14">
        <f t="shared" si="99"/>
        <v>44.133399826367565</v>
      </c>
      <c r="EM72" s="22">
        <f t="shared" si="73"/>
        <v>381.0756213642569</v>
      </c>
      <c r="EN72" s="60">
        <f t="shared" si="74"/>
        <v>647.00578171432346</v>
      </c>
      <c r="EO72" s="60">
        <f ca="1">AVERAGE(OFFSET($EN$3,0,0,'Données projet'!$E$15+1,1))-AVERAGE(OFFSET($H$3,0,0,'Données projet'!$E$15+1,1))</f>
        <v>344.62096650402731</v>
      </c>
      <c r="EP72" s="60">
        <f t="shared" si="100"/>
        <v>277.30931495079346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3.7599999999999909</v>
      </c>
      <c r="FE72" s="13">
        <f>IF('Données projet'!$A$218&gt;35,FE71+FD72-FM71,IF(A72&lt;'Données projet'!$A$218,$FB$205^A72,IF(A72='Données projet'!$A$218,'Données projet'!$B$218,FE71+FD72-FM71)))</f>
        <v>269.84000000000009</v>
      </c>
      <c r="FF72" s="18">
        <f>FE72*VLOOKUP('Données projet'!$B$16,Paramètres!$A$1:$I$89,3,0)*VLOOKUP('Données projet'!$B$16,Paramètres!$A$1:$I$89,5,0)</f>
        <v>235.73222400000009</v>
      </c>
      <c r="FG72" s="14">
        <f t="shared" si="101"/>
        <v>57.520341025473186</v>
      </c>
      <c r="FH72" s="22">
        <f t="shared" si="76"/>
        <v>510.7482174193658</v>
      </c>
      <c r="FI72" s="60">
        <f t="shared" si="77"/>
        <v>776.67837776943236</v>
      </c>
      <c r="FJ72" s="60">
        <f ca="1">AVERAGE(OFFSET($FI$3,0,0,'Données projet'!$E$16+1,1))-AVERAGE(OFFSET($H$3,0,0,'Données projet'!$E$16+1,1))</f>
        <v>363.28611056308665</v>
      </c>
      <c r="FK72" s="60">
        <f t="shared" si="102"/>
        <v>389.43647559455974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256.19999999999993</v>
      </c>
      <c r="GA72" s="18">
        <f>FZ72*VLOOKUP('Données projet'!$B$17,Paramètres!$A$1:$I$89,3,0)*VLOOKUP('Données projet'!$B$17,Paramètres!$A$1:$I$89,5,0)</f>
        <v>275.7736799999999</v>
      </c>
      <c r="GB72" s="14">
        <f t="shared" si="103"/>
        <v>66.073076930208813</v>
      </c>
      <c r="GC72" s="22">
        <f t="shared" si="79"/>
        <v>595.38310165344672</v>
      </c>
      <c r="GD72" s="60">
        <f t="shared" si="80"/>
        <v>861.31326200351327</v>
      </c>
      <c r="GE72" s="60">
        <f ca="1">AVERAGE(OFFSET($GD$3,0,0,'Données projet'!$E$17+1,1))-AVERAGE(OFFSET($H$3,0,0,'Données projet'!$E$17+1,1))</f>
        <v>542.90832990875208</v>
      </c>
      <c r="GF72" s="60">
        <f t="shared" si="104"/>
        <v>304.94365539329362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273.59999999999997</v>
      </c>
      <c r="L73" s="13">
        <f>VLOOKUP(A73,'Données projet'!$A$35:$I$55,9,0)</f>
        <v>3.7599999999999909</v>
      </c>
      <c r="M73" s="13">
        <f t="array" ref="M73">INDEX(L:L,MIN(IF(ISNUMBER(L73:L269),ROW(L73:L269),"")))</f>
        <v>3.7599999999999909</v>
      </c>
      <c r="N73" s="14">
        <f>IF('Données projet'!$A$36&gt;35,N72+M73-V72,IF(A73&lt;'Données projet'!$A$36,$K$205^A73,IF(A73='Données projet'!$A$36,'Données projet'!$B$36,N72+M73-V72)))</f>
        <v>273.60000000000008</v>
      </c>
      <c r="O73" s="14">
        <f>N73*VLOOKUP('Données projet'!$B$9,Paramètres!$A$1:$I$89,3,0)*VLOOKUP('Données projet'!$B$9,Paramètres!$A$1:$I$89,5,0)</f>
        <v>217.67616000000007</v>
      </c>
      <c r="P73" s="14">
        <f t="shared" si="87"/>
        <v>53.609498850196708</v>
      </c>
      <c r="Q73" s="22">
        <f t="shared" si="54"/>
        <v>472.48918916409275</v>
      </c>
      <c r="R73" s="60">
        <f t="shared" si="55"/>
        <v>738.89473330110218</v>
      </c>
      <c r="S73" s="60">
        <f ca="1">AVERAGE(OFFSET($R$3,0,0,'Données projet'!$E$9+1,1))-AVERAGE(OFFSET($H$3,0,0,'Données projet'!$E$9+1,1))</f>
        <v>336.25341821407534</v>
      </c>
      <c r="T73" s="60">
        <f t="shared" si="88"/>
        <v>360.3246221345039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20.9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842.59520580698154</v>
      </c>
      <c r="AN73" s="60">
        <f ca="1">AVERAGE(OFFSET($AM$3,0,0,'Données projet'!$E$10+1,1))-AVERAGE(OFFSET($H$3,0,0,'Données projet'!$E$10+1,1))</f>
        <v>516.30971934066179</v>
      </c>
      <c r="AO73" s="60">
        <f t="shared" si="90"/>
        <v>290.84286505723571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0">
        <f t="shared" si="62"/>
        <v>738.89473330110218</v>
      </c>
      <c r="BI73" s="60">
        <f ca="1">AVERAGE(OFFSET($BH$3,0,0,'Données projet'!$E$11+1,1))-AVERAGE(OFFSET($H$3,0,0,'Données projet'!$E$11+1,1))</f>
        <v>336.25341821407534</v>
      </c>
      <c r="BJ73" s="60">
        <f t="shared" si="92"/>
        <v>360.3246221345039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215.38461538461539</v>
      </c>
      <c r="BW73" s="13">
        <f>VLOOKUP(A73,'Données projet'!$A$113:$I$133,9,0)</f>
        <v>4.3589743589743595</v>
      </c>
      <c r="BX73" s="13">
        <f t="array" ref="BX73">INDEX(BW:BW,MIN(IF(ISNUMBER(BW73:BW269),ROW(BW73:BW269),"")))</f>
        <v>4.3589743589743595</v>
      </c>
      <c r="BY73" s="13">
        <f>IF('Données projet'!$A$114&gt;35,BY72+BX73-CG72,IF(A73&lt;'Données projet'!$A$114,$BV$205^A73,IF(A73='Données projet'!$A$114,'Données projet'!$B$114,BY72+BX73-CG72)))</f>
        <v>215.38461538461533</v>
      </c>
      <c r="BZ73" s="14">
        <f>BY73*VLOOKUP('Données projet'!$B$12,Paramètres!$A$1:$I$89,3,0)*VLOOKUP('Données projet'!$B$12,Paramètres!$A$1:$I$89,5,0)</f>
        <v>204.95999999999998</v>
      </c>
      <c r="CA73" s="14">
        <f t="shared" si="93"/>
        <v>50.832666587809335</v>
      </c>
      <c r="CB73" s="22">
        <f t="shared" si="64"/>
        <v>445.50556097376784</v>
      </c>
      <c r="CC73" s="60">
        <f t="shared" si="65"/>
        <v>711.91110511077727</v>
      </c>
      <c r="CD73" s="60">
        <f ca="1">AVERAGE(OFFSET($CC$3,0,0,'Données projet'!$E$12+1,1))-AVERAGE(OFFSET($H$3,0,0,'Données projet'!$E$12+1,1))</f>
        <v>398.29746143975166</v>
      </c>
      <c r="CE73" s="60">
        <f t="shared" si="94"/>
        <v>300.63705521148802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28.846153846153847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254.37359999999998</v>
      </c>
      <c r="CV73" s="14">
        <f t="shared" si="95"/>
        <v>61.521534056516209</v>
      </c>
      <c r="CW73" s="22">
        <f t="shared" si="67"/>
        <v>550.1840251484324</v>
      </c>
      <c r="CX73" s="60">
        <f t="shared" si="68"/>
        <v>816.58956928544194</v>
      </c>
      <c r="CY73" s="60">
        <f ca="1">AVERAGE(OFFSET($CX$3,0,0,'Données projet'!$E$13+1,1))-AVERAGE(OFFSET($H$3,0,0,'Données projet'!$E$13+1,1))</f>
        <v>496.33873798282525</v>
      </c>
      <c r="CZ73" s="60">
        <f t="shared" si="96"/>
        <v>280.25465074992246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projet'!$B$14,Paramètres!$A$1:$I$89,3,0)*VLOOKUP('Données projet'!$B$14,Paramètres!$A$1:$I$89,5,0)</f>
        <v>8.8675733422860506E-14</v>
      </c>
      <c r="DQ73" s="14">
        <f t="shared" si="97"/>
        <v>1.3509285393066301E-12</v>
      </c>
      <c r="DR73" s="22">
        <f t="shared" si="70"/>
        <v>2.5073107750038623E-12</v>
      </c>
      <c r="DS73" s="60">
        <f t="shared" si="71"/>
        <v>266.40554413701199</v>
      </c>
      <c r="DT73" s="60">
        <f ca="1">AVERAGE(OFFSET($DS$3,0,0,'Données projet'!$E$14+1,1))-AVERAGE(OFFSET($H$3,0,0,'Données projet'!$E$14+1,1))</f>
        <v>312.59632808777332</v>
      </c>
      <c r="DU73" s="60">
        <f t="shared" si="98"/>
        <v>302.59481222418219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265.38461538461536</v>
      </c>
      <c r="EH73" s="13">
        <f>VLOOKUP(A73,'Données projet'!$A$191:$I$211,9,0)</f>
        <v>4.9999999999999947</v>
      </c>
      <c r="EI73" s="13">
        <f t="array" ref="EI73">INDEX(EH:EH,MIN(IF(ISNUMBER(EH73:EH269),ROW(EH73:EH269),"")))</f>
        <v>4.9999999999999947</v>
      </c>
      <c r="EJ73" s="13">
        <f>IF('Données projet'!$A$192&gt;35,EJ72+EI73-ER72,IF(A73&lt;'Données projet'!$A$192,$EG$205^A73,IF(A73='Données projet'!$A$192,'Données projet'!$B$192,EJ72+EI73-ER72)))</f>
        <v>265.38461538461542</v>
      </c>
      <c r="EK73" s="18">
        <f>EJ73*VLOOKUP('Données projet'!$B$15,Paramètres!$A$1:$I$89,3,0)*VLOOKUP('Données projet'!$B$15,Paramètres!$A$1:$I$89,5,0)</f>
        <v>178.02000000000004</v>
      </c>
      <c r="EL73" s="14">
        <f t="shared" si="99"/>
        <v>44.881389467952083</v>
      </c>
      <c r="EM73" s="22">
        <f t="shared" si="73"/>
        <v>388.21991999001654</v>
      </c>
      <c r="EN73" s="60">
        <f t="shared" si="74"/>
        <v>654.62546412702602</v>
      </c>
      <c r="EO73" s="60">
        <f ca="1">AVERAGE(OFFSET($EN$3,0,0,'Données projet'!$E$15+1,1))-AVERAGE(OFFSET($H$3,0,0,'Données projet'!$E$15+1,1))</f>
        <v>344.62096650402731</v>
      </c>
      <c r="EP73" s="60">
        <f t="shared" si="100"/>
        <v>277.30931495079346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27.564102564102562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273.59999999999997</v>
      </c>
      <c r="FC73" s="13">
        <f>VLOOKUP(A73,'Données projet'!$A$217:$I$237,9,0)</f>
        <v>3.7599999999999909</v>
      </c>
      <c r="FD73" s="13">
        <f t="array" ref="FD73">INDEX(FC:FC,MIN(IF(ISNUMBER(FC73:FC269),ROW(FC73:FC269),"")))</f>
        <v>3.7599999999999909</v>
      </c>
      <c r="FE73" s="13">
        <f>IF('Données projet'!$A$218&gt;35,FE72+FD73-FM72,IF(A73&lt;'Données projet'!$A$218,$FB$205^A73,IF(A73='Données projet'!$A$218,'Données projet'!$B$218,FE72+FD73-FM72)))</f>
        <v>273.60000000000008</v>
      </c>
      <c r="FF73" s="18">
        <f>FE73*VLOOKUP('Données projet'!$B$16,Paramètres!$A$1:$I$89,3,0)*VLOOKUP('Données projet'!$B$16,Paramètres!$A$1:$I$89,5,0)</f>
        <v>239.0169600000001</v>
      </c>
      <c r="FG73" s="14">
        <f t="shared" si="101"/>
        <v>58.22797414013467</v>
      </c>
      <c r="FH73" s="22">
        <f t="shared" si="76"/>
        <v>517.70159362740139</v>
      </c>
      <c r="FI73" s="60">
        <f t="shared" si="77"/>
        <v>784.10713776441094</v>
      </c>
      <c r="FJ73" s="60">
        <f ca="1">AVERAGE(OFFSET($FI$3,0,0,'Données projet'!$E$16+1,1))-AVERAGE(OFFSET($H$3,0,0,'Données projet'!$E$16+1,1))</f>
        <v>363.28611056308665</v>
      </c>
      <c r="FK73" s="60">
        <f t="shared" si="102"/>
        <v>389.43647559455974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20.9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263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262.99999999999994</v>
      </c>
      <c r="GA73" s="18">
        <f>FZ73*VLOOKUP('Données projet'!$B$17,Paramètres!$A$1:$I$89,3,0)*VLOOKUP('Données projet'!$B$17,Paramètres!$A$1:$I$89,5,0)</f>
        <v>283.09319999999991</v>
      </c>
      <c r="GB73" s="14">
        <f t="shared" si="103"/>
        <v>67.620272397048666</v>
      </c>
      <c r="GC73" s="22">
        <f t="shared" si="79"/>
        <v>610.82596442485954</v>
      </c>
      <c r="GD73" s="60">
        <f t="shared" si="80"/>
        <v>877.23150856186908</v>
      </c>
      <c r="GE73" s="60">
        <f ca="1">AVERAGE(OFFSET($GD$3,0,0,'Données projet'!$E$17+1,1))-AVERAGE(OFFSET($H$3,0,0,'Données projet'!$E$17+1,1))</f>
        <v>542.90832990875208</v>
      </c>
      <c r="GF73" s="60">
        <f t="shared" si="104"/>
        <v>304.94365539329362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42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3.4000000000000172</v>
      </c>
      <c r="N74" s="14">
        <f>IF('Données projet'!$A$36&gt;35,N73+M74-V73,IF(A74&lt;'Données projet'!$A$36,$K$205^A74,IF(A74='Données projet'!$A$36,'Données projet'!$B$36,N73+M74-V73)))</f>
        <v>256.10000000000014</v>
      </c>
      <c r="O74" s="14">
        <f>N74*VLOOKUP('Données projet'!$B$9,Paramètres!$A$1:$I$89,3,0)*VLOOKUP('Données projet'!$B$9,Paramètres!$A$1:$I$89,5,0)</f>
        <v>203.75316000000012</v>
      </c>
      <c r="P74" s="14">
        <f t="shared" si="87"/>
        <v>50.568104070523368</v>
      </c>
      <c r="Q74" s="22">
        <f t="shared" si="54"/>
        <v>442.94286825616172</v>
      </c>
      <c r="R74" s="60">
        <f t="shared" si="55"/>
        <v>709.81554933420966</v>
      </c>
      <c r="S74" s="60">
        <f ca="1">AVERAGE(OFFSET($R$3,0,0,'Données projet'!$E$9+1,1))-AVERAGE(OFFSET($H$3,0,0,'Données projet'!$E$9+1,1))</f>
        <v>336.25341821407534</v>
      </c>
      <c r="T74" s="60">
        <f t="shared" si="88"/>
        <v>360.3246221345039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766.28830271316656</v>
      </c>
      <c r="AN74" s="60">
        <f ca="1">AVERAGE(OFFSET($AM$3,0,0,'Données projet'!$E$10+1,1))-AVERAGE(OFFSET($H$3,0,0,'Données projet'!$E$10+1,1))</f>
        <v>516.30971934066179</v>
      </c>
      <c r="AO74" s="60">
        <f t="shared" si="90"/>
        <v>290.84286505723571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0">
        <f t="shared" si="62"/>
        <v>709.81554933420966</v>
      </c>
      <c r="BI74" s="60">
        <f ca="1">AVERAGE(OFFSET($BH$3,0,0,'Données projet'!$E$11+1,1))-AVERAGE(OFFSET($H$3,0,0,'Données projet'!$E$11+1,1))</f>
        <v>336.25341821407534</v>
      </c>
      <c r="BJ74" s="60">
        <f t="shared" si="92"/>
        <v>360.3246221345039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4.2307692307692264</v>
      </c>
      <c r="BY74" s="13">
        <f>IF('Données projet'!$A$114&gt;35,BY73+BX74-CG73,IF(A74&lt;'Données projet'!$A$114,$BV$205^A74,IF(A74='Données projet'!$A$114,'Données projet'!$B$114,BY73+BX74-CG73)))</f>
        <v>190.76923076923072</v>
      </c>
      <c r="BZ74" s="14">
        <f>BY74*VLOOKUP('Données projet'!$B$12,Paramètres!$A$1:$I$89,3,0)*VLOOKUP('Données projet'!$B$12,Paramètres!$A$1:$I$89,5,0)</f>
        <v>181.53599999999997</v>
      </c>
      <c r="CA74" s="14">
        <f t="shared" si="93"/>
        <v>45.663748686335545</v>
      </c>
      <c r="CB74" s="22">
        <f t="shared" si="64"/>
        <v>395.70622896203434</v>
      </c>
      <c r="CC74" s="60">
        <f t="shared" si="65"/>
        <v>662.57891004008229</v>
      </c>
      <c r="CD74" s="60">
        <f ca="1">AVERAGE(OFFSET($CC$3,0,0,'Données projet'!$E$12+1,1))-AVERAGE(OFFSET($H$3,0,0,'Données projet'!$E$12+1,1))</f>
        <v>398.29746143975166</v>
      </c>
      <c r="CE74" s="60">
        <f t="shared" si="94"/>
        <v>300.63705521148802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219.74783999999994</v>
      </c>
      <c r="CV74" s="14">
        <f t="shared" si="95"/>
        <v>54.060076332940561</v>
      </c>
      <c r="CW74" s="22">
        <f t="shared" si="67"/>
        <v>476.88212094653812</v>
      </c>
      <c r="CX74" s="60">
        <f t="shared" si="68"/>
        <v>743.75480202458607</v>
      </c>
      <c r="CY74" s="60">
        <f ca="1">AVERAGE(OFFSET($CX$3,0,0,'Données projet'!$E$13+1,1))-AVERAGE(OFFSET($H$3,0,0,'Données projet'!$E$13+1,1))</f>
        <v>496.33873798282525</v>
      </c>
      <c r="CZ74" s="60">
        <f t="shared" si="96"/>
        <v>280.25465074992246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8.8675733422860506E-14</v>
      </c>
      <c r="DQ74" s="14">
        <f t="shared" si="97"/>
        <v>1.3509285393066301E-12</v>
      </c>
      <c r="DR74" s="22">
        <f t="shared" si="70"/>
        <v>2.5073107750038623E-12</v>
      </c>
      <c r="DS74" s="60">
        <f t="shared" si="71"/>
        <v>266.87268107805045</v>
      </c>
      <c r="DT74" s="60">
        <f ca="1">AVERAGE(OFFSET($DS$3,0,0,'Données projet'!$E$14+1,1))-AVERAGE(OFFSET($H$3,0,0,'Données projet'!$E$14+1,1))</f>
        <v>312.59632808777332</v>
      </c>
      <c r="DU74" s="60">
        <f t="shared" si="98"/>
        <v>302.59481222418219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4.6153846153846247</v>
      </c>
      <c r="EJ74" s="13">
        <f>IF('Données projet'!$A$192&gt;35,EJ73+EI74-ER73,IF(A74&lt;'Données projet'!$A$192,$EG$205^A74,IF(A74='Données projet'!$A$192,'Données projet'!$B$192,EJ73+EI74-ER73)))</f>
        <v>242.43589743589749</v>
      </c>
      <c r="EK74" s="18">
        <f>EJ74*VLOOKUP('Données projet'!$B$15,Paramètres!$A$1:$I$89,3,0)*VLOOKUP('Données projet'!$B$15,Paramètres!$A$1:$I$89,5,0)</f>
        <v>162.62600000000003</v>
      </c>
      <c r="EL74" s="14">
        <f t="shared" si="99"/>
        <v>41.43425469159893</v>
      </c>
      <c r="EM74" s="22">
        <f t="shared" si="73"/>
        <v>355.40494358786822</v>
      </c>
      <c r="EN74" s="60">
        <f t="shared" si="74"/>
        <v>622.27762466591616</v>
      </c>
      <c r="EO74" s="60">
        <f ca="1">AVERAGE(OFFSET($EN$3,0,0,'Données projet'!$E$15+1,1))-AVERAGE(OFFSET($H$3,0,0,'Données projet'!$E$15+1,1))</f>
        <v>344.62096650402731</v>
      </c>
      <c r="EP74" s="60">
        <f t="shared" si="100"/>
        <v>277.30931495079346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3.4000000000000172</v>
      </c>
      <c r="FE74" s="13">
        <f>IF('Données projet'!$A$218&gt;35,FE73+FD74-FM73,IF(A74&lt;'Données projet'!$A$218,$FB$205^A74,IF(A74='Données projet'!$A$218,'Données projet'!$B$218,FE73+FD74-FM73)))</f>
        <v>256.10000000000014</v>
      </c>
      <c r="FF74" s="18">
        <f>FE74*VLOOKUP('Données projet'!$B$16,Paramètres!$A$1:$I$89,3,0)*VLOOKUP('Données projet'!$B$16,Paramètres!$A$1:$I$89,5,0)</f>
        <v>223.72896000000014</v>
      </c>
      <c r="FG74" s="14">
        <f t="shared" si="101"/>
        <v>54.924562237784642</v>
      </c>
      <c r="FH74" s="22">
        <f t="shared" si="76"/>
        <v>485.32155123080855</v>
      </c>
      <c r="FI74" s="60">
        <f t="shared" si="77"/>
        <v>752.1942323088565</v>
      </c>
      <c r="FJ74" s="60">
        <f ca="1">AVERAGE(OFFSET($FI$3,0,0,'Données projet'!$E$16+1,1))-AVERAGE(OFFSET($H$3,0,0,'Données projet'!$E$16+1,1))</f>
        <v>363.28611056308665</v>
      </c>
      <c r="FK74" s="60">
        <f t="shared" si="102"/>
        <v>389.43647559455974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227.19999999999993</v>
      </c>
      <c r="GA74" s="18">
        <f>FZ74*VLOOKUP('Données projet'!$B$17,Paramètres!$A$1:$I$89,3,0)*VLOOKUP('Données projet'!$B$17,Paramètres!$A$1:$I$89,5,0)</f>
        <v>244.55807999999993</v>
      </c>
      <c r="GB74" s="14">
        <f t="shared" si="103"/>
        <v>59.419147189674156</v>
      </c>
      <c r="GC74" s="22">
        <f t="shared" si="79"/>
        <v>529.42700402201569</v>
      </c>
      <c r="GD74" s="60">
        <f t="shared" si="80"/>
        <v>796.2996851000637</v>
      </c>
      <c r="GE74" s="60">
        <f ca="1">AVERAGE(OFFSET($GD$3,0,0,'Données projet'!$E$17+1,1))-AVERAGE(OFFSET($H$3,0,0,'Données projet'!$E$17+1,1))</f>
        <v>542.90832990875208</v>
      </c>
      <c r="GF74" s="60">
        <f t="shared" si="104"/>
        <v>304.94365539329362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3.4000000000000172</v>
      </c>
      <c r="N75" s="14">
        <f>IF('Données projet'!$A$36&gt;35,N74+M75-V74,IF(A75&lt;'Données projet'!$A$36,$K$205^A75,IF(A75='Données projet'!$A$36,'Données projet'!$B$36,N74+M75-V74)))</f>
        <v>259.50000000000017</v>
      </c>
      <c r="O75" s="14">
        <f>N75*VLOOKUP('Données projet'!$B$9,Paramètres!$A$1:$I$89,3,0)*VLOOKUP('Données projet'!$B$9,Paramètres!$A$1:$I$89,5,0)</f>
        <v>206.45820000000015</v>
      </c>
      <c r="P75" s="14">
        <f t="shared" si="87"/>
        <v>51.160848757309601</v>
      </c>
      <c r="Q75" s="22">
        <f t="shared" si="54"/>
        <v>448.68650991898113</v>
      </c>
      <c r="R75" s="60">
        <f t="shared" si="55"/>
        <v>716.01822415650224</v>
      </c>
      <c r="S75" s="60">
        <f ca="1">AVERAGE(OFFSET($R$3,0,0,'Données projet'!$E$9+1,1))-AVERAGE(OFFSET($H$3,0,0,'Données projet'!$E$9+1,1))</f>
        <v>336.25341821407534</v>
      </c>
      <c r="T75" s="60">
        <f t="shared" si="88"/>
        <v>360.3246221345039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780.06020830988109</v>
      </c>
      <c r="AN75" s="60">
        <f ca="1">AVERAGE(OFFSET($AM$3,0,0,'Données projet'!$E$10+1,1))-AVERAGE(OFFSET($H$3,0,0,'Données projet'!$E$10+1,1))</f>
        <v>516.30971934066179</v>
      </c>
      <c r="AO75" s="60">
        <f t="shared" si="90"/>
        <v>290.84286505723571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0">
        <f t="shared" si="62"/>
        <v>716.01822415650224</v>
      </c>
      <c r="BI75" s="60">
        <f ca="1">AVERAGE(OFFSET($BH$3,0,0,'Données projet'!$E$11+1,1))-AVERAGE(OFFSET($H$3,0,0,'Données projet'!$E$11+1,1))</f>
        <v>336.25341821407534</v>
      </c>
      <c r="BJ75" s="60">
        <f t="shared" si="92"/>
        <v>360.3246221345039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4.2307692307692264</v>
      </c>
      <c r="BY75" s="13">
        <f>IF('Données projet'!$A$114&gt;35,BY74+BX75-CG74,IF(A75&lt;'Données projet'!$A$114,$BV$205^A75,IF(A75='Données projet'!$A$114,'Données projet'!$B$114,BY74+BX75-CG74)))</f>
        <v>194.99999999999994</v>
      </c>
      <c r="BZ75" s="14">
        <f>BY75*VLOOKUP('Données projet'!$B$12,Paramètres!$A$1:$I$89,3,0)*VLOOKUP('Données projet'!$B$12,Paramètres!$A$1:$I$89,5,0)</f>
        <v>185.56199999999995</v>
      </c>
      <c r="CA75" s="14">
        <f t="shared" si="93"/>
        <v>46.557428480028591</v>
      </c>
      <c r="CB75" s="22">
        <f t="shared" si="64"/>
        <v>404.27467126938308</v>
      </c>
      <c r="CC75" s="60">
        <f t="shared" si="65"/>
        <v>671.60638550690419</v>
      </c>
      <c r="CD75" s="60">
        <f ca="1">AVERAGE(OFFSET($CC$3,0,0,'Données projet'!$E$12+1,1))-AVERAGE(OFFSET($H$3,0,0,'Données projet'!$E$12+1,1))</f>
        <v>398.29746143975166</v>
      </c>
      <c r="CE75" s="60">
        <f t="shared" si="94"/>
        <v>300.63705521148802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225.74447999999992</v>
      </c>
      <c r="CV75" s="14">
        <f t="shared" si="95"/>
        <v>55.36154088431374</v>
      </c>
      <c r="CW75" s="22">
        <f t="shared" si="67"/>
        <v>489.59298637351299</v>
      </c>
      <c r="CX75" s="60">
        <f t="shared" si="68"/>
        <v>756.92470061103404</v>
      </c>
      <c r="CY75" s="60">
        <f ca="1">AVERAGE(OFFSET($CX$3,0,0,'Données projet'!$E$13+1,1))-AVERAGE(OFFSET($H$3,0,0,'Données projet'!$E$13+1,1))</f>
        <v>496.33873798282525</v>
      </c>
      <c r="CZ75" s="60">
        <f t="shared" si="96"/>
        <v>280.25465074992246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8.8675733422860506E-14</v>
      </c>
      <c r="DQ75" s="14">
        <f t="shared" si="97"/>
        <v>1.3509285393066301E-12</v>
      </c>
      <c r="DR75" s="22">
        <f t="shared" si="70"/>
        <v>2.5073107750038623E-12</v>
      </c>
      <c r="DS75" s="60">
        <f t="shared" si="71"/>
        <v>267.33171423752361</v>
      </c>
      <c r="DT75" s="60">
        <f ca="1">AVERAGE(OFFSET($DS$3,0,0,'Données projet'!$E$14+1,1))-AVERAGE(OFFSET($H$3,0,0,'Données projet'!$E$14+1,1))</f>
        <v>312.59632808777332</v>
      </c>
      <c r="DU75" s="60">
        <f t="shared" si="98"/>
        <v>302.59481222418219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4.6153846153846247</v>
      </c>
      <c r="EJ75" s="13">
        <f>IF('Données projet'!$A$192&gt;35,EJ74+EI75-ER74,IF(A75&lt;'Données projet'!$A$192,$EG$205^A75,IF(A75='Données projet'!$A$192,'Données projet'!$B$192,EJ74+EI75-ER74)))</f>
        <v>247.0512820512821</v>
      </c>
      <c r="EK75" s="18">
        <f>EJ75*VLOOKUP('Données projet'!$B$15,Paramètres!$A$1:$I$89,3,0)*VLOOKUP('Données projet'!$B$15,Paramètres!$A$1:$I$89,5,0)</f>
        <v>165.72200000000004</v>
      </c>
      <c r="EL75" s="14">
        <f t="shared" si="99"/>
        <v>42.130477313738041</v>
      </c>
      <c r="EM75" s="22">
        <f t="shared" si="73"/>
        <v>362.00973132142713</v>
      </c>
      <c r="EN75" s="60">
        <f t="shared" si="74"/>
        <v>629.34144555894818</v>
      </c>
      <c r="EO75" s="60">
        <f ca="1">AVERAGE(OFFSET($EN$3,0,0,'Données projet'!$E$15+1,1))-AVERAGE(OFFSET($H$3,0,0,'Données projet'!$E$15+1,1))</f>
        <v>344.62096650402731</v>
      </c>
      <c r="EP75" s="60">
        <f t="shared" si="100"/>
        <v>277.30931495079346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3.4000000000000172</v>
      </c>
      <c r="FE75" s="13">
        <f>IF('Données projet'!$A$218&gt;35,FE74+FD75-FM74,IF(A75&lt;'Données projet'!$A$218,$FB$205^A75,IF(A75='Données projet'!$A$218,'Données projet'!$B$218,FE74+FD75-FM74)))</f>
        <v>259.50000000000017</v>
      </c>
      <c r="FF75" s="18">
        <f>FE75*VLOOKUP('Données projet'!$B$16,Paramètres!$A$1:$I$89,3,0)*VLOOKUP('Données projet'!$B$16,Paramètres!$A$1:$I$89,5,0)</f>
        <v>226.69920000000016</v>
      </c>
      <c r="FG75" s="14">
        <f t="shared" si="101"/>
        <v>55.568372066903464</v>
      </c>
      <c r="FH75" s="22">
        <f t="shared" si="76"/>
        <v>491.61602134985714</v>
      </c>
      <c r="FI75" s="60">
        <f t="shared" si="77"/>
        <v>758.94773558737825</v>
      </c>
      <c r="FJ75" s="60">
        <f ca="1">AVERAGE(OFFSET($FI$3,0,0,'Données projet'!$E$16+1,1))-AVERAGE(OFFSET($H$3,0,0,'Données projet'!$E$16+1,1))</f>
        <v>363.28611056308665</v>
      </c>
      <c r="FK75" s="60">
        <f t="shared" si="102"/>
        <v>389.43647559455974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233.39999999999992</v>
      </c>
      <c r="GA75" s="18">
        <f>FZ75*VLOOKUP('Données projet'!$B$17,Paramètres!$A$1:$I$89,3,0)*VLOOKUP('Données projet'!$B$17,Paramètres!$A$1:$I$89,5,0)</f>
        <v>251.23175999999989</v>
      </c>
      <c r="GB75" s="14">
        <f t="shared" si="103"/>
        <v>60.849628220886878</v>
      </c>
      <c r="GC75" s="22">
        <f t="shared" si="79"/>
        <v>543.54175115137775</v>
      </c>
      <c r="GD75" s="60">
        <f t="shared" si="80"/>
        <v>810.87346538889892</v>
      </c>
      <c r="GE75" s="60">
        <f ca="1">AVERAGE(OFFSET($GD$3,0,0,'Données projet'!$E$17+1,1))-AVERAGE(OFFSET($H$3,0,0,'Données projet'!$E$17+1,1))</f>
        <v>542.90832990875208</v>
      </c>
      <c r="GF75" s="60">
        <f t="shared" si="104"/>
        <v>304.94365539329362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3.4000000000000172</v>
      </c>
      <c r="N76" s="14">
        <f>IF('Données projet'!$A$36&gt;35,N75+M76-V75,IF(A76&lt;'Données projet'!$A$36,$K$205^A76,IF(A76='Données projet'!$A$36,'Données projet'!$B$36,N75+M76-V75)))</f>
        <v>262.9000000000002</v>
      </c>
      <c r="O76" s="14">
        <f>N76*VLOOKUP('Données projet'!$B$9,Paramètres!$A$1:$I$89,3,0)*VLOOKUP('Données projet'!$B$9,Paramètres!$A$1:$I$89,5,0)</f>
        <v>209.16324000000014</v>
      </c>
      <c r="P76" s="14">
        <f t="shared" si="87"/>
        <v>51.752690118703946</v>
      </c>
      <c r="Q76" s="22">
        <f t="shared" si="54"/>
        <v>454.42857829007625</v>
      </c>
      <c r="R76" s="60">
        <f t="shared" si="55"/>
        <v>722.21136248799803</v>
      </c>
      <c r="S76" s="60">
        <f ca="1">AVERAGE(OFFSET($R$3,0,0,'Données projet'!$E$9+1,1))-AVERAGE(OFFSET($H$3,0,0,'Données projet'!$E$9+1,1))</f>
        <v>336.25341821407534</v>
      </c>
      <c r="T76" s="60">
        <f t="shared" si="88"/>
        <v>360.3246221345039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793.81685349707573</v>
      </c>
      <c r="AN76" s="60">
        <f ca="1">AVERAGE(OFFSET($AM$3,0,0,'Données projet'!$E$10+1,1))-AVERAGE(OFFSET($H$3,0,0,'Données projet'!$E$10+1,1))</f>
        <v>516.30971934066179</v>
      </c>
      <c r="AO76" s="60">
        <f t="shared" si="90"/>
        <v>290.84286505723571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0">
        <f t="shared" si="62"/>
        <v>722.21136248799803</v>
      </c>
      <c r="BI76" s="60">
        <f ca="1">AVERAGE(OFFSET($BH$3,0,0,'Données projet'!$E$11+1,1))-AVERAGE(OFFSET($H$3,0,0,'Données projet'!$E$11+1,1))</f>
        <v>336.25341821407534</v>
      </c>
      <c r="BJ76" s="60">
        <f t="shared" si="92"/>
        <v>360.3246221345039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4.2307692307692264</v>
      </c>
      <c r="BY76" s="13">
        <f>IF('Données projet'!$A$114&gt;35,BY75+BX76-CG75,IF(A76&lt;'Données projet'!$A$114,$BV$205^A76,IF(A76='Données projet'!$A$114,'Données projet'!$B$114,BY75+BX76-CG75)))</f>
        <v>199.23076923076917</v>
      </c>
      <c r="BZ76" s="14">
        <f>BY76*VLOOKUP('Données projet'!$B$12,Paramètres!$A$1:$I$89,3,0)*VLOOKUP('Données projet'!$B$12,Paramètres!$A$1:$I$89,5,0)</f>
        <v>189.58799999999994</v>
      </c>
      <c r="CA76" s="14">
        <f t="shared" si="93"/>
        <v>47.44885399619001</v>
      </c>
      <c r="CB76" s="22">
        <f t="shared" si="64"/>
        <v>412.83918737669751</v>
      </c>
      <c r="CC76" s="60">
        <f t="shared" si="65"/>
        <v>680.62197157461924</v>
      </c>
      <c r="CD76" s="60">
        <f ca="1">AVERAGE(OFFSET($CC$3,0,0,'Données projet'!$E$12+1,1))-AVERAGE(OFFSET($H$3,0,0,'Données projet'!$E$12+1,1))</f>
        <v>398.29746143975166</v>
      </c>
      <c r="CE76" s="60">
        <f t="shared" si="94"/>
        <v>300.63705521148802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231.74111999999991</v>
      </c>
      <c r="CV76" s="14">
        <f t="shared" si="95"/>
        <v>56.658986982752438</v>
      </c>
      <c r="CW76" s="22">
        <f t="shared" si="67"/>
        <v>502.29685299496032</v>
      </c>
      <c r="CX76" s="60">
        <f t="shared" si="68"/>
        <v>770.07963719288205</v>
      </c>
      <c r="CY76" s="60">
        <f ca="1">AVERAGE(OFFSET($CX$3,0,0,'Données projet'!$E$13+1,1))-AVERAGE(OFFSET($H$3,0,0,'Données projet'!$E$13+1,1))</f>
        <v>496.33873798282525</v>
      </c>
      <c r="CZ76" s="60">
        <f t="shared" si="96"/>
        <v>280.25465074992246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8.8675733422860506E-14</v>
      </c>
      <c r="DQ76" s="14">
        <f t="shared" si="97"/>
        <v>1.3509285393066301E-12</v>
      </c>
      <c r="DR76" s="22">
        <f t="shared" si="70"/>
        <v>2.5073107750038623E-12</v>
      </c>
      <c r="DS76" s="60">
        <f t="shared" si="71"/>
        <v>267.78278419792429</v>
      </c>
      <c r="DT76" s="60">
        <f ca="1">AVERAGE(OFFSET($DS$3,0,0,'Données projet'!$E$14+1,1))-AVERAGE(OFFSET($H$3,0,0,'Données projet'!$E$14+1,1))</f>
        <v>312.59632808777332</v>
      </c>
      <c r="DU76" s="60">
        <f t="shared" si="98"/>
        <v>302.59481222418219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4.6153846153846247</v>
      </c>
      <c r="EJ76" s="13">
        <f>IF('Données projet'!$A$192&gt;35,EJ75+EI76-ER75,IF(A76&lt;'Données projet'!$A$192,$EG$205^A76,IF(A76='Données projet'!$A$192,'Données projet'!$B$192,EJ75+EI76-ER75)))</f>
        <v>251.66666666666671</v>
      </c>
      <c r="EK76" s="18">
        <f>EJ76*VLOOKUP('Données projet'!$B$15,Paramètres!$A$1:$I$89,3,0)*VLOOKUP('Données projet'!$B$15,Paramètres!$A$1:$I$89,5,0)</f>
        <v>168.81800000000004</v>
      </c>
      <c r="EL76" s="14">
        <f t="shared" si="99"/>
        <v>42.825187501685285</v>
      </c>
      <c r="EM76" s="22">
        <f t="shared" si="73"/>
        <v>368.61188489876866</v>
      </c>
      <c r="EN76" s="60">
        <f t="shared" si="74"/>
        <v>636.39466909669045</v>
      </c>
      <c r="EO76" s="60">
        <f ca="1">AVERAGE(OFFSET($EN$3,0,0,'Données projet'!$E$15+1,1))-AVERAGE(OFFSET($H$3,0,0,'Données projet'!$E$15+1,1))</f>
        <v>344.62096650402731</v>
      </c>
      <c r="EP76" s="60">
        <f t="shared" si="100"/>
        <v>277.30931495079346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3.4000000000000172</v>
      </c>
      <c r="FE76" s="13">
        <f>IF('Données projet'!$A$218&gt;35,FE75+FD76-FM75,IF(A76&lt;'Données projet'!$A$218,$FB$205^A76,IF(A76='Données projet'!$A$218,'Données projet'!$B$218,FE75+FD76-FM75)))</f>
        <v>262.9000000000002</v>
      </c>
      <c r="FF76" s="18">
        <f>FE76*VLOOKUP('Données projet'!$B$16,Paramètres!$A$1:$I$89,3,0)*VLOOKUP('Données projet'!$B$16,Paramètres!$A$1:$I$89,5,0)</f>
        <v>229.66944000000021</v>
      </c>
      <c r="FG76" s="14">
        <f t="shared" si="101"/>
        <v>56.211200748862041</v>
      </c>
      <c r="FH76" s="22">
        <f t="shared" si="76"/>
        <v>497.90878263760169</v>
      </c>
      <c r="FI76" s="60">
        <f t="shared" si="77"/>
        <v>765.69156683552342</v>
      </c>
      <c r="FJ76" s="60">
        <f ca="1">AVERAGE(OFFSET($FI$3,0,0,'Données projet'!$E$16+1,1))-AVERAGE(OFFSET($H$3,0,0,'Données projet'!$E$16+1,1))</f>
        <v>363.28611056308665</v>
      </c>
      <c r="FK76" s="60">
        <f t="shared" si="102"/>
        <v>389.43647559455974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239.59999999999991</v>
      </c>
      <c r="GA76" s="18">
        <f>FZ76*VLOOKUP('Données projet'!$B$17,Paramètres!$A$1:$I$89,3,0)*VLOOKUP('Données projet'!$B$17,Paramètres!$A$1:$I$89,5,0)</f>
        <v>257.90543999999989</v>
      </c>
      <c r="GB76" s="14">
        <f t="shared" si="103"/>
        <v>62.275692442827719</v>
      </c>
      <c r="GC76" s="22">
        <f t="shared" si="79"/>
        <v>557.64880567125817</v>
      </c>
      <c r="GD76" s="60">
        <f t="shared" si="80"/>
        <v>825.43158986918002</v>
      </c>
      <c r="GE76" s="60">
        <f ca="1">AVERAGE(OFFSET($GD$3,0,0,'Données projet'!$E$17+1,1))-AVERAGE(OFFSET($H$3,0,0,'Données projet'!$E$17+1,1))</f>
        <v>542.90832990875208</v>
      </c>
      <c r="GF76" s="60">
        <f t="shared" si="104"/>
        <v>304.94365539329362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3.4000000000000172</v>
      </c>
      <c r="N77" s="14">
        <f>IF('Données projet'!$A$36&gt;35,N76+M77-V76,IF(A77&lt;'Données projet'!$A$36,$K$205^A77,IF(A77='Données projet'!$A$36,'Données projet'!$B$36,N76+M77-V76)))</f>
        <v>266.30000000000024</v>
      </c>
      <c r="O77" s="14">
        <f>N77*VLOOKUP('Données projet'!$B$9,Paramètres!$A$1:$I$89,3,0)*VLOOKUP('Données projet'!$B$9,Paramètres!$A$1:$I$89,5,0)</f>
        <v>211.8682800000002</v>
      </c>
      <c r="P77" s="14">
        <f t="shared" si="87"/>
        <v>52.343641187871285</v>
      </c>
      <c r="Q77" s="22">
        <f t="shared" si="54"/>
        <v>460.16909606887612</v>
      </c>
      <c r="R77" s="60">
        <f t="shared" si="55"/>
        <v>728.39512517182698</v>
      </c>
      <c r="S77" s="60">
        <f ca="1">AVERAGE(OFFSET($R$3,0,0,'Données projet'!$E$9+1,1))-AVERAGE(OFFSET($H$3,0,0,'Données projet'!$E$9+1,1))</f>
        <v>336.25341821407534</v>
      </c>
      <c r="T77" s="60">
        <f t="shared" si="88"/>
        <v>360.3246221345039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807.55858695417066</v>
      </c>
      <c r="AN77" s="60">
        <f ca="1">AVERAGE(OFFSET($AM$3,0,0,'Données projet'!$E$10+1,1))-AVERAGE(OFFSET($H$3,0,0,'Données projet'!$E$10+1,1))</f>
        <v>516.30971934066179</v>
      </c>
      <c r="AO77" s="60">
        <f t="shared" si="90"/>
        <v>290.84286505723571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0">
        <f t="shared" si="62"/>
        <v>728.39512517182698</v>
      </c>
      <c r="BI77" s="60">
        <f ca="1">AVERAGE(OFFSET($BH$3,0,0,'Données projet'!$E$11+1,1))-AVERAGE(OFFSET($H$3,0,0,'Données projet'!$E$11+1,1))</f>
        <v>336.25341821407534</v>
      </c>
      <c r="BJ77" s="60">
        <f t="shared" si="92"/>
        <v>360.3246221345039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4.2307692307692264</v>
      </c>
      <c r="BY77" s="13">
        <f>IF('Données projet'!$A$114&gt;35,BY76+BX77-CG76,IF(A77&lt;'Données projet'!$A$114,$BV$205^A77,IF(A77='Données projet'!$A$114,'Données projet'!$B$114,BY76+BX77-CG76)))</f>
        <v>203.4615384615384</v>
      </c>
      <c r="BZ77" s="14">
        <f>BY77*VLOOKUP('Données projet'!$B$12,Paramètres!$A$1:$I$89,3,0)*VLOOKUP('Données projet'!$B$12,Paramètres!$A$1:$I$89,5,0)</f>
        <v>193.61399999999995</v>
      </c>
      <c r="CA77" s="14">
        <f t="shared" si="93"/>
        <v>48.338078619840999</v>
      </c>
      <c r="CB77" s="22">
        <f t="shared" si="64"/>
        <v>421.39987026288964</v>
      </c>
      <c r="CC77" s="60">
        <f t="shared" si="65"/>
        <v>689.6258993658405</v>
      </c>
      <c r="CD77" s="60">
        <f ca="1">AVERAGE(OFFSET($CC$3,0,0,'Données projet'!$E$12+1,1))-AVERAGE(OFFSET($H$3,0,0,'Données projet'!$E$12+1,1))</f>
        <v>398.29746143975166</v>
      </c>
      <c r="CE77" s="60">
        <f t="shared" si="94"/>
        <v>300.63705521148802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237.73775999999989</v>
      </c>
      <c r="CV77" s="14">
        <f t="shared" si="95"/>
        <v>57.952530566790166</v>
      </c>
      <c r="CW77" s="22">
        <f t="shared" si="67"/>
        <v>514.99392273715932</v>
      </c>
      <c r="CX77" s="60">
        <f t="shared" si="68"/>
        <v>783.21995184011018</v>
      </c>
      <c r="CY77" s="60">
        <f ca="1">AVERAGE(OFFSET($CX$3,0,0,'Données projet'!$E$13+1,1))-AVERAGE(OFFSET($H$3,0,0,'Données projet'!$E$13+1,1))</f>
        <v>496.33873798282525</v>
      </c>
      <c r="CZ77" s="60">
        <f t="shared" si="96"/>
        <v>280.25465074992246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8.8675733422860506E-14</v>
      </c>
      <c r="DQ77" s="14">
        <f t="shared" si="97"/>
        <v>1.3509285393066301E-12</v>
      </c>
      <c r="DR77" s="22">
        <f t="shared" si="70"/>
        <v>2.5073107750038623E-12</v>
      </c>
      <c r="DS77" s="60">
        <f t="shared" si="71"/>
        <v>268.22602910295336</v>
      </c>
      <c r="DT77" s="60">
        <f ca="1">AVERAGE(OFFSET($DS$3,0,0,'Données projet'!$E$14+1,1))-AVERAGE(OFFSET($H$3,0,0,'Données projet'!$E$14+1,1))</f>
        <v>312.59632808777332</v>
      </c>
      <c r="DU77" s="60">
        <f t="shared" si="98"/>
        <v>302.59481222418219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4.6153846153846247</v>
      </c>
      <c r="EJ77" s="13">
        <f>IF('Données projet'!$A$192&gt;35,EJ76+EI77-ER76,IF(A77&lt;'Données projet'!$A$192,$EG$205^A77,IF(A77='Données projet'!$A$192,'Données projet'!$B$192,EJ76+EI77-ER76)))</f>
        <v>256.28205128205133</v>
      </c>
      <c r="EK77" s="18">
        <f>EJ77*VLOOKUP('Données projet'!$B$15,Paramètres!$A$1:$I$89,3,0)*VLOOKUP('Données projet'!$B$15,Paramètres!$A$1:$I$89,5,0)</f>
        <v>171.91400000000002</v>
      </c>
      <c r="EL77" s="14">
        <f t="shared" si="99"/>
        <v>43.518416191440224</v>
      </c>
      <c r="EM77" s="22">
        <f t="shared" si="73"/>
        <v>375.21145820009173</v>
      </c>
      <c r="EN77" s="60">
        <f t="shared" si="74"/>
        <v>643.43748730304264</v>
      </c>
      <c r="EO77" s="60">
        <f ca="1">AVERAGE(OFFSET($EN$3,0,0,'Données projet'!$E$15+1,1))-AVERAGE(OFFSET($H$3,0,0,'Données projet'!$E$15+1,1))</f>
        <v>344.62096650402731</v>
      </c>
      <c r="EP77" s="60">
        <f t="shared" si="100"/>
        <v>277.30931495079346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3.4000000000000172</v>
      </c>
      <c r="FE77" s="13">
        <f>IF('Données projet'!$A$218&gt;35,FE76+FD77-FM76,IF(A77&lt;'Données projet'!$A$218,$FB$205^A77,IF(A77='Données projet'!$A$218,'Données projet'!$B$218,FE76+FD77-FM76)))</f>
        <v>266.30000000000024</v>
      </c>
      <c r="FF77" s="18">
        <f>FE77*VLOOKUP('Données projet'!$B$16,Paramètres!$A$1:$I$89,3,0)*VLOOKUP('Données projet'!$B$16,Paramètres!$A$1:$I$89,5,0)</f>
        <v>232.63968000000025</v>
      </c>
      <c r="FG77" s="14">
        <f t="shared" si="101"/>
        <v>56.853062439636545</v>
      </c>
      <c r="FH77" s="22">
        <f t="shared" si="76"/>
        <v>504.19985974903403</v>
      </c>
      <c r="FI77" s="60">
        <f t="shared" si="77"/>
        <v>772.42588885198484</v>
      </c>
      <c r="FJ77" s="60">
        <f ca="1">AVERAGE(OFFSET($FI$3,0,0,'Données projet'!$E$16+1,1))-AVERAGE(OFFSET($H$3,0,0,'Données projet'!$E$16+1,1))</f>
        <v>363.28611056308665</v>
      </c>
      <c r="FK77" s="60">
        <f t="shared" si="102"/>
        <v>389.43647559455974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245.7999999999999</v>
      </c>
      <c r="GA77" s="18">
        <f>FZ77*VLOOKUP('Données projet'!$B$17,Paramètres!$A$1:$I$89,3,0)*VLOOKUP('Données projet'!$B$17,Paramètres!$A$1:$I$89,5,0)</f>
        <v>264.57911999999988</v>
      </c>
      <c r="GB77" s="14">
        <f t="shared" si="103"/>
        <v>63.697467287221869</v>
      </c>
      <c r="GC77" s="22">
        <f t="shared" si="79"/>
        <v>571.74838952524453</v>
      </c>
      <c r="GD77" s="60">
        <f t="shared" si="80"/>
        <v>839.97441862819539</v>
      </c>
      <c r="GE77" s="60">
        <f ca="1">AVERAGE(OFFSET($GD$3,0,0,'Données projet'!$E$17+1,1))-AVERAGE(OFFSET($H$3,0,0,'Données projet'!$E$17+1,1))</f>
        <v>542.90832990875208</v>
      </c>
      <c r="GF77" s="60">
        <f t="shared" si="104"/>
        <v>304.94365539329362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269.70000000000005</v>
      </c>
      <c r="L78" s="13">
        <f>VLOOKUP(A78,'Données projet'!$A$35:$I$55,9,0)</f>
        <v>3.4000000000000172</v>
      </c>
      <c r="M78" s="13">
        <f t="array" ref="M78">INDEX(L:L,MIN(IF(ISNUMBER(L78:L274),ROW(L78:L274),"")))</f>
        <v>3.4000000000000172</v>
      </c>
      <c r="N78" s="14">
        <f>IF('Données projet'!$A$36&gt;35,N77+M78-V77,IF(A78&lt;'Données projet'!$A$36,$K$205^A78,IF(A78='Données projet'!$A$36,'Données projet'!$B$36,N77+M78-V77)))</f>
        <v>269.70000000000027</v>
      </c>
      <c r="O78" s="14">
        <f>N78*VLOOKUP('Données projet'!$B$9,Paramètres!$A$1:$I$89,3,0)*VLOOKUP('Données projet'!$B$9,Paramètres!$A$1:$I$89,5,0)</f>
        <v>214.57332000000022</v>
      </c>
      <c r="P78" s="14">
        <f t="shared" si="87"/>
        <v>52.933714646037032</v>
      </c>
      <c r="Q78" s="22">
        <f t="shared" si="54"/>
        <v>465.90808534184816</v>
      </c>
      <c r="R78" s="60">
        <f t="shared" si="55"/>
        <v>734.56967004167291</v>
      </c>
      <c r="S78" s="60">
        <f ca="1">AVERAGE(OFFSET($R$3,0,0,'Données projet'!$E$9+1,1))-AVERAGE(OFFSET($H$3,0,0,'Données projet'!$E$9+1,1))</f>
        <v>336.25341821407534</v>
      </c>
      <c r="T78" s="60">
        <f t="shared" si="88"/>
        <v>360.3246221345039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821.28574373784795</v>
      </c>
      <c r="AN78" s="60">
        <f ca="1">AVERAGE(OFFSET($AM$3,0,0,'Données projet'!$E$10+1,1))-AVERAGE(OFFSET($H$3,0,0,'Données projet'!$E$10+1,1))</f>
        <v>516.30971934066179</v>
      </c>
      <c r="AO78" s="60">
        <f t="shared" si="90"/>
        <v>290.84286505723571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0">
        <f t="shared" si="62"/>
        <v>734.56967004167291</v>
      </c>
      <c r="BI78" s="60">
        <f ca="1">AVERAGE(OFFSET($BH$3,0,0,'Données projet'!$E$11+1,1))-AVERAGE(OFFSET($H$3,0,0,'Données projet'!$E$11+1,1))</f>
        <v>336.25341821407534</v>
      </c>
      <c r="BJ78" s="60">
        <f t="shared" si="92"/>
        <v>360.3246221345039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207.69230769230768</v>
      </c>
      <c r="BW78" s="13">
        <f>VLOOKUP(A78,'Données projet'!$A$113:$I$133,9,0)</f>
        <v>4.2307692307692264</v>
      </c>
      <c r="BX78" s="13">
        <f t="array" ref="BX78">INDEX(BW:BW,MIN(IF(ISNUMBER(BW78:BW274),ROW(BW78:BW274),"")))</f>
        <v>4.2307692307692264</v>
      </c>
      <c r="BY78" s="13">
        <f>IF('Données projet'!$A$114&gt;35,BY77+BX78-CG77,IF(A78&lt;'Données projet'!$A$114,$BV$205^A78,IF(A78='Données projet'!$A$114,'Données projet'!$B$114,BY77+BX78-CG77)))</f>
        <v>207.69230769230762</v>
      </c>
      <c r="BZ78" s="14">
        <f>BY78*VLOOKUP('Données projet'!$B$12,Paramètres!$A$1:$I$89,3,0)*VLOOKUP('Données projet'!$B$12,Paramètres!$A$1:$I$89,5,0)</f>
        <v>197.63999999999993</v>
      </c>
      <c r="CA78" s="14">
        <f t="shared" si="93"/>
        <v>49.22515338895078</v>
      </c>
      <c r="CB78" s="22">
        <f t="shared" si="64"/>
        <v>429.95680881908919</v>
      </c>
      <c r="CC78" s="60">
        <f t="shared" si="65"/>
        <v>698.61839351891399</v>
      </c>
      <c r="CD78" s="60">
        <f ca="1">AVERAGE(OFFSET($CC$3,0,0,'Données projet'!$E$12+1,1))-AVERAGE(OFFSET($H$3,0,0,'Données projet'!$E$12+1,1))</f>
        <v>398.29746143975166</v>
      </c>
      <c r="CE78" s="60">
        <f t="shared" si="94"/>
        <v>300.63705521148802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243.73439999999988</v>
      </c>
      <c r="CV78" s="14">
        <f t="shared" si="95"/>
        <v>59.242281392848767</v>
      </c>
      <c r="CW78" s="22">
        <f t="shared" si="67"/>
        <v>527.68438675921141</v>
      </c>
      <c r="CX78" s="60">
        <f t="shared" si="68"/>
        <v>796.34597145903626</v>
      </c>
      <c r="CY78" s="60">
        <f ca="1">AVERAGE(OFFSET($CX$3,0,0,'Données projet'!$E$13+1,1))-AVERAGE(OFFSET($H$3,0,0,'Données projet'!$E$13+1,1))</f>
        <v>496.33873798282525</v>
      </c>
      <c r="CZ78" s="60">
        <f t="shared" si="96"/>
        <v>280.25465074992246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8.8675733422860506E-14</v>
      </c>
      <c r="DQ78" s="14">
        <f t="shared" si="97"/>
        <v>1.3509285393066301E-12</v>
      </c>
      <c r="DR78" s="22">
        <f t="shared" si="70"/>
        <v>2.5073107750038623E-12</v>
      </c>
      <c r="DS78" s="60">
        <f t="shared" si="71"/>
        <v>268.6615846998273</v>
      </c>
      <c r="DT78" s="60">
        <f ca="1">AVERAGE(OFFSET($DS$3,0,0,'Données projet'!$E$14+1,1))-AVERAGE(OFFSET($H$3,0,0,'Données projet'!$E$14+1,1))</f>
        <v>312.59632808777332</v>
      </c>
      <c r="DU78" s="60">
        <f t="shared" si="98"/>
        <v>302.59481222418219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260.89743589743591</v>
      </c>
      <c r="EH78" s="13">
        <f>VLOOKUP(A78,'Données projet'!$A$191:$I$211,9,0)</f>
        <v>4.6153846153846247</v>
      </c>
      <c r="EI78" s="13">
        <f t="array" ref="EI78">INDEX(EH:EH,MIN(IF(ISNUMBER(EH78:EH274),ROW(EH78:EH274),"")))</f>
        <v>4.6153846153846247</v>
      </c>
      <c r="EJ78" s="13">
        <f>IF('Données projet'!$A$192&gt;35,EJ77+EI78-ER77,IF(A78&lt;'Données projet'!$A$192,$EG$205^A78,IF(A78='Données projet'!$A$192,'Données projet'!$B$192,EJ77+EI78-ER77)))</f>
        <v>260.89743589743597</v>
      </c>
      <c r="EK78" s="18">
        <f>EJ78*VLOOKUP('Données projet'!$B$15,Paramètres!$A$1:$I$89,3,0)*VLOOKUP('Données projet'!$B$15,Paramètres!$A$1:$I$89,5,0)</f>
        <v>175.01000000000005</v>
      </c>
      <c r="EL78" s="14">
        <f t="shared" si="99"/>
        <v>44.210193140944192</v>
      </c>
      <c r="EM78" s="22">
        <f t="shared" si="73"/>
        <v>381.80850305381119</v>
      </c>
      <c r="EN78" s="60">
        <f t="shared" si="74"/>
        <v>650.47008775363599</v>
      </c>
      <c r="EO78" s="60">
        <f ca="1">AVERAGE(OFFSET($EN$3,0,0,'Données projet'!$E$15+1,1))-AVERAGE(OFFSET($H$3,0,0,'Données projet'!$E$15+1,1))</f>
        <v>344.62096650402731</v>
      </c>
      <c r="EP78" s="60">
        <f t="shared" si="100"/>
        <v>277.30931495079346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269.70000000000005</v>
      </c>
      <c r="FC78" s="13">
        <f>VLOOKUP(A78,'Données projet'!$A$217:$I$237,9,0)</f>
        <v>3.4000000000000172</v>
      </c>
      <c r="FD78" s="13">
        <f t="array" ref="FD78">INDEX(FC:FC,MIN(IF(ISNUMBER(FC78:FC274),ROW(FC78:FC274),"")))</f>
        <v>3.4000000000000172</v>
      </c>
      <c r="FE78" s="13">
        <f>IF('Données projet'!$A$218&gt;35,FE77+FD78-FM77,IF(A78&lt;'Données projet'!$A$218,$FB$205^A78,IF(A78='Données projet'!$A$218,'Données projet'!$B$218,FE77+FD78-FM77)))</f>
        <v>269.70000000000027</v>
      </c>
      <c r="FF78" s="18">
        <f>FE78*VLOOKUP('Données projet'!$B$16,Paramètres!$A$1:$I$89,3,0)*VLOOKUP('Données projet'!$B$16,Paramètres!$A$1:$I$89,5,0)</f>
        <v>235.6099200000003</v>
      </c>
      <c r="FG78" s="14">
        <f t="shared" si="101"/>
        <v>57.493970912943951</v>
      </c>
      <c r="FH78" s="22">
        <f t="shared" si="76"/>
        <v>510.4892766733779</v>
      </c>
      <c r="FI78" s="60">
        <f t="shared" si="77"/>
        <v>779.1508613732027</v>
      </c>
      <c r="FJ78" s="60">
        <f ca="1">AVERAGE(OFFSET($FI$3,0,0,'Données projet'!$E$16+1,1))-AVERAGE(OFFSET($H$3,0,0,'Données projet'!$E$16+1,1))</f>
        <v>363.28611056308665</v>
      </c>
      <c r="FK78" s="60">
        <f t="shared" si="102"/>
        <v>389.43647559455974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252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251.99999999999989</v>
      </c>
      <c r="GA78" s="18">
        <f>FZ78*VLOOKUP('Données projet'!$B$17,Paramètres!$A$1:$I$89,3,0)*VLOOKUP('Données projet'!$B$17,Paramètres!$A$1:$I$89,5,0)</f>
        <v>271.25279999999987</v>
      </c>
      <c r="GB78" s="14">
        <f t="shared" si="103"/>
        <v>65.115073390838859</v>
      </c>
      <c r="GC78" s="22">
        <f t="shared" si="79"/>
        <v>585.84071282237744</v>
      </c>
      <c r="GD78" s="60">
        <f t="shared" si="80"/>
        <v>854.5022975222023</v>
      </c>
      <c r="GE78" s="60">
        <f ca="1">AVERAGE(OFFSET($GD$3,0,0,'Données projet'!$E$17+1,1))-AVERAGE(OFFSET($H$3,0,0,'Données projet'!$E$17+1,1))</f>
        <v>542.90832990875208</v>
      </c>
      <c r="GF78" s="60">
        <f t="shared" si="104"/>
        <v>304.94365539329362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2.9799999999999955</v>
      </c>
      <c r="N79" s="14">
        <f>IF('Données projet'!$A$36&gt;35,N78+M79-V78,IF(A79&lt;'Données projet'!$A$36,$K$205^A79,IF(A79='Données projet'!$A$36,'Données projet'!$B$36,N78+M79-V78)))</f>
        <v>272.68000000000029</v>
      </c>
      <c r="O79" s="14">
        <f>N79*VLOOKUP('Données projet'!$B$9,Paramètres!$A$1:$I$89,3,0)*VLOOKUP('Données projet'!$B$9,Paramètres!$A$1:$I$89,5,0)</f>
        <v>216.94420800000023</v>
      </c>
      <c r="P79" s="14">
        <f t="shared" si="87"/>
        <v>53.450184726422172</v>
      </c>
      <c r="Q79" s="22">
        <f t="shared" si="54"/>
        <v>470.93690066518553</v>
      </c>
      <c r="R79" s="60">
        <f t="shared" si="55"/>
        <v>740.02648504603496</v>
      </c>
      <c r="S79" s="60">
        <f ca="1">AVERAGE(OFFSET($R$3,0,0,'Données projet'!$E$9+1,1))-AVERAGE(OFFSET($H$3,0,0,'Données projet'!$E$9+1,1))</f>
        <v>336.25341821407534</v>
      </c>
      <c r="T79" s="60">
        <f t="shared" si="88"/>
        <v>360.3246221345039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834.57020362655567</v>
      </c>
      <c r="AN79" s="60">
        <f ca="1">AVERAGE(OFFSET($AM$3,0,0,'Données projet'!$E$10+1,1))-AVERAGE(OFFSET($H$3,0,0,'Données projet'!$E$10+1,1))</f>
        <v>516.30971934066179</v>
      </c>
      <c r="AO79" s="60">
        <f t="shared" si="90"/>
        <v>290.84286505723571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0">
        <f t="shared" si="62"/>
        <v>740.02648504603496</v>
      </c>
      <c r="BI79" s="60">
        <f ca="1">AVERAGE(OFFSET($BH$3,0,0,'Données projet'!$E$11+1,1))-AVERAGE(OFFSET($H$3,0,0,'Données projet'!$E$11+1,1))</f>
        <v>336.25341821407534</v>
      </c>
      <c r="BJ79" s="60">
        <f t="shared" si="92"/>
        <v>360.3246221345039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3.974358974358978</v>
      </c>
      <c r="BY79" s="13">
        <f>IF('Données projet'!$A$114&gt;35,BY78+BX79-CG78,IF(A79&lt;'Données projet'!$A$114,$BV$205^A79,IF(A79='Données projet'!$A$114,'Données projet'!$B$114,BY78+BX79-CG78)))</f>
        <v>211.6666666666666</v>
      </c>
      <c r="BZ79" s="14">
        <f>BY79*VLOOKUP('Données projet'!$B$12,Paramètres!$A$1:$I$89,3,0)*VLOOKUP('Données projet'!$B$12,Paramètres!$A$1:$I$89,5,0)</f>
        <v>201.42199999999994</v>
      </c>
      <c r="CA79" s="14">
        <f t="shared" si="93"/>
        <v>50.056551308279687</v>
      </c>
      <c r="CB79" s="22">
        <f t="shared" si="64"/>
        <v>437.99181019525372</v>
      </c>
      <c r="CC79" s="60">
        <f t="shared" si="65"/>
        <v>707.08139457610309</v>
      </c>
      <c r="CD79" s="60">
        <f ca="1">AVERAGE(OFFSET($CC$3,0,0,'Données projet'!$E$12+1,1))-AVERAGE(OFFSET($H$3,0,0,'Données projet'!$E$12+1,1))</f>
        <v>398.29746143975166</v>
      </c>
      <c r="CE79" s="60">
        <f t="shared" si="94"/>
        <v>300.63705521148802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249.53759999999988</v>
      </c>
      <c r="CV79" s="14">
        <f t="shared" si="95"/>
        <v>60.486914185674671</v>
      </c>
      <c r="CW79" s="22">
        <f t="shared" si="67"/>
        <v>539.95936220671649</v>
      </c>
      <c r="CX79" s="60">
        <f t="shared" si="68"/>
        <v>809.04894658756598</v>
      </c>
      <c r="CY79" s="60">
        <f ca="1">AVERAGE(OFFSET($CX$3,0,0,'Données projet'!$E$13+1,1))-AVERAGE(OFFSET($H$3,0,0,'Données projet'!$E$13+1,1))</f>
        <v>496.33873798282525</v>
      </c>
      <c r="CZ79" s="60">
        <f t="shared" si="96"/>
        <v>280.25465074992246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8.8675733422860506E-14</v>
      </c>
      <c r="DQ79" s="14">
        <f t="shared" si="97"/>
        <v>1.3509285393066301E-12</v>
      </c>
      <c r="DR79" s="22">
        <f t="shared" si="70"/>
        <v>2.5073107750038623E-12</v>
      </c>
      <c r="DS79" s="60">
        <f t="shared" si="71"/>
        <v>269.08958438085193</v>
      </c>
      <c r="DT79" s="60">
        <f ca="1">AVERAGE(OFFSET($DS$3,0,0,'Données projet'!$E$14+1,1))-AVERAGE(OFFSET($H$3,0,0,'Données projet'!$E$14+1,1))</f>
        <v>312.59632808777332</v>
      </c>
      <c r="DU79" s="60">
        <f t="shared" si="98"/>
        <v>302.59481222418219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4.2307692307692264</v>
      </c>
      <c r="EJ79" s="13">
        <f>IF('Données projet'!$A$192&gt;35,EJ78+EI79-ER78,IF(A79&lt;'Données projet'!$A$192,$EG$205^A79,IF(A79='Données projet'!$A$192,'Données projet'!$B$192,EJ78+EI79-ER78)))</f>
        <v>265.1282051282052</v>
      </c>
      <c r="EK79" s="18">
        <f>EJ79*VLOOKUP('Données projet'!$B$15,Paramètres!$A$1:$I$89,3,0)*VLOOKUP('Données projet'!$B$15,Paramètres!$A$1:$I$89,5,0)</f>
        <v>177.84800000000004</v>
      </c>
      <c r="EL79" s="14">
        <f t="shared" si="99"/>
        <v>44.84307118144492</v>
      </c>
      <c r="EM79" s="22">
        <f t="shared" si="73"/>
        <v>387.85361564101663</v>
      </c>
      <c r="EN79" s="60">
        <f t="shared" si="74"/>
        <v>656.94320002186601</v>
      </c>
      <c r="EO79" s="60">
        <f ca="1">AVERAGE(OFFSET($EN$3,0,0,'Données projet'!$E$15+1,1))-AVERAGE(OFFSET($H$3,0,0,'Données projet'!$E$15+1,1))</f>
        <v>344.62096650402731</v>
      </c>
      <c r="EP79" s="60">
        <f t="shared" si="100"/>
        <v>277.30931495079346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2.9799999999999955</v>
      </c>
      <c r="FE79" s="13">
        <f>IF('Données projet'!$A$218&gt;35,FE78+FD79-FM78,IF(A79&lt;'Données projet'!$A$218,$FB$205^A79,IF(A79='Données projet'!$A$218,'Données projet'!$B$218,FE78+FD79-FM78)))</f>
        <v>272.68000000000029</v>
      </c>
      <c r="FF79" s="18">
        <f>FE79*VLOOKUP('Données projet'!$B$16,Paramètres!$A$1:$I$89,3,0)*VLOOKUP('Données projet'!$B$16,Paramètres!$A$1:$I$89,5,0)</f>
        <v>238.21324800000031</v>
      </c>
      <c r="FG79" s="14">
        <f t="shared" si="101"/>
        <v>58.05493505418417</v>
      </c>
      <c r="FH79" s="22">
        <f t="shared" si="76"/>
        <v>516.00041881937125</v>
      </c>
      <c r="FI79" s="60">
        <f t="shared" si="77"/>
        <v>785.09000320022074</v>
      </c>
      <c r="FJ79" s="60">
        <f ca="1">AVERAGE(OFFSET($FI$3,0,0,'Données projet'!$E$16+1,1))-AVERAGE(OFFSET($H$3,0,0,'Données projet'!$E$16+1,1))</f>
        <v>363.28611056308665</v>
      </c>
      <c r="FK79" s="60">
        <f t="shared" si="102"/>
        <v>389.43647559455974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</v>
      </c>
      <c r="FZ79" s="13">
        <f>IF('Données projet'!$A$244&gt;35,FZ78+FY79-GH78,IF(A79&lt;'Données projet'!$A$244,$FW$205^A79,IF(A79='Données projet'!$A$244,'Données projet'!$B$244,FZ78+FY79-GH78)))</f>
        <v>257.99999999999989</v>
      </c>
      <c r="GA79" s="18">
        <f>FZ79*VLOOKUP('Données projet'!$B$17,Paramètres!$A$1:$I$89,3,0)*VLOOKUP('Données projet'!$B$17,Paramètres!$A$1:$I$89,5,0)</f>
        <v>277.71119999999985</v>
      </c>
      <c r="GB79" s="14">
        <f t="shared" si="103"/>
        <v>66.483088830893976</v>
      </c>
      <c r="GC79" s="22">
        <f t="shared" si="79"/>
        <v>599.47171971380669</v>
      </c>
      <c r="GD79" s="60">
        <f t="shared" si="80"/>
        <v>868.56130409465618</v>
      </c>
      <c r="GE79" s="60">
        <f ca="1">AVERAGE(OFFSET($GD$3,0,0,'Données projet'!$E$17+1,1))-AVERAGE(OFFSET($H$3,0,0,'Données projet'!$E$17+1,1))</f>
        <v>542.90832990875208</v>
      </c>
      <c r="GF79" s="60">
        <f t="shared" si="104"/>
        <v>304.94365539329362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2.9799999999999955</v>
      </c>
      <c r="N80" s="14">
        <f>IF('Données projet'!$A$36&gt;35,N79+M80-V79,IF(A80&lt;'Données projet'!$A$36,$K$205^A80,IF(A80='Données projet'!$A$36,'Données projet'!$B$36,N79+M80-V79)))</f>
        <v>275.66000000000031</v>
      </c>
      <c r="O80" s="14">
        <f>N80*VLOOKUP('Données projet'!$B$9,Paramètres!$A$1:$I$89,3,0)*VLOOKUP('Données projet'!$B$9,Paramètres!$A$1:$I$89,5,0)</f>
        <v>219.31509600000024</v>
      </c>
      <c r="P80" s="14">
        <f t="shared" si="87"/>
        <v>53.965998217102616</v>
      </c>
      <c r="Q80" s="22">
        <f t="shared" si="54"/>
        <v>475.96457242812079</v>
      </c>
      <c r="R80" s="60">
        <f t="shared" si="55"/>
        <v>745.47473165239307</v>
      </c>
      <c r="S80" s="60">
        <f ca="1">AVERAGE(OFFSET($R$3,0,0,'Données projet'!$E$9+1,1))-AVERAGE(OFFSET($H$3,0,0,'Données projet'!$E$9+1,1))</f>
        <v>336.25341821407534</v>
      </c>
      <c r="T80" s="60">
        <f t="shared" si="88"/>
        <v>360.3246221345039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847.84112816785</v>
      </c>
      <c r="AN80" s="60">
        <f ca="1">AVERAGE(OFFSET($AM$3,0,0,'Données projet'!$E$10+1,1))-AVERAGE(OFFSET($H$3,0,0,'Données projet'!$E$10+1,1))</f>
        <v>516.30971934066179</v>
      </c>
      <c r="AO80" s="60">
        <f t="shared" si="90"/>
        <v>290.84286505723571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0">
        <f t="shared" si="62"/>
        <v>745.47473165239307</v>
      </c>
      <c r="BI80" s="60">
        <f ca="1">AVERAGE(OFFSET($BH$3,0,0,'Données projet'!$E$11+1,1))-AVERAGE(OFFSET($H$3,0,0,'Données projet'!$E$11+1,1))</f>
        <v>336.25341821407534</v>
      </c>
      <c r="BJ80" s="60">
        <f t="shared" si="92"/>
        <v>360.3246221345039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3.974358974358978</v>
      </c>
      <c r="BY80" s="13">
        <f>IF('Données projet'!$A$114&gt;35,BY79+BX80-CG79,IF(A80&lt;'Données projet'!$A$114,$BV$205^A80,IF(A80='Données projet'!$A$114,'Données projet'!$B$114,BY79+BX80-CG79)))</f>
        <v>215.64102564102558</v>
      </c>
      <c r="BZ80" s="14">
        <f>BY80*VLOOKUP('Données projet'!$B$12,Paramètres!$A$1:$I$89,3,0)*VLOOKUP('Données projet'!$B$12,Paramètres!$A$1:$I$89,5,0)</f>
        <v>205.20399999999995</v>
      </c>
      <c r="CA80" s="14">
        <f t="shared" si="93"/>
        <v>50.886134008708602</v>
      </c>
      <c r="CB80" s="22">
        <f t="shared" si="64"/>
        <v>446.02365006516737</v>
      </c>
      <c r="CC80" s="60">
        <f t="shared" si="65"/>
        <v>715.53380928943966</v>
      </c>
      <c r="CD80" s="60">
        <f ca="1">AVERAGE(OFFSET($CC$3,0,0,'Données projet'!$E$12+1,1))-AVERAGE(OFFSET($H$3,0,0,'Données projet'!$E$12+1,1))</f>
        <v>398.29746143975166</v>
      </c>
      <c r="CE80" s="60">
        <f t="shared" si="94"/>
        <v>300.63705521148802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255.34079999999989</v>
      </c>
      <c r="CV80" s="14">
        <f t="shared" si="95"/>
        <v>61.728182021951895</v>
      </c>
      <c r="CW80" s="22">
        <f t="shared" si="67"/>
        <v>552.22847702156594</v>
      </c>
      <c r="CX80" s="60">
        <f t="shared" si="68"/>
        <v>821.73863624583828</v>
      </c>
      <c r="CY80" s="60">
        <f ca="1">AVERAGE(OFFSET($CX$3,0,0,'Données projet'!$E$13+1,1))-AVERAGE(OFFSET($H$3,0,0,'Données projet'!$E$13+1,1))</f>
        <v>496.33873798282525</v>
      </c>
      <c r="CZ80" s="60">
        <f t="shared" si="96"/>
        <v>280.25465074992246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8.8675733422860506E-14</v>
      </c>
      <c r="DQ80" s="14">
        <f t="shared" si="97"/>
        <v>1.3509285393066301E-12</v>
      </c>
      <c r="DR80" s="22">
        <f t="shared" si="70"/>
        <v>2.5073107750038623E-12</v>
      </c>
      <c r="DS80" s="60">
        <f t="shared" si="71"/>
        <v>269.51015922427479</v>
      </c>
      <c r="DT80" s="60">
        <f ca="1">AVERAGE(OFFSET($DS$3,0,0,'Données projet'!$E$14+1,1))-AVERAGE(OFFSET($H$3,0,0,'Données projet'!$E$14+1,1))</f>
        <v>312.59632808777332</v>
      </c>
      <c r="DU80" s="60">
        <f t="shared" si="98"/>
        <v>302.59481222418219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4.2307692307692264</v>
      </c>
      <c r="EJ80" s="13">
        <f>IF('Données projet'!$A$192&gt;35,EJ79+EI80-ER79,IF(A80&lt;'Données projet'!$A$192,$EG$205^A80,IF(A80='Données projet'!$A$192,'Données projet'!$B$192,EJ79+EI80-ER79)))</f>
        <v>269.35897435897442</v>
      </c>
      <c r="EK80" s="18">
        <f>EJ80*VLOOKUP('Données projet'!$B$15,Paramètres!$A$1:$I$89,3,0)*VLOOKUP('Données projet'!$B$15,Paramètres!$A$1:$I$89,5,0)</f>
        <v>180.68600000000004</v>
      </c>
      <c r="EL80" s="14">
        <f t="shared" si="99"/>
        <v>45.474774723021419</v>
      </c>
      <c r="EM80" s="22">
        <f t="shared" si="73"/>
        <v>393.89668264259575</v>
      </c>
      <c r="EN80" s="60">
        <f t="shared" si="74"/>
        <v>663.40684186686804</v>
      </c>
      <c r="EO80" s="60">
        <f ca="1">AVERAGE(OFFSET($EN$3,0,0,'Données projet'!$E$15+1,1))-AVERAGE(OFFSET($H$3,0,0,'Données projet'!$E$15+1,1))</f>
        <v>344.62096650402731</v>
      </c>
      <c r="EP80" s="60">
        <f t="shared" si="100"/>
        <v>277.30931495079346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2.9799999999999955</v>
      </c>
      <c r="FE80" s="13">
        <f>IF('Données projet'!$A$218&gt;35,FE79+FD80-FM79,IF(A80&lt;'Données projet'!$A$218,$FB$205^A80,IF(A80='Données projet'!$A$218,'Données projet'!$B$218,FE79+FD80-FM79)))</f>
        <v>275.66000000000031</v>
      </c>
      <c r="FF80" s="18">
        <f>FE80*VLOOKUP('Données projet'!$B$16,Paramètres!$A$1:$I$89,3,0)*VLOOKUP('Données projet'!$B$16,Paramètres!$A$1:$I$89,5,0)</f>
        <v>240.81657600000031</v>
      </c>
      <c r="FG80" s="14">
        <f t="shared" si="101"/>
        <v>58.61518604030887</v>
      </c>
      <c r="FH80" s="22">
        <f t="shared" si="76"/>
        <v>521.51031888687191</v>
      </c>
      <c r="FI80" s="60">
        <f t="shared" si="77"/>
        <v>791.02047811114426</v>
      </c>
      <c r="FJ80" s="60">
        <f ca="1">AVERAGE(OFFSET($FI$3,0,0,'Données projet'!$E$16+1,1))-AVERAGE(OFFSET($H$3,0,0,'Données projet'!$E$16+1,1))</f>
        <v>363.28611056308665</v>
      </c>
      <c r="FK80" s="60">
        <f t="shared" si="102"/>
        <v>389.43647559455974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6</v>
      </c>
      <c r="FZ80" s="13">
        <f>IF('Données projet'!$A$244&gt;35,FZ79+FY80-GH79,IF(A80&lt;'Données projet'!$A$244,$FW$205^A80,IF(A80='Données projet'!$A$244,'Données projet'!$B$244,FZ79+FY80-GH79)))</f>
        <v>263.99999999999989</v>
      </c>
      <c r="GA80" s="18">
        <f>FZ80*VLOOKUP('Données projet'!$B$17,Paramètres!$A$1:$I$89,3,0)*VLOOKUP('Données projet'!$B$17,Paramètres!$A$1:$I$89,5,0)</f>
        <v>284.16959999999989</v>
      </c>
      <c r="GB80" s="14">
        <f t="shared" si="103"/>
        <v>67.847405740313874</v>
      </c>
      <c r="GC80" s="22">
        <f t="shared" si="79"/>
        <v>613.09628499771316</v>
      </c>
      <c r="GD80" s="60">
        <f t="shared" si="80"/>
        <v>882.60644422198538</v>
      </c>
      <c r="GE80" s="60">
        <f ca="1">AVERAGE(OFFSET($GD$3,0,0,'Données projet'!$E$17+1,1))-AVERAGE(OFFSET($H$3,0,0,'Données projet'!$E$17+1,1))</f>
        <v>542.90832990875208</v>
      </c>
      <c r="GF80" s="60">
        <f t="shared" si="104"/>
        <v>304.94365539329362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2.9799999999999955</v>
      </c>
      <c r="N81" s="14">
        <f>IF('Données projet'!$A$36&gt;35,N80+M81-V80,IF(A81&lt;'Données projet'!$A$36,$K$205^A81,IF(A81='Données projet'!$A$36,'Données projet'!$B$36,N80+M81-V80)))</f>
        <v>278.64000000000033</v>
      </c>
      <c r="O81" s="14">
        <f>N81*VLOOKUP('Données projet'!$B$9,Paramètres!$A$1:$I$89,3,0)*VLOOKUP('Données projet'!$B$9,Paramètres!$A$1:$I$89,5,0)</f>
        <v>221.68598400000027</v>
      </c>
      <c r="P81" s="14">
        <f t="shared" si="87"/>
        <v>54.481163037622622</v>
      </c>
      <c r="Q81" s="22">
        <f t="shared" si="54"/>
        <v>480.99111442385987</v>
      </c>
      <c r="R81" s="60">
        <f t="shared" si="55"/>
        <v>750.91455245828615</v>
      </c>
      <c r="S81" s="60">
        <f ca="1">AVERAGE(OFFSET($R$3,0,0,'Données projet'!$E$9+1,1))-AVERAGE(OFFSET($H$3,0,0,'Données projet'!$E$9+1,1))</f>
        <v>336.25341821407534</v>
      </c>
      <c r="T81" s="60">
        <f t="shared" si="88"/>
        <v>360.3246221345039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861.0988010284093</v>
      </c>
      <c r="AN81" s="60">
        <f ca="1">AVERAGE(OFFSET($AM$3,0,0,'Données projet'!$E$10+1,1))-AVERAGE(OFFSET($H$3,0,0,'Données projet'!$E$10+1,1))</f>
        <v>516.30971934066179</v>
      </c>
      <c r="AO81" s="60">
        <f t="shared" si="90"/>
        <v>290.84286505723571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0">
        <f t="shared" si="62"/>
        <v>750.91455245828615</v>
      </c>
      <c r="BI81" s="60">
        <f ca="1">AVERAGE(OFFSET($BH$3,0,0,'Données projet'!$E$11+1,1))-AVERAGE(OFFSET($H$3,0,0,'Données projet'!$E$11+1,1))</f>
        <v>336.25341821407534</v>
      </c>
      <c r="BJ81" s="60">
        <f t="shared" si="92"/>
        <v>360.3246221345039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3.974358974358978</v>
      </c>
      <c r="BY81" s="13">
        <f>IF('Données projet'!$A$114&gt;35,BY80+BX81-CG80,IF(A81&lt;'Données projet'!$A$114,$BV$205^A81,IF(A81='Données projet'!$A$114,'Données projet'!$B$114,BY80+BX81-CG80)))</f>
        <v>219.61538461538456</v>
      </c>
      <c r="BZ81" s="14">
        <f>BY81*VLOOKUP('Données projet'!$B$12,Paramètres!$A$1:$I$89,3,0)*VLOOKUP('Données projet'!$B$12,Paramètres!$A$1:$I$89,5,0)</f>
        <v>208.98599999999996</v>
      </c>
      <c r="CA81" s="14">
        <f t="shared" si="93"/>
        <v>51.713938803941488</v>
      </c>
      <c r="CB81" s="22">
        <f t="shared" si="64"/>
        <v>454.05239341686462</v>
      </c>
      <c r="CC81" s="60">
        <f t="shared" si="65"/>
        <v>723.97583145129079</v>
      </c>
      <c r="CD81" s="60">
        <f ca="1">AVERAGE(OFFSET($CC$3,0,0,'Données projet'!$E$12+1,1))-AVERAGE(OFFSET($H$3,0,0,'Données projet'!$E$12+1,1))</f>
        <v>398.29746143975166</v>
      </c>
      <c r="CE81" s="60">
        <f t="shared" si="94"/>
        <v>300.63705521148802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261.14399999999989</v>
      </c>
      <c r="CV81" s="14">
        <f t="shared" si="95"/>
        <v>62.966170181808813</v>
      </c>
      <c r="CW81" s="22">
        <f t="shared" si="67"/>
        <v>564.49187973331675</v>
      </c>
      <c r="CX81" s="60">
        <f t="shared" si="68"/>
        <v>834.41531776774298</v>
      </c>
      <c r="CY81" s="60">
        <f ca="1">AVERAGE(OFFSET($CX$3,0,0,'Données projet'!$E$13+1,1))-AVERAGE(OFFSET($H$3,0,0,'Données projet'!$E$13+1,1))</f>
        <v>496.33873798282525</v>
      </c>
      <c r="CZ81" s="60">
        <f t="shared" si="96"/>
        <v>280.25465074992246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8.8675733422860506E-14</v>
      </c>
      <c r="DQ81" s="14">
        <f t="shared" si="97"/>
        <v>1.3509285393066301E-12</v>
      </c>
      <c r="DR81" s="22">
        <f t="shared" si="70"/>
        <v>2.5073107750038623E-12</v>
      </c>
      <c r="DS81" s="60">
        <f t="shared" si="71"/>
        <v>269.92343803442873</v>
      </c>
      <c r="DT81" s="60">
        <f ca="1">AVERAGE(OFFSET($DS$3,0,0,'Données projet'!$E$14+1,1))-AVERAGE(OFFSET($H$3,0,0,'Données projet'!$E$14+1,1))</f>
        <v>312.59632808777332</v>
      </c>
      <c r="DU81" s="60">
        <f t="shared" si="98"/>
        <v>302.59481222418219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4.2307692307692264</v>
      </c>
      <c r="EJ81" s="13">
        <f>IF('Données projet'!$A$192&gt;35,EJ80+EI81-ER80,IF(A81&lt;'Données projet'!$A$192,$EG$205^A81,IF(A81='Données projet'!$A$192,'Données projet'!$B$192,EJ80+EI81-ER80)))</f>
        <v>273.58974358974365</v>
      </c>
      <c r="EK81" s="18">
        <f>EJ81*VLOOKUP('Données projet'!$B$15,Paramètres!$A$1:$I$89,3,0)*VLOOKUP('Données projet'!$B$15,Paramètres!$A$1:$I$89,5,0)</f>
        <v>183.52400000000006</v>
      </c>
      <c r="EL81" s="14">
        <f t="shared" si="99"/>
        <v>46.10532434349372</v>
      </c>
      <c r="EM81" s="22">
        <f t="shared" si="73"/>
        <v>399.93773989825166</v>
      </c>
      <c r="EN81" s="60">
        <f t="shared" si="74"/>
        <v>669.86117793267795</v>
      </c>
      <c r="EO81" s="60">
        <f ca="1">AVERAGE(OFFSET($EN$3,0,0,'Données projet'!$E$15+1,1))-AVERAGE(OFFSET($H$3,0,0,'Données projet'!$E$15+1,1))</f>
        <v>344.62096650402731</v>
      </c>
      <c r="EP81" s="60">
        <f t="shared" si="100"/>
        <v>277.30931495079346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2.9799999999999955</v>
      </c>
      <c r="FE81" s="13">
        <f>IF('Données projet'!$A$218&gt;35,FE80+FD81-FM80,IF(A81&lt;'Données projet'!$A$218,$FB$205^A81,IF(A81='Données projet'!$A$218,'Données projet'!$B$218,FE80+FD81-FM80)))</f>
        <v>278.64000000000033</v>
      </c>
      <c r="FF81" s="18">
        <f>FE81*VLOOKUP('Données projet'!$B$16,Paramètres!$A$1:$I$89,3,0)*VLOOKUP('Données projet'!$B$16,Paramètres!$A$1:$I$89,5,0)</f>
        <v>243.41990400000032</v>
      </c>
      <c r="FG81" s="14">
        <f t="shared" si="101"/>
        <v>59.174732473133545</v>
      </c>
      <c r="FH81" s="22">
        <f t="shared" si="76"/>
        <v>527.01899185737477</v>
      </c>
      <c r="FI81" s="60">
        <f t="shared" si="77"/>
        <v>796.942429891801</v>
      </c>
      <c r="FJ81" s="60">
        <f ca="1">AVERAGE(OFFSET($FI$3,0,0,'Données projet'!$E$16+1,1))-AVERAGE(OFFSET($H$3,0,0,'Données projet'!$E$16+1,1))</f>
        <v>363.28611056308665</v>
      </c>
      <c r="FK81" s="60">
        <f t="shared" si="102"/>
        <v>389.43647559455974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</v>
      </c>
      <c r="FZ81" s="13">
        <f>IF('Données projet'!$A$244&gt;35,FZ80+FY81-GH80,IF(A81&lt;'Données projet'!$A$244,$FW$205^A81,IF(A81='Données projet'!$A$244,'Données projet'!$B$244,FZ80+FY81-GH80)))</f>
        <v>269.99999999999989</v>
      </c>
      <c r="GA81" s="18">
        <f>FZ81*VLOOKUP('Données projet'!$B$17,Paramètres!$A$1:$I$89,3,0)*VLOOKUP('Données projet'!$B$17,Paramètres!$A$1:$I$89,5,0)</f>
        <v>290.62799999999987</v>
      </c>
      <c r="GB81" s="14">
        <f t="shared" si="103"/>
        <v>69.208117853196882</v>
      </c>
      <c r="GC81" s="22">
        <f t="shared" si="79"/>
        <v>626.71457192765104</v>
      </c>
      <c r="GD81" s="60">
        <f t="shared" si="80"/>
        <v>896.63800996207726</v>
      </c>
      <c r="GE81" s="60">
        <f ca="1">AVERAGE(OFFSET($GD$3,0,0,'Données projet'!$E$17+1,1))-AVERAGE(OFFSET($H$3,0,0,'Données projet'!$E$17+1,1))</f>
        <v>542.90832990875208</v>
      </c>
      <c r="GF81" s="60">
        <f t="shared" si="104"/>
        <v>304.94365539329362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2.9799999999999955</v>
      </c>
      <c r="N82" s="14">
        <f>IF('Données projet'!$A$36&gt;35,N81+M82-V81,IF(A82&lt;'Données projet'!$A$36,$K$205^A82,IF(A82='Données projet'!$A$36,'Données projet'!$B$36,N81+M82-V81)))</f>
        <v>281.62000000000035</v>
      </c>
      <c r="O82" s="14">
        <f>N82*VLOOKUP('Données projet'!$B$9,Paramètres!$A$1:$I$89,3,0)*VLOOKUP('Données projet'!$B$9,Paramètres!$A$1:$I$89,5,0)</f>
        <v>224.05687200000028</v>
      </c>
      <c r="P82" s="14">
        <f t="shared" si="87"/>
        <v>54.995686928373175</v>
      </c>
      <c r="Q82" s="22">
        <f t="shared" si="54"/>
        <v>486.01654013358376</v>
      </c>
      <c r="R82" s="60">
        <f t="shared" si="55"/>
        <v>756.34608751476071</v>
      </c>
      <c r="S82" s="60">
        <f ca="1">AVERAGE(OFFSET($R$3,0,0,'Données projet'!$E$9+1,1))-AVERAGE(OFFSET($H$3,0,0,'Données projet'!$E$9+1,1))</f>
        <v>336.25341821407534</v>
      </c>
      <c r="T82" s="60">
        <f t="shared" si="88"/>
        <v>360.3246221345039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874.34349636470733</v>
      </c>
      <c r="AN82" s="60">
        <f ca="1">AVERAGE(OFFSET($AM$3,0,0,'Données projet'!$E$10+1,1))-AVERAGE(OFFSET($H$3,0,0,'Données projet'!$E$10+1,1))</f>
        <v>516.30971934066179</v>
      </c>
      <c r="AO82" s="60">
        <f t="shared" si="90"/>
        <v>290.84286505723571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0">
        <f t="shared" si="62"/>
        <v>756.34608751476071</v>
      </c>
      <c r="BI82" s="60">
        <f ca="1">AVERAGE(OFFSET($BH$3,0,0,'Données projet'!$E$11+1,1))-AVERAGE(OFFSET($H$3,0,0,'Données projet'!$E$11+1,1))</f>
        <v>336.25341821407534</v>
      </c>
      <c r="BJ82" s="60">
        <f t="shared" si="92"/>
        <v>360.3246221345039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3.974358974358978</v>
      </c>
      <c r="BY82" s="13">
        <f>IF('Données projet'!$A$114&gt;35,BY81+BX82-CG81,IF(A82&lt;'Données projet'!$A$114,$BV$205^A82,IF(A82='Données projet'!$A$114,'Données projet'!$B$114,BY81+BX82-CG81)))</f>
        <v>223.58974358974353</v>
      </c>
      <c r="BZ82" s="14">
        <f>BY82*VLOOKUP('Données projet'!$B$12,Paramètres!$A$1:$I$89,3,0)*VLOOKUP('Données projet'!$B$12,Paramètres!$A$1:$I$89,5,0)</f>
        <v>212.76799999999994</v>
      </c>
      <c r="CA82" s="14">
        <f t="shared" si="93"/>
        <v>52.540001579827234</v>
      </c>
      <c r="CB82" s="22">
        <f t="shared" si="64"/>
        <v>462.0781027515323</v>
      </c>
      <c r="CC82" s="60">
        <f t="shared" si="65"/>
        <v>732.40765013270925</v>
      </c>
      <c r="CD82" s="60">
        <f ca="1">AVERAGE(OFFSET($CC$3,0,0,'Données projet'!$E$12+1,1))-AVERAGE(OFFSET($H$3,0,0,'Données projet'!$E$12+1,1))</f>
        <v>398.29746143975166</v>
      </c>
      <c r="CE82" s="60">
        <f t="shared" si="94"/>
        <v>300.63705521148802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266.9471999999999</v>
      </c>
      <c r="CV82" s="14">
        <f t="shared" si="95"/>
        <v>64.200959938746379</v>
      </c>
      <c r="CW82" s="22">
        <f t="shared" si="67"/>
        <v>576.74971189331643</v>
      </c>
      <c r="CX82" s="60">
        <f t="shared" si="68"/>
        <v>847.07925927449332</v>
      </c>
      <c r="CY82" s="60">
        <f ca="1">AVERAGE(OFFSET($CX$3,0,0,'Données projet'!$E$13+1,1))-AVERAGE(OFFSET($H$3,0,0,'Données projet'!$E$13+1,1))</f>
        <v>496.33873798282525</v>
      </c>
      <c r="CZ82" s="60">
        <f t="shared" si="96"/>
        <v>280.25465074992246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8.8675733422860506E-14</v>
      </c>
      <c r="DQ82" s="14">
        <f t="shared" si="97"/>
        <v>1.3509285393066301E-12</v>
      </c>
      <c r="DR82" s="22">
        <f t="shared" si="70"/>
        <v>2.5073107750038623E-12</v>
      </c>
      <c r="DS82" s="60">
        <f t="shared" si="71"/>
        <v>270.32954738117945</v>
      </c>
      <c r="DT82" s="60">
        <f ca="1">AVERAGE(OFFSET($DS$3,0,0,'Données projet'!$E$14+1,1))-AVERAGE(OFFSET($H$3,0,0,'Données projet'!$E$14+1,1))</f>
        <v>312.59632808777332</v>
      </c>
      <c r="DU82" s="60">
        <f t="shared" si="98"/>
        <v>302.59481222418219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4.2307692307692264</v>
      </c>
      <c r="EJ82" s="13">
        <f>IF('Données projet'!$A$192&gt;35,EJ81+EI82-ER81,IF(A82&lt;'Données projet'!$A$192,$EG$205^A82,IF(A82='Données projet'!$A$192,'Données projet'!$B$192,EJ81+EI82-ER81)))</f>
        <v>277.82051282051287</v>
      </c>
      <c r="EK82" s="18">
        <f>EJ82*VLOOKUP('Données projet'!$B$15,Paramètres!$A$1:$I$89,3,0)*VLOOKUP('Données projet'!$B$15,Paramètres!$A$1:$I$89,5,0)</f>
        <v>186.36200000000002</v>
      </c>
      <c r="EL82" s="14">
        <f t="shared" si="99"/>
        <v>46.734739947740024</v>
      </c>
      <c r="EM82" s="22">
        <f t="shared" si="73"/>
        <v>405.97682207564725</v>
      </c>
      <c r="EN82" s="60">
        <f t="shared" si="74"/>
        <v>676.3063694568242</v>
      </c>
      <c r="EO82" s="60">
        <f ca="1">AVERAGE(OFFSET($EN$3,0,0,'Données projet'!$E$15+1,1))-AVERAGE(OFFSET($H$3,0,0,'Données projet'!$E$15+1,1))</f>
        <v>344.62096650402731</v>
      </c>
      <c r="EP82" s="60">
        <f t="shared" si="100"/>
        <v>277.30931495079346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2.9799999999999955</v>
      </c>
      <c r="FE82" s="13">
        <f>IF('Données projet'!$A$218&gt;35,FE81+FD82-FM81,IF(A82&lt;'Données projet'!$A$218,$FB$205^A82,IF(A82='Données projet'!$A$218,'Données projet'!$B$218,FE81+FD82-FM81)))</f>
        <v>281.62000000000035</v>
      </c>
      <c r="FF82" s="18">
        <f>FE82*VLOOKUP('Données projet'!$B$16,Paramètres!$A$1:$I$89,3,0)*VLOOKUP('Données projet'!$B$16,Paramètres!$A$1:$I$89,5,0)</f>
        <v>246.02323200000032</v>
      </c>
      <c r="FG82" s="14">
        <f t="shared" si="101"/>
        <v>59.73358275988631</v>
      </c>
      <c r="FH82" s="22">
        <f t="shared" si="76"/>
        <v>532.52645237346917</v>
      </c>
      <c r="FI82" s="60">
        <f t="shared" si="77"/>
        <v>802.85599975464606</v>
      </c>
      <c r="FJ82" s="60">
        <f ca="1">AVERAGE(OFFSET($FI$3,0,0,'Données projet'!$E$16+1,1))-AVERAGE(OFFSET($H$3,0,0,'Données projet'!$E$16+1,1))</f>
        <v>363.28611056308665</v>
      </c>
      <c r="FK82" s="60">
        <f t="shared" si="102"/>
        <v>389.43647559455974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</v>
      </c>
      <c r="FZ82" s="13">
        <f>IF('Données projet'!$A$244&gt;35,FZ81+FY82-GH81,IF(A82&lt;'Données projet'!$A$244,$FW$205^A82,IF(A82='Données projet'!$A$244,'Données projet'!$B$244,FZ81+FY82-GH81)))</f>
        <v>275.99999999999989</v>
      </c>
      <c r="GA82" s="18">
        <f>FZ82*VLOOKUP('Données projet'!$B$17,Paramètres!$A$1:$I$89,3,0)*VLOOKUP('Données projet'!$B$17,Paramètres!$A$1:$I$89,5,0)</f>
        <v>297.08639999999986</v>
      </c>
      <c r="GB82" s="14">
        <f t="shared" si="103"/>
        <v>70.565314499829583</v>
      </c>
      <c r="GC82" s="22">
        <f t="shared" si="79"/>
        <v>640.3267360872029</v>
      </c>
      <c r="GD82" s="60">
        <f t="shared" si="80"/>
        <v>910.6562834683798</v>
      </c>
      <c r="GE82" s="60">
        <f ca="1">AVERAGE(OFFSET($GD$3,0,0,'Données projet'!$E$17+1,1))-AVERAGE(OFFSET($H$3,0,0,'Données projet'!$E$17+1,1))</f>
        <v>542.90832990875208</v>
      </c>
      <c r="GF82" s="60">
        <f t="shared" si="104"/>
        <v>304.94365539329362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284.60000000000002</v>
      </c>
      <c r="L83" s="13">
        <f>VLOOKUP(A83,'Données projet'!$A$35:$I$55,9,0)</f>
        <v>2.9799999999999955</v>
      </c>
      <c r="M83" s="13">
        <f t="array" ref="M83">INDEX(L:L,MIN(IF(ISNUMBER(L83:L279),ROW(L83:L279),"")))</f>
        <v>2.9799999999999955</v>
      </c>
      <c r="N83" s="14">
        <f>IF('Données projet'!$A$36&gt;35,N82+M83-V82,IF(A83&lt;'Données projet'!$A$36,$K$205^A83,IF(A83='Données projet'!$A$36,'Données projet'!$B$36,N82+M83-V82)))</f>
        <v>284.60000000000036</v>
      </c>
      <c r="O83" s="14">
        <f>N83*VLOOKUP('Données projet'!$B$9,Paramètres!$A$1:$I$89,3,0)*VLOOKUP('Données projet'!$B$9,Paramètres!$A$1:$I$89,5,0)</f>
        <v>226.42776000000029</v>
      </c>
      <c r="P83" s="14">
        <f t="shared" si="87"/>
        <v>55.50957745649643</v>
      </c>
      <c r="Q83" s="22">
        <f t="shared" si="54"/>
        <v>491.0408627367317</v>
      </c>
      <c r="R83" s="60">
        <f t="shared" si="55"/>
        <v>761.76947437541776</v>
      </c>
      <c r="S83" s="60">
        <f ca="1">AVERAGE(OFFSET($R$3,0,0,'Données projet'!$E$9+1,1))-AVERAGE(OFFSET($H$3,0,0,'Données projet'!$E$9+1,1))</f>
        <v>336.25341821407534</v>
      </c>
      <c r="T83" s="60">
        <f t="shared" si="88"/>
        <v>360.3246221345039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284.60000000000002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887.57547935422576</v>
      </c>
      <c r="AN83" s="60">
        <f ca="1">AVERAGE(OFFSET($AM$3,0,0,'Données projet'!$E$10+1,1))-AVERAGE(OFFSET($H$3,0,0,'Données projet'!$E$10+1,1))</f>
        <v>516.30971934066179</v>
      </c>
      <c r="AO83" s="60">
        <f t="shared" si="90"/>
        <v>290.84286505723571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0">
        <f t="shared" si="62"/>
        <v>761.76947437541776</v>
      </c>
      <c r="BI83" s="60">
        <f ca="1">AVERAGE(OFFSET($BH$3,0,0,'Données projet'!$E$11+1,1))-AVERAGE(OFFSET($H$3,0,0,'Données projet'!$E$11+1,1))</f>
        <v>336.25341821407534</v>
      </c>
      <c r="BJ83" s="60">
        <f t="shared" si="92"/>
        <v>360.3246221345039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227.56410256410257</v>
      </c>
      <c r="BW83" s="13">
        <f>VLOOKUP(A83,'Données projet'!$A$113:$I$133,9,0)</f>
        <v>3.974358974358978</v>
      </c>
      <c r="BX83" s="13">
        <f t="array" ref="BX83">INDEX(BW:BW,MIN(IF(ISNUMBER(BW83:BW279),ROW(BW83:BW279),"")))</f>
        <v>3.974358974358978</v>
      </c>
      <c r="BY83" s="13">
        <f>IF('Données projet'!$A$114&gt;35,BY82+BX83-CG82,IF(A83&lt;'Données projet'!$A$114,$BV$205^A83,IF(A83='Données projet'!$A$114,'Données projet'!$B$114,BY82+BX83-CG82)))</f>
        <v>227.56410256410251</v>
      </c>
      <c r="BZ83" s="14">
        <f>BY83*VLOOKUP('Données projet'!$B$12,Paramètres!$A$1:$I$89,3,0)*VLOOKUP('Données projet'!$B$12,Paramètres!$A$1:$I$89,5,0)</f>
        <v>216.54999999999998</v>
      </c>
      <c r="CA83" s="14">
        <f t="shared" si="93"/>
        <v>53.364356873390378</v>
      </c>
      <c r="CB83" s="22">
        <f t="shared" si="64"/>
        <v>470.1008382211549</v>
      </c>
      <c r="CC83" s="60">
        <f t="shared" si="65"/>
        <v>740.82944985984102</v>
      </c>
      <c r="CD83" s="60">
        <f ca="1">AVERAGE(OFFSET($CC$3,0,0,'Données projet'!$E$12+1,1))-AVERAGE(OFFSET($H$3,0,0,'Données projet'!$E$12+1,1))</f>
        <v>398.29746143975166</v>
      </c>
      <c r="CE83" s="60">
        <f t="shared" si="94"/>
        <v>300.63705521148802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27.564102564102562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272.7503999999999</v>
      </c>
      <c r="CV83" s="14">
        <f t="shared" si="95"/>
        <v>65.432628830820633</v>
      </c>
      <c r="CW83" s="22">
        <f t="shared" si="67"/>
        <v>589.00210854701243</v>
      </c>
      <c r="CX83" s="60">
        <f t="shared" si="68"/>
        <v>859.7307201856986</v>
      </c>
      <c r="CY83" s="60">
        <f ca="1">AVERAGE(OFFSET($CX$3,0,0,'Données projet'!$E$13+1,1))-AVERAGE(OFFSET($H$3,0,0,'Données projet'!$E$13+1,1))</f>
        <v>496.33873798282525</v>
      </c>
      <c r="CZ83" s="60">
        <f t="shared" si="96"/>
        <v>280.25465074992246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8.8675733422860506E-14</v>
      </c>
      <c r="DQ83" s="14">
        <f t="shared" si="97"/>
        <v>1.3509285393066301E-12</v>
      </c>
      <c r="DR83" s="22">
        <f t="shared" si="70"/>
        <v>2.5073107750038623E-12</v>
      </c>
      <c r="DS83" s="60">
        <f t="shared" si="71"/>
        <v>270.72861163868862</v>
      </c>
      <c r="DT83" s="60">
        <f ca="1">AVERAGE(OFFSET($DS$3,0,0,'Données projet'!$E$14+1,1))-AVERAGE(OFFSET($H$3,0,0,'Données projet'!$E$14+1,1))</f>
        <v>312.59632808777332</v>
      </c>
      <c r="DU83" s="60">
        <f t="shared" si="98"/>
        <v>302.59481222418219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282.05128205128204</v>
      </c>
      <c r="EH83" s="13">
        <f>VLOOKUP(A83,'Données projet'!$A$191:$I$211,9,0)</f>
        <v>4.2307692307692264</v>
      </c>
      <c r="EI83" s="13">
        <f t="array" ref="EI83">INDEX(EH:EH,MIN(IF(ISNUMBER(EH83:EH279),ROW(EH83:EH279),"")))</f>
        <v>4.2307692307692264</v>
      </c>
      <c r="EJ83" s="13">
        <f>IF('Données projet'!$A$192&gt;35,EJ82+EI83-ER82,IF(A83&lt;'Données projet'!$A$192,$EG$205^A83,IF(A83='Données projet'!$A$192,'Données projet'!$B$192,EJ82+EI83-ER82)))</f>
        <v>282.0512820512821</v>
      </c>
      <c r="EK83" s="18">
        <f>EJ83*VLOOKUP('Données projet'!$B$15,Paramètres!$A$1:$I$89,3,0)*VLOOKUP('Données projet'!$B$15,Paramètres!$A$1:$I$89,5,0)</f>
        <v>189.20000000000005</v>
      </c>
      <c r="EL83" s="14">
        <f t="shared" si="99"/>
        <v>47.363040799609742</v>
      </c>
      <c r="EM83" s="22">
        <f t="shared" si="73"/>
        <v>412.01396272598703</v>
      </c>
      <c r="EN83" s="60">
        <f t="shared" si="74"/>
        <v>682.74257436467315</v>
      </c>
      <c r="EO83" s="60">
        <f ca="1">AVERAGE(OFFSET($EN$3,0,0,'Données projet'!$E$15+1,1))-AVERAGE(OFFSET($H$3,0,0,'Données projet'!$E$15+1,1))</f>
        <v>344.62096650402731</v>
      </c>
      <c r="EP83" s="60">
        <f t="shared" si="100"/>
        <v>277.30931495079346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26.282051282051281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284.60000000000002</v>
      </c>
      <c r="FC83" s="13">
        <f>VLOOKUP(A83,'Données projet'!$A$217:$I$237,9,0)</f>
        <v>2.9799999999999955</v>
      </c>
      <c r="FD83" s="13">
        <f t="array" ref="FD83">INDEX(FC:FC,MIN(IF(ISNUMBER(FC83:FC279),ROW(FC83:FC279),"")))</f>
        <v>2.9799999999999955</v>
      </c>
      <c r="FE83" s="13">
        <f>IF('Données projet'!$A$218&gt;35,FE82+FD83-FM82,IF(A83&lt;'Données projet'!$A$218,$FB$205^A83,IF(A83='Données projet'!$A$218,'Données projet'!$B$218,FE82+FD83-FM82)))</f>
        <v>284.60000000000036</v>
      </c>
      <c r="FF83" s="18">
        <f>FE83*VLOOKUP('Données projet'!$B$16,Paramètres!$A$1:$I$89,3,0)*VLOOKUP('Données projet'!$B$16,Paramètres!$A$1:$I$89,5,0)</f>
        <v>248.62656000000038</v>
      </c>
      <c r="FG83" s="14">
        <f t="shared" si="101"/>
        <v>60.291745119621027</v>
      </c>
      <c r="FH83" s="22">
        <f t="shared" si="76"/>
        <v>538.03271475000724</v>
      </c>
      <c r="FI83" s="60">
        <f t="shared" si="77"/>
        <v>808.76132638869331</v>
      </c>
      <c r="FJ83" s="60">
        <f ca="1">AVERAGE(OFFSET($FI$3,0,0,'Données projet'!$E$16+1,1))-AVERAGE(OFFSET($H$3,0,0,'Données projet'!$E$16+1,1))</f>
        <v>363.28611056308665</v>
      </c>
      <c r="FK83" s="60">
        <f t="shared" si="102"/>
        <v>389.43647559455974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284.60000000000002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</v>
      </c>
      <c r="FX83" s="13">
        <f>VLOOKUP(A83,'Données projet'!$A$243:$I$263,9,0)</f>
        <v>6</v>
      </c>
      <c r="FY83" s="13">
        <f t="array" ref="FY83">INDEX(FX:FX,MIN(IF(ISNUMBER(FX83:FX279),ROW(FX83:FX279),"")))</f>
        <v>6</v>
      </c>
      <c r="FZ83" s="13">
        <f>IF('Données projet'!$A$244&gt;35,FZ82+FY83-GH82,IF(A83&lt;'Données projet'!$A$244,$FW$205^A83,IF(A83='Données projet'!$A$244,'Données projet'!$B$244,FZ82+FY83-GH82)))</f>
        <v>281.99999999999989</v>
      </c>
      <c r="GA83" s="18">
        <f>FZ83*VLOOKUP('Données projet'!$B$17,Paramètres!$A$1:$I$89,3,0)*VLOOKUP('Données projet'!$B$17,Paramètres!$A$1:$I$89,5,0)</f>
        <v>303.54479999999984</v>
      </c>
      <c r="GB83" s="14">
        <f t="shared" si="103"/>
        <v>71.919080904752505</v>
      </c>
      <c r="GC83" s="22">
        <f t="shared" si="79"/>
        <v>653.93292590911028</v>
      </c>
      <c r="GD83" s="60">
        <f t="shared" si="80"/>
        <v>924.66153754779634</v>
      </c>
      <c r="GE83" s="60">
        <f ca="1">AVERAGE(OFFSET($GD$3,0,0,'Données projet'!$E$17+1,1))-AVERAGE(OFFSET($H$3,0,0,'Données projet'!$E$17+1,1))</f>
        <v>542.90832990875208</v>
      </c>
      <c r="GF83" s="60">
        <f t="shared" si="104"/>
        <v>304.94365539329362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42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3.4106051316484809E-13</v>
      </c>
      <c r="O84" s="14">
        <f>N84*VLOOKUP('Données projet'!$B$9,Paramètres!$A$1:$I$89,3,0)*VLOOKUP('Données projet'!$B$9,Paramètres!$A$1:$I$89,5,0)</f>
        <v>2.7134774427395314E-13</v>
      </c>
      <c r="P84" s="14">
        <f t="shared" si="87"/>
        <v>3.6292411711343559E-12</v>
      </c>
      <c r="Q84" s="22">
        <f t="shared" si="54"/>
        <v>6.7935256943361388E-12</v>
      </c>
      <c r="R84" s="60">
        <f t="shared" si="55"/>
        <v>271.12075302350826</v>
      </c>
      <c r="S84" s="60">
        <f ca="1">AVERAGE(OFFSET($R$3,0,0,'Données projet'!$E$9+1,1))-AVERAGE(OFFSET($H$3,0,0,'Données projet'!$E$9+1,1))</f>
        <v>336.25341821407534</v>
      </c>
      <c r="T84" s="60">
        <f t="shared" si="88"/>
        <v>360.3246221345039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810.02443591831843</v>
      </c>
      <c r="AN84" s="60">
        <f ca="1">AVERAGE(OFFSET($AM$3,0,0,'Données projet'!$E$10+1,1))-AVERAGE(OFFSET($H$3,0,0,'Données projet'!$E$10+1,1))</f>
        <v>516.30971934066179</v>
      </c>
      <c r="AO84" s="60">
        <f t="shared" si="90"/>
        <v>290.84286505723571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0">
        <f t="shared" si="62"/>
        <v>271.12075302350826</v>
      </c>
      <c r="BI84" s="60">
        <f ca="1">AVERAGE(OFFSET($BH$3,0,0,'Données projet'!$E$11+1,1))-AVERAGE(OFFSET($H$3,0,0,'Données projet'!$E$11+1,1))</f>
        <v>336.25341821407534</v>
      </c>
      <c r="BJ84" s="60">
        <f t="shared" si="92"/>
        <v>360.3246221345039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3.8461538461538454</v>
      </c>
      <c r="BY84" s="13">
        <f>IF('Données projet'!$A$114&gt;35,BY83+BX84-CG83,IF(A84&lt;'Données projet'!$A$114,$BV$205^A84,IF(A84='Données projet'!$A$114,'Données projet'!$B$114,BY83+BX84-CG83)))</f>
        <v>203.84615384615378</v>
      </c>
      <c r="BZ84" s="14">
        <f>BY84*VLOOKUP('Données projet'!$B$12,Paramètres!$A$1:$I$89,3,0)*VLOOKUP('Données projet'!$B$12,Paramètres!$A$1:$I$89,5,0)</f>
        <v>193.97999999999996</v>
      </c>
      <c r="CA84" s="14">
        <f t="shared" si="93"/>
        <v>48.418809868414776</v>
      </c>
      <c r="CB84" s="22">
        <f t="shared" si="64"/>
        <v>422.17792718748893</v>
      </c>
      <c r="CC84" s="60">
        <f t="shared" si="65"/>
        <v>693.29868021099037</v>
      </c>
      <c r="CD84" s="60">
        <f ca="1">AVERAGE(OFFSET($CC$3,0,0,'Données projet'!$E$12+1,1))-AVERAGE(OFFSET($H$3,0,0,'Données projet'!$E$12+1,1))</f>
        <v>398.29746143975166</v>
      </c>
      <c r="CE84" s="60">
        <f t="shared" si="94"/>
        <v>300.63705521148802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237.54431999999991</v>
      </c>
      <c r="CV84" s="14">
        <f t="shared" si="95"/>
        <v>57.910863128487989</v>
      </c>
      <c r="CW84" s="22">
        <f t="shared" si="67"/>
        <v>514.58444394878302</v>
      </c>
      <c r="CX84" s="60">
        <f t="shared" si="68"/>
        <v>785.70519697228451</v>
      </c>
      <c r="CY84" s="60">
        <f ca="1">AVERAGE(OFFSET($CX$3,0,0,'Données projet'!$E$13+1,1))-AVERAGE(OFFSET($H$3,0,0,'Données projet'!$E$13+1,1))</f>
        <v>496.33873798282525</v>
      </c>
      <c r="CZ84" s="60">
        <f t="shared" si="96"/>
        <v>280.25465074992246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8.8675733422860506E-14</v>
      </c>
      <c r="DQ84" s="14">
        <f t="shared" si="97"/>
        <v>1.3509285393066301E-12</v>
      </c>
      <c r="DR84" s="22">
        <f t="shared" si="70"/>
        <v>2.5073107750038623E-12</v>
      </c>
      <c r="DS84" s="60">
        <f t="shared" si="71"/>
        <v>271.12075302350394</v>
      </c>
      <c r="DT84" s="60">
        <f ca="1">AVERAGE(OFFSET($DS$3,0,0,'Données projet'!$E$14+1,1))-AVERAGE(OFFSET($H$3,0,0,'Données projet'!$E$14+1,1))</f>
        <v>312.59632808777332</v>
      </c>
      <c r="DU84" s="60">
        <f t="shared" si="98"/>
        <v>302.59481222418219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4.1025641025640995</v>
      </c>
      <c r="EJ84" s="13">
        <f>IF('Données projet'!$A$192&gt;35,EJ83+EI84-ER83,IF(A84&lt;'Données projet'!$A$192,$EG$205^A84,IF(A84='Données projet'!$A$192,'Données projet'!$B$192,EJ83+EI84-ER83)))</f>
        <v>259.87179487179492</v>
      </c>
      <c r="EK84" s="18">
        <f>EJ84*VLOOKUP('Données projet'!$B$15,Paramètres!$A$1:$I$89,3,0)*VLOOKUP('Données projet'!$B$15,Paramètres!$A$1:$I$89,5,0)</f>
        <v>174.32200000000003</v>
      </c>
      <c r="EL84" s="14">
        <f t="shared" si="99"/>
        <v>44.056588905148665</v>
      </c>
      <c r="EM84" s="22">
        <f t="shared" si="73"/>
        <v>380.34270900980056</v>
      </c>
      <c r="EN84" s="60">
        <f t="shared" si="74"/>
        <v>651.46346203330199</v>
      </c>
      <c r="EO84" s="60">
        <f ca="1">AVERAGE(OFFSET($EN$3,0,0,'Données projet'!$E$15+1,1))-AVERAGE(OFFSET($H$3,0,0,'Données projet'!$E$15+1,1))</f>
        <v>344.62096650402731</v>
      </c>
      <c r="EP84" s="60">
        <f t="shared" si="100"/>
        <v>277.30931495079346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3.4106051316484809E-13</v>
      </c>
      <c r="FF84" s="18">
        <f>FE84*VLOOKUP('Données projet'!$B$16,Paramètres!$A$1:$I$89,3,0)*VLOOKUP('Données projet'!$B$16,Paramètres!$A$1:$I$89,5,0)</f>
        <v>2.9795046430081134E-13</v>
      </c>
      <c r="FG84" s="14">
        <f t="shared" si="101"/>
        <v>3.9419014464513778E-12</v>
      </c>
      <c r="FH84" s="22">
        <f t="shared" si="76"/>
        <v>7.384408744560063E-12</v>
      </c>
      <c r="FI84" s="60">
        <f t="shared" si="77"/>
        <v>271.12075302350883</v>
      </c>
      <c r="FJ84" s="60">
        <f ca="1">AVERAGE(OFFSET($FI$3,0,0,'Données projet'!$E$16+1,1))-AVERAGE(OFFSET($H$3,0,0,'Données projet'!$E$16+1,1))</f>
        <v>363.28611056308665</v>
      </c>
      <c r="FK84" s="60">
        <f t="shared" si="102"/>
        <v>389.43647559455974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5.6</v>
      </c>
      <c r="FZ84" s="13">
        <f>IF('Données projet'!$A$244&gt;35,FZ83+FY84-GH83,IF(A84&lt;'Données projet'!$A$244,$FW$205^A84,IF(A84='Données projet'!$A$244,'Données projet'!$B$244,FZ83+FY84-GH83)))</f>
        <v>245.59999999999991</v>
      </c>
      <c r="GA84" s="18">
        <f>FZ84*VLOOKUP('Données projet'!$B$17,Paramètres!$A$1:$I$89,3,0)*VLOOKUP('Données projet'!$B$17,Paramètres!$A$1:$I$89,5,0)</f>
        <v>264.36383999999987</v>
      </c>
      <c r="GB84" s="14">
        <f t="shared" si="103"/>
        <v>63.651669282160768</v>
      </c>
      <c r="GC84" s="22">
        <f t="shared" si="79"/>
        <v>571.29367866642974</v>
      </c>
      <c r="GD84" s="60">
        <f t="shared" si="80"/>
        <v>842.41443168993123</v>
      </c>
      <c r="GE84" s="60">
        <f ca="1">AVERAGE(OFFSET($GD$3,0,0,'Données projet'!$E$17+1,1))-AVERAGE(OFFSET($H$3,0,0,'Données projet'!$E$17+1,1))</f>
        <v>542.90832990875208</v>
      </c>
      <c r="GF84" s="60">
        <f t="shared" si="104"/>
        <v>304.94365539329362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3.4106051316484809E-13</v>
      </c>
      <c r="O85" s="14">
        <f>N85*VLOOKUP('Données projet'!$B$9,Paramètres!$A$1:$I$89,3,0)*VLOOKUP('Données projet'!$B$9,Paramètres!$A$1:$I$89,5,0)</f>
        <v>2.7134774427395314E-13</v>
      </c>
      <c r="P85" s="14">
        <f t="shared" si="87"/>
        <v>3.6292411711343559E-12</v>
      </c>
      <c r="Q85" s="22">
        <f t="shared" si="54"/>
        <v>6.7935256943361388E-12</v>
      </c>
      <c r="R85" s="60">
        <f t="shared" si="55"/>
        <v>271.50609163199385</v>
      </c>
      <c r="S85" s="60">
        <f ca="1">AVERAGE(OFFSET($R$3,0,0,'Données projet'!$E$9+1,1))-AVERAGE(OFFSET($H$3,0,0,'Données projet'!$E$9+1,1))</f>
        <v>336.25341821407534</v>
      </c>
      <c r="T85" s="60">
        <f t="shared" si="88"/>
        <v>360.3246221345039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822.41558564741683</v>
      </c>
      <c r="AN85" s="60">
        <f ca="1">AVERAGE(OFFSET($AM$3,0,0,'Données projet'!$E$10+1,1))-AVERAGE(OFFSET($H$3,0,0,'Données projet'!$E$10+1,1))</f>
        <v>516.30971934066179</v>
      </c>
      <c r="AO85" s="60">
        <f t="shared" si="90"/>
        <v>290.84286505723571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0">
        <f t="shared" si="62"/>
        <v>271.50609163199385</v>
      </c>
      <c r="BI85" s="60">
        <f ca="1">AVERAGE(OFFSET($BH$3,0,0,'Données projet'!$E$11+1,1))-AVERAGE(OFFSET($H$3,0,0,'Données projet'!$E$11+1,1))</f>
        <v>336.25341821407534</v>
      </c>
      <c r="BJ85" s="60">
        <f t="shared" si="92"/>
        <v>360.3246221345039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3.8461538461538454</v>
      </c>
      <c r="BY85" s="13">
        <f>IF('Données projet'!$A$114&gt;35,BY84+BX85-CG84,IF(A85&lt;'Données projet'!$A$114,$BV$205^A85,IF(A85='Données projet'!$A$114,'Données projet'!$B$114,BY84+BX85-CG84)))</f>
        <v>207.69230769230762</v>
      </c>
      <c r="BZ85" s="14">
        <f>BY85*VLOOKUP('Données projet'!$B$12,Paramètres!$A$1:$I$89,3,0)*VLOOKUP('Données projet'!$B$12,Paramètres!$A$1:$I$89,5,0)</f>
        <v>197.63999999999993</v>
      </c>
      <c r="CA85" s="14">
        <f t="shared" si="93"/>
        <v>49.22515338895078</v>
      </c>
      <c r="CB85" s="22">
        <f t="shared" si="64"/>
        <v>429.95680881908919</v>
      </c>
      <c r="CC85" s="60">
        <f t="shared" si="65"/>
        <v>701.46290045107617</v>
      </c>
      <c r="CD85" s="60">
        <f ca="1">AVERAGE(OFFSET($CC$3,0,0,'Données projet'!$E$12+1,1))-AVERAGE(OFFSET($H$3,0,0,'Données projet'!$E$12+1,1))</f>
        <v>398.29746143975166</v>
      </c>
      <c r="CE85" s="60">
        <f t="shared" si="94"/>
        <v>300.63705521148802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242.96063999999993</v>
      </c>
      <c r="CV85" s="14">
        <f t="shared" si="95"/>
        <v>59.076071351835715</v>
      </c>
      <c r="CW85" s="22">
        <f t="shared" si="67"/>
        <v>526.04727227111368</v>
      </c>
      <c r="CX85" s="60">
        <f t="shared" si="68"/>
        <v>797.55336390310072</v>
      </c>
      <c r="CY85" s="60">
        <f ca="1">AVERAGE(OFFSET($CX$3,0,0,'Données projet'!$E$13+1,1))-AVERAGE(OFFSET($H$3,0,0,'Données projet'!$E$13+1,1))</f>
        <v>496.33873798282525</v>
      </c>
      <c r="CZ85" s="60">
        <f t="shared" si="96"/>
        <v>280.25465074992246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8.8675733422860506E-14</v>
      </c>
      <c r="DQ85" s="14">
        <f t="shared" si="97"/>
        <v>1.3509285393066301E-12</v>
      </c>
      <c r="DR85" s="22">
        <f t="shared" si="70"/>
        <v>2.5073107750038623E-12</v>
      </c>
      <c r="DS85" s="60">
        <f t="shared" si="71"/>
        <v>271.50609163198953</v>
      </c>
      <c r="DT85" s="60">
        <f ca="1">AVERAGE(OFFSET($DS$3,0,0,'Données projet'!$E$14+1,1))-AVERAGE(OFFSET($H$3,0,0,'Données projet'!$E$14+1,1))</f>
        <v>312.59632808777332</v>
      </c>
      <c r="DU85" s="60">
        <f t="shared" si="98"/>
        <v>302.59481222418219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4.1025641025640995</v>
      </c>
      <c r="EJ85" s="13">
        <f>IF('Données projet'!$A$192&gt;35,EJ84+EI85-ER84,IF(A85&lt;'Données projet'!$A$192,$EG$205^A85,IF(A85='Données projet'!$A$192,'Données projet'!$B$192,EJ84+EI85-ER84)))</f>
        <v>263.97435897435901</v>
      </c>
      <c r="EK85" s="18">
        <f>EJ85*VLOOKUP('Données projet'!$B$15,Paramètres!$A$1:$I$89,3,0)*VLOOKUP('Données projet'!$B$15,Paramètres!$A$1:$I$89,5,0)</f>
        <v>177.07400000000001</v>
      </c>
      <c r="EL85" s="14">
        <f t="shared" si="99"/>
        <v>44.670585441115527</v>
      </c>
      <c r="EM85" s="22">
        <f t="shared" si="73"/>
        <v>386.2051529766095</v>
      </c>
      <c r="EN85" s="60">
        <f t="shared" si="74"/>
        <v>657.71124460859653</v>
      </c>
      <c r="EO85" s="60">
        <f ca="1">AVERAGE(OFFSET($EN$3,0,0,'Données projet'!$E$15+1,1))-AVERAGE(OFFSET($H$3,0,0,'Données projet'!$E$15+1,1))</f>
        <v>344.62096650402731</v>
      </c>
      <c r="EP85" s="60">
        <f t="shared" si="100"/>
        <v>277.30931495079346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3.4106051316484809E-13</v>
      </c>
      <c r="FF85" s="18">
        <f>FE85*VLOOKUP('Données projet'!$B$16,Paramètres!$A$1:$I$89,3,0)*VLOOKUP('Données projet'!$B$16,Paramètres!$A$1:$I$89,5,0)</f>
        <v>2.9795046430081134E-13</v>
      </c>
      <c r="FG85" s="14">
        <f t="shared" si="101"/>
        <v>3.9419014464513778E-12</v>
      </c>
      <c r="FH85" s="22">
        <f t="shared" si="76"/>
        <v>7.384408744560063E-12</v>
      </c>
      <c r="FI85" s="60">
        <f t="shared" si="77"/>
        <v>271.50609163199442</v>
      </c>
      <c r="FJ85" s="60">
        <f ca="1">AVERAGE(OFFSET($FI$3,0,0,'Données projet'!$E$16+1,1))-AVERAGE(OFFSET($H$3,0,0,'Données projet'!$E$16+1,1))</f>
        <v>363.28611056308665</v>
      </c>
      <c r="FK85" s="60">
        <f t="shared" si="102"/>
        <v>389.43647559455974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5.6</v>
      </c>
      <c r="FZ85" s="13">
        <f>IF('Données projet'!$A$244&gt;35,FZ84+FY85-GH84,IF(A85&lt;'Données projet'!$A$244,$FW$205^A85,IF(A85='Données projet'!$A$244,'Données projet'!$B$244,FZ84+FY85-GH84)))</f>
        <v>251.1999999999999</v>
      </c>
      <c r="GA85" s="18">
        <f>FZ85*VLOOKUP('Données projet'!$B$17,Paramètres!$A$1:$I$89,3,0)*VLOOKUP('Données projet'!$B$17,Paramètres!$A$1:$I$89,5,0)</f>
        <v>270.39167999999989</v>
      </c>
      <c r="GB85" s="14">
        <f t="shared" si="103"/>
        <v>64.932386654872516</v>
      </c>
      <c r="GC85" s="22">
        <f t="shared" si="79"/>
        <v>584.02274942390272</v>
      </c>
      <c r="GD85" s="60">
        <f t="shared" si="80"/>
        <v>855.52884105588976</v>
      </c>
      <c r="GE85" s="60">
        <f ca="1">AVERAGE(OFFSET($GD$3,0,0,'Données projet'!$E$17+1,1))-AVERAGE(OFFSET($H$3,0,0,'Données projet'!$E$17+1,1))</f>
        <v>542.90832990875208</v>
      </c>
      <c r="GF85" s="60">
        <f t="shared" si="104"/>
        <v>304.94365539329362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3.4106051316484809E-13</v>
      </c>
      <c r="O86" s="14">
        <f>N86*VLOOKUP('Données projet'!$B$9,Paramètres!$A$1:$I$89,3,0)*VLOOKUP('Données projet'!$B$9,Paramètres!$A$1:$I$89,5,0)</f>
        <v>2.7134774427395314E-13</v>
      </c>
      <c r="P86" s="14">
        <f t="shared" si="87"/>
        <v>3.6292411711343559E-12</v>
      </c>
      <c r="Q86" s="22">
        <f t="shared" si="54"/>
        <v>6.7935256943361388E-12</v>
      </c>
      <c r="R86" s="60">
        <f t="shared" si="55"/>
        <v>271.8847454771103</v>
      </c>
      <c r="S86" s="60">
        <f ca="1">AVERAGE(OFFSET($R$3,0,0,'Données projet'!$E$9+1,1))-AVERAGE(OFFSET($H$3,0,0,'Données projet'!$E$9+1,1))</f>
        <v>336.25341821407534</v>
      </c>
      <c r="T86" s="60">
        <f t="shared" si="88"/>
        <v>360.3246221345039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834.79456661162237</v>
      </c>
      <c r="AN86" s="60">
        <f ca="1">AVERAGE(OFFSET($AM$3,0,0,'Données projet'!$E$10+1,1))-AVERAGE(OFFSET($H$3,0,0,'Données projet'!$E$10+1,1))</f>
        <v>516.30971934066179</v>
      </c>
      <c r="AO86" s="60">
        <f t="shared" si="90"/>
        <v>290.84286505723571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0">
        <f t="shared" si="62"/>
        <v>271.8847454771103</v>
      </c>
      <c r="BI86" s="60">
        <f ca="1">AVERAGE(OFFSET($BH$3,0,0,'Données projet'!$E$11+1,1))-AVERAGE(OFFSET($H$3,0,0,'Données projet'!$E$11+1,1))</f>
        <v>336.25341821407534</v>
      </c>
      <c r="BJ86" s="60">
        <f t="shared" si="92"/>
        <v>360.3246221345039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3.8461538461538454</v>
      </c>
      <c r="BY86" s="13">
        <f>IF('Données projet'!$A$114&gt;35,BY85+BX86-CG85,IF(A86&lt;'Données projet'!$A$114,$BV$205^A86,IF(A86='Données projet'!$A$114,'Données projet'!$B$114,BY85+BX86-CG85)))</f>
        <v>211.53846153846146</v>
      </c>
      <c r="BZ86" s="14">
        <f>BY86*VLOOKUP('Données projet'!$B$12,Paramètres!$A$1:$I$89,3,0)*VLOOKUP('Données projet'!$B$12,Paramètres!$A$1:$I$89,5,0)</f>
        <v>201.29999999999993</v>
      </c>
      <c r="CA86" s="14">
        <f t="shared" si="93"/>
        <v>50.029760558277118</v>
      </c>
      <c r="CB86" s="22">
        <f t="shared" si="64"/>
        <v>437.73266630566582</v>
      </c>
      <c r="CC86" s="60">
        <f t="shared" si="65"/>
        <v>709.6174117827693</v>
      </c>
      <c r="CD86" s="60">
        <f ca="1">AVERAGE(OFFSET($CC$3,0,0,'Données projet'!$E$12+1,1))-AVERAGE(OFFSET($H$3,0,0,'Données projet'!$E$12+1,1))</f>
        <v>398.29746143975166</v>
      </c>
      <c r="CE86" s="60">
        <f t="shared" si="94"/>
        <v>300.63705521148802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248.37695999999988</v>
      </c>
      <c r="CV86" s="14">
        <f t="shared" si="95"/>
        <v>60.238259626372319</v>
      </c>
      <c r="CW86" s="22">
        <f t="shared" si="67"/>
        <v>537.50484084926495</v>
      </c>
      <c r="CX86" s="60">
        <f t="shared" si="68"/>
        <v>809.38958632636843</v>
      </c>
      <c r="CY86" s="60">
        <f ca="1">AVERAGE(OFFSET($CX$3,0,0,'Données projet'!$E$13+1,1))-AVERAGE(OFFSET($H$3,0,0,'Données projet'!$E$13+1,1))</f>
        <v>496.33873798282525</v>
      </c>
      <c r="CZ86" s="60">
        <f t="shared" si="96"/>
        <v>280.25465074992246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8.8675733422860506E-14</v>
      </c>
      <c r="DQ86" s="14">
        <f t="shared" si="97"/>
        <v>1.3509285393066301E-12</v>
      </c>
      <c r="DR86" s="22">
        <f t="shared" si="70"/>
        <v>2.5073107750038623E-12</v>
      </c>
      <c r="DS86" s="60">
        <f t="shared" si="71"/>
        <v>271.88474547710598</v>
      </c>
      <c r="DT86" s="60">
        <f ca="1">AVERAGE(OFFSET($DS$3,0,0,'Données projet'!$E$14+1,1))-AVERAGE(OFFSET($H$3,0,0,'Données projet'!$E$14+1,1))</f>
        <v>312.59632808777332</v>
      </c>
      <c r="DU86" s="60">
        <f t="shared" si="98"/>
        <v>302.59481222418219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4.1025641025640995</v>
      </c>
      <c r="EJ86" s="13">
        <f>IF('Données projet'!$A$192&gt;35,EJ85+EI86-ER85,IF(A86&lt;'Données projet'!$A$192,$EG$205^A86,IF(A86='Données projet'!$A$192,'Données projet'!$B$192,EJ85+EI86-ER85)))</f>
        <v>268.07692307692309</v>
      </c>
      <c r="EK86" s="18">
        <f>EJ86*VLOOKUP('Données projet'!$B$15,Paramètres!$A$1:$I$89,3,0)*VLOOKUP('Données projet'!$B$15,Paramètres!$A$1:$I$89,5,0)</f>
        <v>179.82600000000002</v>
      </c>
      <c r="EL86" s="14">
        <f t="shared" si="99"/>
        <v>45.283472193614408</v>
      </c>
      <c r="EM86" s="22">
        <f t="shared" si="73"/>
        <v>392.06566407054515</v>
      </c>
      <c r="EN86" s="60">
        <f t="shared" si="74"/>
        <v>663.95040954764863</v>
      </c>
      <c r="EO86" s="60">
        <f ca="1">AVERAGE(OFFSET($EN$3,0,0,'Données projet'!$E$15+1,1))-AVERAGE(OFFSET($H$3,0,0,'Données projet'!$E$15+1,1))</f>
        <v>344.62096650402731</v>
      </c>
      <c r="EP86" s="60">
        <f t="shared" si="100"/>
        <v>277.30931495079346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3.4106051316484809E-13</v>
      </c>
      <c r="FF86" s="18">
        <f>FE86*VLOOKUP('Données projet'!$B$16,Paramètres!$A$1:$I$89,3,0)*VLOOKUP('Données projet'!$B$16,Paramètres!$A$1:$I$89,5,0)</f>
        <v>2.9795046430081134E-13</v>
      </c>
      <c r="FG86" s="14">
        <f t="shared" si="101"/>
        <v>3.9419014464513778E-12</v>
      </c>
      <c r="FH86" s="22">
        <f t="shared" si="76"/>
        <v>7.384408744560063E-12</v>
      </c>
      <c r="FI86" s="60">
        <f t="shared" si="77"/>
        <v>271.88474547711087</v>
      </c>
      <c r="FJ86" s="60">
        <f ca="1">AVERAGE(OFFSET($FI$3,0,0,'Données projet'!$E$16+1,1))-AVERAGE(OFFSET($H$3,0,0,'Données projet'!$E$16+1,1))</f>
        <v>363.28611056308665</v>
      </c>
      <c r="FK86" s="60">
        <f t="shared" si="102"/>
        <v>389.43647559455974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5.6</v>
      </c>
      <c r="FZ86" s="13">
        <f>IF('Données projet'!$A$244&gt;35,FZ85+FY86-GH85,IF(A86&lt;'Données projet'!$A$244,$FW$205^A86,IF(A86='Données projet'!$A$244,'Données projet'!$B$244,FZ85+FY86-GH85)))</f>
        <v>256.7999999999999</v>
      </c>
      <c r="GA86" s="18">
        <f>FZ86*VLOOKUP('Données projet'!$B$17,Paramètres!$A$1:$I$89,3,0)*VLOOKUP('Données projet'!$B$17,Paramètres!$A$1:$I$89,5,0)</f>
        <v>276.41951999999986</v>
      </c>
      <c r="GB86" s="14">
        <f t="shared" si="103"/>
        <v>66.209784705913108</v>
      </c>
      <c r="GC86" s="22">
        <f t="shared" si="79"/>
        <v>596.74603902946512</v>
      </c>
      <c r="GD86" s="60">
        <f t="shared" si="80"/>
        <v>868.6307845065686</v>
      </c>
      <c r="GE86" s="60">
        <f ca="1">AVERAGE(OFFSET($GD$3,0,0,'Données projet'!$E$17+1,1))-AVERAGE(OFFSET($H$3,0,0,'Données projet'!$E$17+1,1))</f>
        <v>542.90832990875208</v>
      </c>
      <c r="GF86" s="60">
        <f t="shared" si="104"/>
        <v>304.94365539329362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3.4106051316484809E-13</v>
      </c>
      <c r="O87" s="14">
        <f>N87*VLOOKUP('Données projet'!$B$9,Paramètres!$A$1:$I$89,3,0)*VLOOKUP('Données projet'!$B$9,Paramètres!$A$1:$I$89,5,0)</f>
        <v>2.7134774427395314E-13</v>
      </c>
      <c r="P87" s="14">
        <f t="shared" si="87"/>
        <v>3.6292411711343559E-12</v>
      </c>
      <c r="Q87" s="22">
        <f t="shared" si="54"/>
        <v>6.7935256943361388E-12</v>
      </c>
      <c r="R87" s="60">
        <f t="shared" si="55"/>
        <v>272.25683052455713</v>
      </c>
      <c r="S87" s="60">
        <f ca="1">AVERAGE(OFFSET($R$3,0,0,'Données projet'!$E$9+1,1))-AVERAGE(OFFSET($H$3,0,0,'Données projet'!$E$9+1,1))</f>
        <v>336.25341821407534</v>
      </c>
      <c r="T87" s="60">
        <f t="shared" si="88"/>
        <v>360.3246221345039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847.16162813764129</v>
      </c>
      <c r="AN87" s="60">
        <f ca="1">AVERAGE(OFFSET($AM$3,0,0,'Données projet'!$E$10+1,1))-AVERAGE(OFFSET($H$3,0,0,'Données projet'!$E$10+1,1))</f>
        <v>516.30971934066179</v>
      </c>
      <c r="AO87" s="60">
        <f t="shared" si="90"/>
        <v>290.84286505723571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0">
        <f t="shared" si="62"/>
        <v>272.25683052455713</v>
      </c>
      <c r="BI87" s="60">
        <f ca="1">AVERAGE(OFFSET($BH$3,0,0,'Données projet'!$E$11+1,1))-AVERAGE(OFFSET($H$3,0,0,'Données projet'!$E$11+1,1))</f>
        <v>336.25341821407534</v>
      </c>
      <c r="BJ87" s="60">
        <f t="shared" si="92"/>
        <v>360.3246221345039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3.8461538461538454</v>
      </c>
      <c r="BY87" s="13">
        <f>IF('Données projet'!$A$114&gt;35,BY86+BX87-CG86,IF(A87&lt;'Données projet'!$A$114,$BV$205^A87,IF(A87='Données projet'!$A$114,'Données projet'!$B$114,BY86+BX87-CG86)))</f>
        <v>215.3846153846153</v>
      </c>
      <c r="BZ87" s="14">
        <f>BY87*VLOOKUP('Données projet'!$B$12,Paramètres!$A$1:$I$89,3,0)*VLOOKUP('Données projet'!$B$12,Paramètres!$A$1:$I$89,5,0)</f>
        <v>204.95999999999992</v>
      </c>
      <c r="CA87" s="14">
        <f t="shared" si="93"/>
        <v>50.832666587809335</v>
      </c>
      <c r="CB87" s="22">
        <f t="shared" si="64"/>
        <v>445.50556097376779</v>
      </c>
      <c r="CC87" s="60">
        <f t="shared" si="65"/>
        <v>717.76239149831804</v>
      </c>
      <c r="CD87" s="60">
        <f ca="1">AVERAGE(OFFSET($CC$3,0,0,'Données projet'!$E$12+1,1))-AVERAGE(OFFSET($H$3,0,0,'Données projet'!$E$12+1,1))</f>
        <v>398.29746143975166</v>
      </c>
      <c r="CE87" s="60">
        <f t="shared" si="94"/>
        <v>300.63705521148802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253.79327999999995</v>
      </c>
      <c r="CV87" s="14">
        <f t="shared" si="95"/>
        <v>61.39750139179521</v>
      </c>
      <c r="CW87" s="22">
        <f t="shared" si="67"/>
        <v>548.95727759070985</v>
      </c>
      <c r="CX87" s="60">
        <f t="shared" si="68"/>
        <v>821.21410811526016</v>
      </c>
      <c r="CY87" s="60">
        <f ca="1">AVERAGE(OFFSET($CX$3,0,0,'Données projet'!$E$13+1,1))-AVERAGE(OFFSET($H$3,0,0,'Données projet'!$E$13+1,1))</f>
        <v>496.33873798282525</v>
      </c>
      <c r="CZ87" s="60">
        <f t="shared" si="96"/>
        <v>280.25465074992246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8.8675733422860506E-14</v>
      </c>
      <c r="DQ87" s="14">
        <f t="shared" si="97"/>
        <v>1.3509285393066301E-12</v>
      </c>
      <c r="DR87" s="22">
        <f t="shared" si="70"/>
        <v>2.5073107750038623E-12</v>
      </c>
      <c r="DS87" s="60">
        <f t="shared" si="71"/>
        <v>272.25683052455281</v>
      </c>
      <c r="DT87" s="60">
        <f ca="1">AVERAGE(OFFSET($DS$3,0,0,'Données projet'!$E$14+1,1))-AVERAGE(OFFSET($H$3,0,0,'Données projet'!$E$14+1,1))</f>
        <v>312.59632808777332</v>
      </c>
      <c r="DU87" s="60">
        <f t="shared" si="98"/>
        <v>302.59481222418219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4.1025641025640995</v>
      </c>
      <c r="EJ87" s="13">
        <f>IF('Données projet'!$A$192&gt;35,EJ86+EI87-ER86,IF(A87&lt;'Données projet'!$A$192,$EG$205^A87,IF(A87='Données projet'!$A$192,'Données projet'!$B$192,EJ86+EI87-ER86)))</f>
        <v>272.17948717948718</v>
      </c>
      <c r="EK87" s="18">
        <f>EJ87*VLOOKUP('Données projet'!$B$15,Paramètres!$A$1:$I$89,3,0)*VLOOKUP('Données projet'!$B$15,Paramètres!$A$1:$I$89,5,0)</f>
        <v>182.578</v>
      </c>
      <c r="EL87" s="14">
        <f t="shared" si="99"/>
        <v>45.895268107941853</v>
      </c>
      <c r="EM87" s="22">
        <f t="shared" si="73"/>
        <v>397.9242752879988</v>
      </c>
      <c r="EN87" s="60">
        <f t="shared" si="74"/>
        <v>670.18110581254905</v>
      </c>
      <c r="EO87" s="60">
        <f ca="1">AVERAGE(OFFSET($EN$3,0,0,'Données projet'!$E$15+1,1))-AVERAGE(OFFSET($H$3,0,0,'Données projet'!$E$15+1,1))</f>
        <v>344.62096650402731</v>
      </c>
      <c r="EP87" s="60">
        <f t="shared" si="100"/>
        <v>277.30931495079346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3.4106051316484809E-13</v>
      </c>
      <c r="FF87" s="18">
        <f>FE87*VLOOKUP('Données projet'!$B$16,Paramètres!$A$1:$I$89,3,0)*VLOOKUP('Données projet'!$B$16,Paramètres!$A$1:$I$89,5,0)</f>
        <v>2.9795046430081134E-13</v>
      </c>
      <c r="FG87" s="14">
        <f t="shared" si="101"/>
        <v>3.9419014464513778E-12</v>
      </c>
      <c r="FH87" s="22">
        <f t="shared" si="76"/>
        <v>7.384408744560063E-12</v>
      </c>
      <c r="FI87" s="60">
        <f t="shared" si="77"/>
        <v>272.2568305245577</v>
      </c>
      <c r="FJ87" s="60">
        <f ca="1">AVERAGE(OFFSET($FI$3,0,0,'Données projet'!$E$16+1,1))-AVERAGE(OFFSET($H$3,0,0,'Données projet'!$E$16+1,1))</f>
        <v>363.28611056308665</v>
      </c>
      <c r="FK87" s="60">
        <f t="shared" si="102"/>
        <v>389.43647559455974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5.6</v>
      </c>
      <c r="FZ87" s="13">
        <f>IF('Données projet'!$A$244&gt;35,FZ86+FY87-GH86,IF(A87&lt;'Données projet'!$A$244,$FW$205^A87,IF(A87='Données projet'!$A$244,'Données projet'!$B$244,FZ86+FY87-GH86)))</f>
        <v>262.39999999999992</v>
      </c>
      <c r="GA87" s="18">
        <f>FZ87*VLOOKUP('Données projet'!$B$17,Paramètres!$A$1:$I$89,3,0)*VLOOKUP('Données projet'!$B$17,Paramètres!$A$1:$I$89,5,0)</f>
        <v>282.44735999999989</v>
      </c>
      <c r="GB87" s="14">
        <f t="shared" si="103"/>
        <v>67.48394415518699</v>
      </c>
      <c r="GC87" s="22">
        <f t="shared" si="79"/>
        <v>609.46368807028375</v>
      </c>
      <c r="GD87" s="60">
        <f t="shared" si="80"/>
        <v>881.72051859483406</v>
      </c>
      <c r="GE87" s="60">
        <f ca="1">AVERAGE(OFFSET($GD$3,0,0,'Données projet'!$E$17+1,1))-AVERAGE(OFFSET($H$3,0,0,'Données projet'!$E$17+1,1))</f>
        <v>542.90832990875208</v>
      </c>
      <c r="GF87" s="60">
        <f t="shared" si="104"/>
        <v>304.94365539329362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3.4106051316484809E-13</v>
      </c>
      <c r="O88" s="14">
        <f>N88*VLOOKUP('Données projet'!$B$9,Paramètres!$A$1:$I$89,3,0)*VLOOKUP('Données projet'!$B$9,Paramètres!$A$1:$I$89,5,0)</f>
        <v>2.7134774427395314E-13</v>
      </c>
      <c r="P88" s="14">
        <f t="shared" si="87"/>
        <v>3.6292411711343559E-12</v>
      </c>
      <c r="Q88" s="22">
        <f t="shared" si="54"/>
        <v>6.7935256943361388E-12</v>
      </c>
      <c r="R88" s="60">
        <f t="shared" si="55"/>
        <v>272.62246072828833</v>
      </c>
      <c r="S88" s="60">
        <f ca="1">AVERAGE(OFFSET($R$3,0,0,'Données projet'!$E$9+1,1))-AVERAGE(OFFSET($H$3,0,0,'Données projet'!$E$9+1,1))</f>
        <v>336.25341821407534</v>
      </c>
      <c r="T88" s="60">
        <f t="shared" si="88"/>
        <v>360.3246221345039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859.51701152301052</v>
      </c>
      <c r="AN88" s="60">
        <f ca="1">AVERAGE(OFFSET($AM$3,0,0,'Données projet'!$E$10+1,1))-AVERAGE(OFFSET($H$3,0,0,'Données projet'!$E$10+1,1))</f>
        <v>516.30971934066179</v>
      </c>
      <c r="AO88" s="60">
        <f t="shared" si="90"/>
        <v>290.84286505723571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0">
        <f t="shared" si="62"/>
        <v>272.62246072828833</v>
      </c>
      <c r="BI88" s="60">
        <f ca="1">AVERAGE(OFFSET($BH$3,0,0,'Données projet'!$E$11+1,1))-AVERAGE(OFFSET($H$3,0,0,'Données projet'!$E$11+1,1))</f>
        <v>336.25341821407534</v>
      </c>
      <c r="BJ88" s="60">
        <f t="shared" si="92"/>
        <v>360.3246221345039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219.23076923076923</v>
      </c>
      <c r="BW88" s="13">
        <f>VLOOKUP(A88,'Données projet'!$A$113:$I$133,9,0)</f>
        <v>3.8461538461538454</v>
      </c>
      <c r="BX88" s="13">
        <f t="array" ref="BX88">INDEX(BW:BW,MIN(IF(ISNUMBER(BW88:BW284),ROW(BW88:BW284),"")))</f>
        <v>3.8461538461538454</v>
      </c>
      <c r="BY88" s="13">
        <f>IF('Données projet'!$A$114&gt;35,BY87+BX88-CG87,IF(A88&lt;'Données projet'!$A$114,$BV$205^A88,IF(A88='Données projet'!$A$114,'Données projet'!$B$114,BY87+BX88-CG87)))</f>
        <v>219.23076923076914</v>
      </c>
      <c r="BZ88" s="14">
        <f>BY88*VLOOKUP('Données projet'!$B$12,Paramètres!$A$1:$I$89,3,0)*VLOOKUP('Données projet'!$B$12,Paramètres!$A$1:$I$89,5,0)</f>
        <v>208.61999999999992</v>
      </c>
      <c r="CA88" s="14">
        <f t="shared" si="93"/>
        <v>51.63390535939368</v>
      </c>
      <c r="CB88" s="22">
        <f t="shared" si="64"/>
        <v>453.27555183427711</v>
      </c>
      <c r="CC88" s="60">
        <f t="shared" si="65"/>
        <v>725.89801256255862</v>
      </c>
      <c r="CD88" s="60">
        <f ca="1">AVERAGE(OFFSET($CC$3,0,0,'Données projet'!$E$12+1,1))-AVERAGE(OFFSET($H$3,0,0,'Données projet'!$E$12+1,1))</f>
        <v>398.29746143975166</v>
      </c>
      <c r="CE88" s="60">
        <f t="shared" si="94"/>
        <v>300.63705521148802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259.20959999999997</v>
      </c>
      <c r="CV88" s="14">
        <f t="shared" si="95"/>
        <v>62.553866774106702</v>
      </c>
      <c r="CW88" s="22">
        <f t="shared" si="67"/>
        <v>560.40470463156907</v>
      </c>
      <c r="CX88" s="60">
        <f t="shared" si="68"/>
        <v>833.02716535985064</v>
      </c>
      <c r="CY88" s="60">
        <f ca="1">AVERAGE(OFFSET($CX$3,0,0,'Données projet'!$E$13+1,1))-AVERAGE(OFFSET($H$3,0,0,'Données projet'!$E$13+1,1))</f>
        <v>496.33873798282525</v>
      </c>
      <c r="CZ88" s="60">
        <f t="shared" si="96"/>
        <v>280.25465074992246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8.8675733422860506E-14</v>
      </c>
      <c r="DQ88" s="14">
        <f t="shared" si="97"/>
        <v>1.3509285393066301E-12</v>
      </c>
      <c r="DR88" s="22">
        <f t="shared" si="70"/>
        <v>2.5073107750038623E-12</v>
      </c>
      <c r="DS88" s="60">
        <f t="shared" si="71"/>
        <v>272.62246072828401</v>
      </c>
      <c r="DT88" s="60">
        <f ca="1">AVERAGE(OFFSET($DS$3,0,0,'Données projet'!$E$14+1,1))-AVERAGE(OFFSET($H$3,0,0,'Données projet'!$E$14+1,1))</f>
        <v>312.59632808777332</v>
      </c>
      <c r="DU88" s="60">
        <f t="shared" si="98"/>
        <v>302.59481222418219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276.28205128205127</v>
      </c>
      <c r="EH88" s="13">
        <f>VLOOKUP(A88,'Données projet'!$A$191:$I$211,9,0)</f>
        <v>4.1025641025640995</v>
      </c>
      <c r="EI88" s="13">
        <f t="array" ref="EI88">INDEX(EH:EH,MIN(IF(ISNUMBER(EH88:EH284),ROW(EH88:EH284),"")))</f>
        <v>4.1025641025640995</v>
      </c>
      <c r="EJ88" s="13">
        <f>IF('Données projet'!$A$192&gt;35,EJ87+EI88-ER87,IF(A88&lt;'Données projet'!$A$192,$EG$205^A88,IF(A88='Données projet'!$A$192,'Données projet'!$B$192,EJ87+EI88-ER87)))</f>
        <v>276.28205128205127</v>
      </c>
      <c r="EK88" s="18">
        <f>EJ88*VLOOKUP('Données projet'!$B$15,Paramètres!$A$1:$I$89,3,0)*VLOOKUP('Données projet'!$B$15,Paramètres!$A$1:$I$89,5,0)</f>
        <v>185.32999999999998</v>
      </c>
      <c r="EL88" s="14">
        <f t="shared" si="99"/>
        <v>46.505991525491268</v>
      </c>
      <c r="EM88" s="22">
        <f t="shared" si="73"/>
        <v>403.78101857356387</v>
      </c>
      <c r="EN88" s="60">
        <f t="shared" si="74"/>
        <v>676.40347930184544</v>
      </c>
      <c r="EO88" s="60">
        <f ca="1">AVERAGE(OFFSET($EN$3,0,0,'Données projet'!$E$15+1,1))-AVERAGE(OFFSET($H$3,0,0,'Données projet'!$E$15+1,1))</f>
        <v>344.62096650402731</v>
      </c>
      <c r="EP88" s="60">
        <f t="shared" si="100"/>
        <v>277.30931495079346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3.4106051316484809E-13</v>
      </c>
      <c r="FF88" s="18">
        <f>FE88*VLOOKUP('Données projet'!$B$16,Paramètres!$A$1:$I$89,3,0)*VLOOKUP('Données projet'!$B$16,Paramètres!$A$1:$I$89,5,0)</f>
        <v>2.9795046430081134E-13</v>
      </c>
      <c r="FG88" s="14">
        <f t="shared" si="101"/>
        <v>3.9419014464513778E-12</v>
      </c>
      <c r="FH88" s="22">
        <f t="shared" si="76"/>
        <v>7.384408744560063E-12</v>
      </c>
      <c r="FI88" s="60">
        <f t="shared" si="77"/>
        <v>272.6224607282889</v>
      </c>
      <c r="FJ88" s="60">
        <f ca="1">AVERAGE(OFFSET($FI$3,0,0,'Données projet'!$E$16+1,1))-AVERAGE(OFFSET($H$3,0,0,'Données projet'!$E$16+1,1))</f>
        <v>363.28611056308665</v>
      </c>
      <c r="FK88" s="60">
        <f t="shared" si="102"/>
        <v>389.43647559455974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5.6</v>
      </c>
      <c r="FZ88" s="13">
        <f>IF('Données projet'!$A$244&gt;35,FZ87+FY88-GH87,IF(A88&lt;'Données projet'!$A$244,$FW$205^A88,IF(A88='Données projet'!$A$244,'Données projet'!$B$244,FZ87+FY88-GH87)))</f>
        <v>267.99999999999994</v>
      </c>
      <c r="GA88" s="18">
        <f>FZ88*VLOOKUP('Données projet'!$B$17,Paramètres!$A$1:$I$89,3,0)*VLOOKUP('Données projet'!$B$17,Paramètres!$A$1:$I$89,5,0)</f>
        <v>288.47519999999997</v>
      </c>
      <c r="GB88" s="14">
        <f t="shared" si="103"/>
        <v>68.754942080410842</v>
      </c>
      <c r="GC88" s="22">
        <f t="shared" si="79"/>
        <v>622.17583079004874</v>
      </c>
      <c r="GD88" s="60">
        <f t="shared" si="80"/>
        <v>894.79829151833019</v>
      </c>
      <c r="GE88" s="60">
        <f ca="1">AVERAGE(OFFSET($GD$3,0,0,'Données projet'!$E$17+1,1))-AVERAGE(OFFSET($H$3,0,0,'Données projet'!$E$17+1,1))</f>
        <v>542.90832990875208</v>
      </c>
      <c r="GF88" s="60">
        <f t="shared" si="104"/>
        <v>304.94365539329362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3.4106051316484809E-13</v>
      </c>
      <c r="O89" s="14">
        <f>N89*VLOOKUP('Données projet'!$B$9,Paramètres!$A$1:$I$89,3,0)*VLOOKUP('Données projet'!$B$9,Paramètres!$A$1:$I$89,5,0)</f>
        <v>2.7134774427395314E-13</v>
      </c>
      <c r="P89" s="14">
        <f t="shared" si="87"/>
        <v>3.6292411711343559E-12</v>
      </c>
      <c r="Q89" s="22">
        <f t="shared" si="54"/>
        <v>6.7935256943361388E-12</v>
      </c>
      <c r="R89" s="60">
        <f t="shared" si="55"/>
        <v>272.98174806541152</v>
      </c>
      <c r="S89" s="60">
        <f ca="1">AVERAGE(OFFSET($R$3,0,0,'Données projet'!$E$9+1,1))-AVERAGE(OFFSET($H$3,0,0,'Données projet'!$E$9+1,1))</f>
        <v>336.25341821407534</v>
      </c>
      <c r="T89" s="60">
        <f t="shared" si="88"/>
        <v>360.3246221345039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871.86095046248442</v>
      </c>
      <c r="AN89" s="60">
        <f ca="1">AVERAGE(OFFSET($AM$3,0,0,'Données projet'!$E$10+1,1))-AVERAGE(OFFSET($H$3,0,0,'Données projet'!$E$10+1,1))</f>
        <v>516.30971934066179</v>
      </c>
      <c r="AO89" s="60">
        <f t="shared" si="90"/>
        <v>290.84286505723571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0">
        <f t="shared" si="62"/>
        <v>272.98174806541152</v>
      </c>
      <c r="BI89" s="60">
        <f ca="1">AVERAGE(OFFSET($BH$3,0,0,'Données projet'!$E$11+1,1))-AVERAGE(OFFSET($H$3,0,0,'Données projet'!$E$11+1,1))</f>
        <v>336.25341821407534</v>
      </c>
      <c r="BJ89" s="60">
        <f t="shared" si="92"/>
        <v>360.3246221345039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3.5897435897435912</v>
      </c>
      <c r="BY89" s="13">
        <f>IF('Données projet'!$A$114&gt;35,BY88+BX89-CG88,IF(A89&lt;'Données projet'!$A$114,$BV$205^A89,IF(A89='Données projet'!$A$114,'Données projet'!$B$114,BY88+BX89-CG88)))</f>
        <v>222.82051282051273</v>
      </c>
      <c r="BZ89" s="14">
        <f>BY89*VLOOKUP('Données projet'!$B$12,Paramètres!$A$1:$I$89,3,0)*VLOOKUP('Données projet'!$B$12,Paramètres!$A$1:$I$89,5,0)</f>
        <v>212.03599999999992</v>
      </c>
      <c r="CA89" s="14">
        <f t="shared" si="93"/>
        <v>52.380252774201118</v>
      </c>
      <c r="CB89" s="22">
        <f t="shared" si="64"/>
        <v>460.52497358173349</v>
      </c>
      <c r="CC89" s="60">
        <f t="shared" si="65"/>
        <v>733.50672164713819</v>
      </c>
      <c r="CD89" s="60">
        <f ca="1">AVERAGE(OFFSET($CC$3,0,0,'Données projet'!$E$12+1,1))-AVERAGE(OFFSET($H$3,0,0,'Données projet'!$E$12+1,1))</f>
        <v>398.29746143975166</v>
      </c>
      <c r="CE89" s="60">
        <f t="shared" si="94"/>
        <v>300.63705521148802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264.62591999999995</v>
      </c>
      <c r="CV89" s="14">
        <f t="shared" si="95"/>
        <v>63.707422801198604</v>
      </c>
      <c r="CW89" s="22">
        <f t="shared" si="67"/>
        <v>571.84723871208746</v>
      </c>
      <c r="CX89" s="60">
        <f t="shared" si="68"/>
        <v>844.82898677749222</v>
      </c>
      <c r="CY89" s="60">
        <f ca="1">AVERAGE(OFFSET($CX$3,0,0,'Données projet'!$E$13+1,1))-AVERAGE(OFFSET($H$3,0,0,'Données projet'!$E$13+1,1))</f>
        <v>496.33873798282525</v>
      </c>
      <c r="CZ89" s="60">
        <f t="shared" si="96"/>
        <v>280.25465074992246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8.8675733422860506E-14</v>
      </c>
      <c r="DQ89" s="14">
        <f t="shared" si="97"/>
        <v>1.3509285393066301E-12</v>
      </c>
      <c r="DR89" s="22">
        <f t="shared" si="70"/>
        <v>2.5073107750038623E-12</v>
      </c>
      <c r="DS89" s="60">
        <f t="shared" si="71"/>
        <v>272.9817480654072</v>
      </c>
      <c r="DT89" s="60">
        <f ca="1">AVERAGE(OFFSET($DS$3,0,0,'Données projet'!$E$14+1,1))-AVERAGE(OFFSET($H$3,0,0,'Données projet'!$E$14+1,1))</f>
        <v>312.59632808777332</v>
      </c>
      <c r="DU89" s="60">
        <f t="shared" si="98"/>
        <v>302.59481222418219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280.12820512820514</v>
      </c>
      <c r="EK89" s="18">
        <f>EJ89*VLOOKUP('Données projet'!$B$15,Paramètres!$A$1:$I$89,3,0)*VLOOKUP('Données projet'!$B$15,Paramètres!$A$1:$I$89,5,0)</f>
        <v>187.91</v>
      </c>
      <c r="EL89" s="14">
        <f t="shared" si="99"/>
        <v>47.077586490700433</v>
      </c>
      <c r="EM89" s="22">
        <f t="shared" si="73"/>
        <v>409.27004647130326</v>
      </c>
      <c r="EN89" s="60">
        <f t="shared" si="74"/>
        <v>682.25179453670796</v>
      </c>
      <c r="EO89" s="60">
        <f ca="1">AVERAGE(OFFSET($EN$3,0,0,'Données projet'!$E$15+1,1))-AVERAGE(OFFSET($H$3,0,0,'Données projet'!$E$15+1,1))</f>
        <v>344.62096650402731</v>
      </c>
      <c r="EP89" s="60">
        <f t="shared" si="100"/>
        <v>277.30931495079346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3.4106051316484809E-13</v>
      </c>
      <c r="FF89" s="18">
        <f>FE89*VLOOKUP('Données projet'!$B$16,Paramètres!$A$1:$I$89,3,0)*VLOOKUP('Données projet'!$B$16,Paramètres!$A$1:$I$89,5,0)</f>
        <v>2.9795046430081134E-13</v>
      </c>
      <c r="FG89" s="14">
        <f t="shared" si="101"/>
        <v>3.9419014464513778E-12</v>
      </c>
      <c r="FH89" s="22">
        <f t="shared" si="76"/>
        <v>7.384408744560063E-12</v>
      </c>
      <c r="FI89" s="60">
        <f t="shared" si="77"/>
        <v>272.98174806541209</v>
      </c>
      <c r="FJ89" s="60">
        <f ca="1">AVERAGE(OFFSET($FI$3,0,0,'Données projet'!$E$16+1,1))-AVERAGE(OFFSET($H$3,0,0,'Données projet'!$E$16+1,1))</f>
        <v>363.28611056308665</v>
      </c>
      <c r="FK89" s="60">
        <f t="shared" si="102"/>
        <v>389.43647559455974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5.6</v>
      </c>
      <c r="FZ89" s="13">
        <f>IF('Données projet'!$A$244&gt;35,FZ88+FY89-GH88,IF(A89&lt;'Données projet'!$A$244,$FW$205^A89,IF(A89='Données projet'!$A$244,'Données projet'!$B$244,FZ88+FY89-GH88)))</f>
        <v>273.59999999999997</v>
      </c>
      <c r="GA89" s="18">
        <f>FZ89*VLOOKUP('Données projet'!$B$17,Paramètres!$A$1:$I$89,3,0)*VLOOKUP('Données projet'!$B$17,Paramètres!$A$1:$I$89,5,0)</f>
        <v>294.50303999999994</v>
      </c>
      <c r="GB89" s="14">
        <f t="shared" si="103"/>
        <v>70.022852154069838</v>
      </c>
      <c r="GC89" s="22">
        <f t="shared" si="79"/>
        <v>634.88259550167152</v>
      </c>
      <c r="GD89" s="60">
        <f t="shared" si="80"/>
        <v>907.86434356707628</v>
      </c>
      <c r="GE89" s="60">
        <f ca="1">AVERAGE(OFFSET($GD$3,0,0,'Données projet'!$E$17+1,1))-AVERAGE(OFFSET($H$3,0,0,'Données projet'!$E$17+1,1))</f>
        <v>542.90832990875208</v>
      </c>
      <c r="GF89" s="60">
        <f t="shared" si="104"/>
        <v>304.94365539329362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3.4106051316484809E-13</v>
      </c>
      <c r="O90" s="14">
        <f>N90*VLOOKUP('Données projet'!$B$9,Paramètres!$A$1:$I$89,3,0)*VLOOKUP('Données projet'!$B$9,Paramètres!$A$1:$I$89,5,0)</f>
        <v>2.7134774427395314E-13</v>
      </c>
      <c r="P90" s="14">
        <f t="shared" si="87"/>
        <v>3.6292411711343559E-12</v>
      </c>
      <c r="Q90" s="22">
        <f t="shared" si="54"/>
        <v>6.7935256943361388E-12</v>
      </c>
      <c r="R90" s="60">
        <f t="shared" si="55"/>
        <v>273.33480257048166</v>
      </c>
      <c r="S90" s="60">
        <f ca="1">AVERAGE(OFFSET($R$3,0,0,'Données projet'!$E$9+1,1))-AVERAGE(OFFSET($H$3,0,0,'Données projet'!$E$9+1,1))</f>
        <v>336.25341821407534</v>
      </c>
      <c r="T90" s="60">
        <f t="shared" si="88"/>
        <v>360.3246221345039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884.19367144085516</v>
      </c>
      <c r="AN90" s="60">
        <f ca="1">AVERAGE(OFFSET($AM$3,0,0,'Données projet'!$E$10+1,1))-AVERAGE(OFFSET($H$3,0,0,'Données projet'!$E$10+1,1))</f>
        <v>516.30971934066179</v>
      </c>
      <c r="AO90" s="60">
        <f t="shared" si="90"/>
        <v>290.84286505723571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0">
        <f t="shared" si="62"/>
        <v>273.33480257048166</v>
      </c>
      <c r="BI90" s="60">
        <f ca="1">AVERAGE(OFFSET($BH$3,0,0,'Données projet'!$E$11+1,1))-AVERAGE(OFFSET($H$3,0,0,'Données projet'!$E$11+1,1))</f>
        <v>336.25341821407534</v>
      </c>
      <c r="BJ90" s="60">
        <f t="shared" si="92"/>
        <v>360.3246221345039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3.5897435897435912</v>
      </c>
      <c r="BY90" s="13">
        <f>IF('Données projet'!$A$114&gt;35,BY89+BX90-CG89,IF(A90&lt;'Données projet'!$A$114,$BV$205^A90,IF(A90='Données projet'!$A$114,'Données projet'!$B$114,BY89+BX90-CG89)))</f>
        <v>226.41025641025632</v>
      </c>
      <c r="BZ90" s="14">
        <f>BY90*VLOOKUP('Données projet'!$B$12,Paramètres!$A$1:$I$89,3,0)*VLOOKUP('Données projet'!$B$12,Paramètres!$A$1:$I$89,5,0)</f>
        <v>215.45199999999988</v>
      </c>
      <c r="CA90" s="14">
        <f t="shared" si="93"/>
        <v>53.125201841889961</v>
      </c>
      <c r="CB90" s="22">
        <f t="shared" si="64"/>
        <v>467.77195987462483</v>
      </c>
      <c r="CC90" s="60">
        <f t="shared" si="65"/>
        <v>741.10676244509966</v>
      </c>
      <c r="CD90" s="60">
        <f ca="1">AVERAGE(OFFSET($CC$3,0,0,'Données projet'!$E$12+1,1))-AVERAGE(OFFSET($H$3,0,0,'Données projet'!$E$12+1,1))</f>
        <v>398.29746143975166</v>
      </c>
      <c r="CE90" s="60">
        <f t="shared" si="94"/>
        <v>300.63705521148802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270.04223999999999</v>
      </c>
      <c r="CV90" s="14">
        <f t="shared" si="95"/>
        <v>64.858233600288145</v>
      </c>
      <c r="CW90" s="22">
        <f t="shared" si="67"/>
        <v>583.28499152050188</v>
      </c>
      <c r="CX90" s="60">
        <f t="shared" si="68"/>
        <v>856.61979409097671</v>
      </c>
      <c r="CY90" s="60">
        <f ca="1">AVERAGE(OFFSET($CX$3,0,0,'Données projet'!$E$13+1,1))-AVERAGE(OFFSET($H$3,0,0,'Données projet'!$E$13+1,1))</f>
        <v>496.33873798282525</v>
      </c>
      <c r="CZ90" s="60">
        <f t="shared" si="96"/>
        <v>280.25465074992246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8.8675733422860506E-14</v>
      </c>
      <c r="DQ90" s="14">
        <f t="shared" si="97"/>
        <v>1.3509285393066301E-12</v>
      </c>
      <c r="DR90" s="22">
        <f t="shared" si="70"/>
        <v>2.5073107750038623E-12</v>
      </c>
      <c r="DS90" s="60">
        <f t="shared" si="71"/>
        <v>273.33480257047734</v>
      </c>
      <c r="DT90" s="60">
        <f ca="1">AVERAGE(OFFSET($DS$3,0,0,'Données projet'!$E$14+1,1))-AVERAGE(OFFSET($H$3,0,0,'Données projet'!$E$14+1,1))</f>
        <v>312.59632808777332</v>
      </c>
      <c r="DU90" s="60">
        <f t="shared" si="98"/>
        <v>302.59481222418219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283.97435897435901</v>
      </c>
      <c r="EK90" s="18">
        <f>EJ90*VLOOKUP('Données projet'!$B$15,Paramètres!$A$1:$I$89,3,0)*VLOOKUP('Données projet'!$B$15,Paramètres!$A$1:$I$89,5,0)</f>
        <v>190.49</v>
      </c>
      <c r="EL90" s="14">
        <f t="shared" si="99"/>
        <v>47.648268649617435</v>
      </c>
      <c r="EM90" s="22">
        <f t="shared" si="73"/>
        <v>414.75748456475031</v>
      </c>
      <c r="EN90" s="60">
        <f t="shared" si="74"/>
        <v>688.09228713522521</v>
      </c>
      <c r="EO90" s="60">
        <f ca="1">AVERAGE(OFFSET($EN$3,0,0,'Données projet'!$E$15+1,1))-AVERAGE(OFFSET($H$3,0,0,'Données projet'!$E$15+1,1))</f>
        <v>344.62096650402731</v>
      </c>
      <c r="EP90" s="60">
        <f t="shared" si="100"/>
        <v>277.30931495079346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3.4106051316484809E-13</v>
      </c>
      <c r="FF90" s="18">
        <f>FE90*VLOOKUP('Données projet'!$B$16,Paramètres!$A$1:$I$89,3,0)*VLOOKUP('Données projet'!$B$16,Paramètres!$A$1:$I$89,5,0)</f>
        <v>2.9795046430081134E-13</v>
      </c>
      <c r="FG90" s="14">
        <f t="shared" si="101"/>
        <v>3.9419014464513778E-12</v>
      </c>
      <c r="FH90" s="22">
        <f t="shared" si="76"/>
        <v>7.384408744560063E-12</v>
      </c>
      <c r="FI90" s="60">
        <f t="shared" si="77"/>
        <v>273.33480257048222</v>
      </c>
      <c r="FJ90" s="60">
        <f ca="1">AVERAGE(OFFSET($FI$3,0,0,'Données projet'!$E$16+1,1))-AVERAGE(OFFSET($H$3,0,0,'Données projet'!$E$16+1,1))</f>
        <v>363.28611056308665</v>
      </c>
      <c r="FK90" s="60">
        <f t="shared" si="102"/>
        <v>389.43647559455974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5.6</v>
      </c>
      <c r="FZ90" s="13">
        <f>IF('Données projet'!$A$244&gt;35,FZ89+FY90-GH89,IF(A90&lt;'Données projet'!$A$244,$FW$205^A90,IF(A90='Données projet'!$A$244,'Données projet'!$B$244,FZ89+FY90-GH89)))</f>
        <v>279.2</v>
      </c>
      <c r="GA90" s="18">
        <f>FZ90*VLOOKUP('Données projet'!$B$17,Paramètres!$A$1:$I$89,3,0)*VLOOKUP('Données projet'!$B$17,Paramètres!$A$1:$I$89,5,0)</f>
        <v>300.53087999999997</v>
      </c>
      <c r="GB90" s="14">
        <f t="shared" si="103"/>
        <v>71.287744860425462</v>
      </c>
      <c r="GC90" s="22">
        <f t="shared" si="79"/>
        <v>647.58410496524095</v>
      </c>
      <c r="GD90" s="60">
        <f t="shared" si="80"/>
        <v>920.91890753571579</v>
      </c>
      <c r="GE90" s="60">
        <f ca="1">AVERAGE(OFFSET($GD$3,0,0,'Données projet'!$E$17+1,1))-AVERAGE(OFFSET($H$3,0,0,'Données projet'!$E$17+1,1))</f>
        <v>542.90832990875208</v>
      </c>
      <c r="GF90" s="60">
        <f t="shared" si="104"/>
        <v>304.94365539329362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3.4106051316484809E-13</v>
      </c>
      <c r="O91" s="14">
        <f>N91*VLOOKUP('Données projet'!$B$9,Paramètres!$A$1:$I$89,3,0)*VLOOKUP('Données projet'!$B$9,Paramètres!$A$1:$I$89,5,0)</f>
        <v>2.7134774427395314E-13</v>
      </c>
      <c r="P91" s="14">
        <f t="shared" si="87"/>
        <v>3.6292411711343559E-12</v>
      </c>
      <c r="Q91" s="22">
        <f t="shared" si="54"/>
        <v>6.7935256943361388E-12</v>
      </c>
      <c r="R91" s="60">
        <f t="shared" si="55"/>
        <v>273.68173236920052</v>
      </c>
      <c r="S91" s="60">
        <f ca="1">AVERAGE(OFFSET($R$3,0,0,'Données projet'!$E$9+1,1))-AVERAGE(OFFSET($H$3,0,0,'Données projet'!$E$9+1,1))</f>
        <v>336.25341821407534</v>
      </c>
      <c r="T91" s="60">
        <f t="shared" si="88"/>
        <v>360.3246221345039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896.51539409560598</v>
      </c>
      <c r="AN91" s="60">
        <f ca="1">AVERAGE(OFFSET($AM$3,0,0,'Données projet'!$E$10+1,1))-AVERAGE(OFFSET($H$3,0,0,'Données projet'!$E$10+1,1))</f>
        <v>516.30971934066179</v>
      </c>
      <c r="AO91" s="60">
        <f t="shared" si="90"/>
        <v>290.84286505723571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0">
        <f t="shared" si="62"/>
        <v>273.68173236920052</v>
      </c>
      <c r="BI91" s="60">
        <f ca="1">AVERAGE(OFFSET($BH$3,0,0,'Données projet'!$E$11+1,1))-AVERAGE(OFFSET($H$3,0,0,'Données projet'!$E$11+1,1))</f>
        <v>336.25341821407534</v>
      </c>
      <c r="BJ91" s="60">
        <f t="shared" si="92"/>
        <v>360.3246221345039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3.5897435897435912</v>
      </c>
      <c r="BY91" s="13">
        <f>IF('Données projet'!$A$114&gt;35,BY90+BX91-CG90,IF(A91&lt;'Données projet'!$A$114,$BV$205^A91,IF(A91='Données projet'!$A$114,'Données projet'!$B$114,BY90+BX91-CG90)))</f>
        <v>229.99999999999991</v>
      </c>
      <c r="BZ91" s="14">
        <f>BY91*VLOOKUP('Données projet'!$B$12,Paramètres!$A$1:$I$89,3,0)*VLOOKUP('Données projet'!$B$12,Paramètres!$A$1:$I$89,5,0)</f>
        <v>218.86799999999994</v>
      </c>
      <c r="CA91" s="14">
        <f t="shared" si="93"/>
        <v>53.868777293257502</v>
      </c>
      <c r="CB91" s="22">
        <f t="shared" si="64"/>
        <v>475.01655378575668</v>
      </c>
      <c r="CC91" s="60">
        <f t="shared" si="65"/>
        <v>748.69828615495044</v>
      </c>
      <c r="CD91" s="60">
        <f ca="1">AVERAGE(OFFSET($CC$3,0,0,'Données projet'!$E$12+1,1))-AVERAGE(OFFSET($H$3,0,0,'Données projet'!$E$12+1,1))</f>
        <v>398.29746143975166</v>
      </c>
      <c r="CE91" s="60">
        <f t="shared" si="94"/>
        <v>300.63705521148802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275.45855999999998</v>
      </c>
      <c r="CV91" s="14">
        <f t="shared" si="95"/>
        <v>66.006360579066197</v>
      </c>
      <c r="CW91" s="22">
        <f t="shared" si="67"/>
        <v>594.71807000854017</v>
      </c>
      <c r="CX91" s="60">
        <f t="shared" si="68"/>
        <v>868.39980237773386</v>
      </c>
      <c r="CY91" s="60">
        <f ca="1">AVERAGE(OFFSET($CX$3,0,0,'Données projet'!$E$13+1,1))-AVERAGE(OFFSET($H$3,0,0,'Données projet'!$E$13+1,1))</f>
        <v>496.33873798282525</v>
      </c>
      <c r="CZ91" s="60">
        <f t="shared" si="96"/>
        <v>280.25465074992246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8.8675733422860506E-14</v>
      </c>
      <c r="DQ91" s="14">
        <f t="shared" si="97"/>
        <v>1.3509285393066301E-12</v>
      </c>
      <c r="DR91" s="22">
        <f t="shared" si="70"/>
        <v>2.5073107750038623E-12</v>
      </c>
      <c r="DS91" s="60">
        <f t="shared" si="71"/>
        <v>273.6817323691962</v>
      </c>
      <c r="DT91" s="60">
        <f ca="1">AVERAGE(OFFSET($DS$3,0,0,'Données projet'!$E$14+1,1))-AVERAGE(OFFSET($H$3,0,0,'Données projet'!$E$14+1,1))</f>
        <v>312.59632808777332</v>
      </c>
      <c r="DU91" s="60">
        <f t="shared" si="98"/>
        <v>302.59481222418219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287.82051282051287</v>
      </c>
      <c r="EK91" s="18">
        <f>EJ91*VLOOKUP('Données projet'!$B$15,Paramètres!$A$1:$I$89,3,0)*VLOOKUP('Données projet'!$B$15,Paramètres!$A$1:$I$89,5,0)</f>
        <v>193.07000000000005</v>
      </c>
      <c r="EL91" s="14">
        <f t="shared" si="99"/>
        <v>48.218051794342536</v>
      </c>
      <c r="EM91" s="22">
        <f t="shared" si="73"/>
        <v>420.24335687514667</v>
      </c>
      <c r="EN91" s="60">
        <f t="shared" si="74"/>
        <v>693.92508924434037</v>
      </c>
      <c r="EO91" s="60">
        <f ca="1">AVERAGE(OFFSET($EN$3,0,0,'Données projet'!$E$15+1,1))-AVERAGE(OFFSET($H$3,0,0,'Données projet'!$E$15+1,1))</f>
        <v>344.62096650402731</v>
      </c>
      <c r="EP91" s="60">
        <f t="shared" si="100"/>
        <v>277.30931495079346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3.4106051316484809E-13</v>
      </c>
      <c r="FF91" s="18">
        <f>FE91*VLOOKUP('Données projet'!$B$16,Paramètres!$A$1:$I$89,3,0)*VLOOKUP('Données projet'!$B$16,Paramètres!$A$1:$I$89,5,0)</f>
        <v>2.9795046430081134E-13</v>
      </c>
      <c r="FG91" s="14">
        <f t="shared" si="101"/>
        <v>3.9419014464513778E-12</v>
      </c>
      <c r="FH91" s="22">
        <f t="shared" si="76"/>
        <v>7.384408744560063E-12</v>
      </c>
      <c r="FI91" s="60">
        <f t="shared" si="77"/>
        <v>273.68173236920109</v>
      </c>
      <c r="FJ91" s="60">
        <f ca="1">AVERAGE(OFFSET($FI$3,0,0,'Données projet'!$E$16+1,1))-AVERAGE(OFFSET($H$3,0,0,'Données projet'!$E$16+1,1))</f>
        <v>363.28611056308665</v>
      </c>
      <c r="FK91" s="60">
        <f t="shared" si="102"/>
        <v>389.43647559455974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5.6</v>
      </c>
      <c r="FZ91" s="13">
        <f>IF('Données projet'!$A$244&gt;35,FZ90+FY91-GH90,IF(A91&lt;'Données projet'!$A$244,$FW$205^A91,IF(A91='Données projet'!$A$244,'Données projet'!$B$244,FZ90+FY91-GH90)))</f>
        <v>284.8</v>
      </c>
      <c r="GA91" s="18">
        <f>FZ91*VLOOKUP('Données projet'!$B$17,Paramètres!$A$1:$I$89,3,0)*VLOOKUP('Données projet'!$B$17,Paramètres!$A$1:$I$89,5,0)</f>
        <v>306.55871999999999</v>
      </c>
      <c r="GB91" s="14">
        <f t="shared" si="103"/>
        <v>72.549687694621639</v>
      </c>
      <c r="GC91" s="22">
        <f t="shared" si="79"/>
        <v>660.28047673479932</v>
      </c>
      <c r="GD91" s="60">
        <f t="shared" si="80"/>
        <v>933.96220910399302</v>
      </c>
      <c r="GE91" s="60">
        <f ca="1">AVERAGE(OFFSET($GD$3,0,0,'Données projet'!$E$17+1,1))-AVERAGE(OFFSET($H$3,0,0,'Données projet'!$E$17+1,1))</f>
        <v>542.90832990875208</v>
      </c>
      <c r="GF91" s="60">
        <f t="shared" si="104"/>
        <v>304.94365539329362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3.4106051316484809E-13</v>
      </c>
      <c r="O92" s="14">
        <f>N92*VLOOKUP('Données projet'!$B$9,Paramètres!$A$1:$I$89,3,0)*VLOOKUP('Données projet'!$B$9,Paramètres!$A$1:$I$89,5,0)</f>
        <v>2.7134774427395314E-13</v>
      </c>
      <c r="P92" s="14">
        <f t="shared" si="87"/>
        <v>3.6292411711343559E-12</v>
      </c>
      <c r="Q92" s="22">
        <f t="shared" si="54"/>
        <v>6.7935256943361388E-12</v>
      </c>
      <c r="R92" s="60">
        <f t="shared" si="55"/>
        <v>274.02264371153041</v>
      </c>
      <c r="S92" s="60">
        <f ca="1">AVERAGE(OFFSET($R$3,0,0,'Données projet'!$E$9+1,1))-AVERAGE(OFFSET($H$3,0,0,'Données projet'!$E$9+1,1))</f>
        <v>336.25341821407534</v>
      </c>
      <c r="T92" s="60">
        <f t="shared" si="88"/>
        <v>360.3246221345039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908.82633155237204</v>
      </c>
      <c r="AN92" s="60">
        <f ca="1">AVERAGE(OFFSET($AM$3,0,0,'Données projet'!$E$10+1,1))-AVERAGE(OFFSET($H$3,0,0,'Données projet'!$E$10+1,1))</f>
        <v>516.30971934066179</v>
      </c>
      <c r="AO92" s="60">
        <f t="shared" si="90"/>
        <v>290.84286505723571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0">
        <f t="shared" si="62"/>
        <v>274.02264371153041</v>
      </c>
      <c r="BI92" s="60">
        <f ca="1">AVERAGE(OFFSET($BH$3,0,0,'Données projet'!$E$11+1,1))-AVERAGE(OFFSET($H$3,0,0,'Données projet'!$E$11+1,1))</f>
        <v>336.25341821407534</v>
      </c>
      <c r="BJ92" s="60">
        <f t="shared" si="92"/>
        <v>360.3246221345039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3.5897435897435912</v>
      </c>
      <c r="BY92" s="13">
        <f>IF('Données projet'!$A$114&gt;35,BY91+BX92-CG91,IF(A92&lt;'Données projet'!$A$114,$BV$205^A92,IF(A92='Données projet'!$A$114,'Données projet'!$B$114,BY91+BX92-CG91)))</f>
        <v>233.58974358974351</v>
      </c>
      <c r="BZ92" s="14">
        <f>BY92*VLOOKUP('Données projet'!$B$12,Paramètres!$A$1:$I$89,3,0)*VLOOKUP('Données projet'!$B$12,Paramètres!$A$1:$I$89,5,0)</f>
        <v>222.28399999999993</v>
      </c>
      <c r="CA92" s="14">
        <f t="shared" si="93"/>
        <v>54.611003042838703</v>
      </c>
      <c r="CB92" s="22">
        <f t="shared" si="64"/>
        <v>482.25879696627726</v>
      </c>
      <c r="CC92" s="60">
        <f t="shared" si="65"/>
        <v>756.2814406778009</v>
      </c>
      <c r="CD92" s="60">
        <f ca="1">AVERAGE(OFFSET($CC$3,0,0,'Données projet'!$E$12+1,1))-AVERAGE(OFFSET($H$3,0,0,'Données projet'!$E$12+1,1))</f>
        <v>398.29746143975166</v>
      </c>
      <c r="CE92" s="60">
        <f t="shared" si="94"/>
        <v>300.63705521148802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280.87488000000008</v>
      </c>
      <c r="CV92" s="14">
        <f t="shared" si="95"/>
        <v>67.151862592195855</v>
      </c>
      <c r="CW92" s="22">
        <f t="shared" si="67"/>
        <v>606.14657668140785</v>
      </c>
      <c r="CX92" s="60">
        <f t="shared" si="68"/>
        <v>880.16922039293149</v>
      </c>
      <c r="CY92" s="60">
        <f ca="1">AVERAGE(OFFSET($CX$3,0,0,'Données projet'!$E$13+1,1))-AVERAGE(OFFSET($H$3,0,0,'Données projet'!$E$13+1,1))</f>
        <v>496.33873798282525</v>
      </c>
      <c r="CZ92" s="60">
        <f t="shared" si="96"/>
        <v>280.25465074992246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8.8675733422860506E-14</v>
      </c>
      <c r="DQ92" s="14">
        <f t="shared" si="97"/>
        <v>1.3509285393066301E-12</v>
      </c>
      <c r="DR92" s="22">
        <f t="shared" si="70"/>
        <v>2.5073107750038623E-12</v>
      </c>
      <c r="DS92" s="60">
        <f t="shared" si="71"/>
        <v>274.02264371152609</v>
      </c>
      <c r="DT92" s="60">
        <f ca="1">AVERAGE(OFFSET($DS$3,0,0,'Données projet'!$E$14+1,1))-AVERAGE(OFFSET($H$3,0,0,'Données projet'!$E$14+1,1))</f>
        <v>312.59632808777332</v>
      </c>
      <c r="DU92" s="60">
        <f t="shared" si="98"/>
        <v>302.59481222418219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291.66666666666674</v>
      </c>
      <c r="EK92" s="18">
        <f>EJ92*VLOOKUP('Données projet'!$B$15,Paramètres!$A$1:$I$89,3,0)*VLOOKUP('Données projet'!$B$15,Paramètres!$A$1:$I$89,5,0)</f>
        <v>195.65000000000006</v>
      </c>
      <c r="EL92" s="14">
        <f t="shared" si="99"/>
        <v>48.786949327182981</v>
      </c>
      <c r="EM92" s="22">
        <f t="shared" si="73"/>
        <v>425.72768674484382</v>
      </c>
      <c r="EN92" s="60">
        <f t="shared" si="74"/>
        <v>699.75033045636746</v>
      </c>
      <c r="EO92" s="60">
        <f ca="1">AVERAGE(OFFSET($EN$3,0,0,'Données projet'!$E$15+1,1))-AVERAGE(OFFSET($H$3,0,0,'Données projet'!$E$15+1,1))</f>
        <v>344.62096650402731</v>
      </c>
      <c r="EP92" s="60">
        <f t="shared" si="100"/>
        <v>277.30931495079346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3.4106051316484809E-13</v>
      </c>
      <c r="FF92" s="18">
        <f>FE92*VLOOKUP('Données projet'!$B$16,Paramètres!$A$1:$I$89,3,0)*VLOOKUP('Données projet'!$B$16,Paramètres!$A$1:$I$89,5,0)</f>
        <v>2.9795046430081134E-13</v>
      </c>
      <c r="FG92" s="14">
        <f t="shared" si="101"/>
        <v>3.9419014464513778E-12</v>
      </c>
      <c r="FH92" s="22">
        <f t="shared" si="76"/>
        <v>7.384408744560063E-12</v>
      </c>
      <c r="FI92" s="60">
        <f t="shared" si="77"/>
        <v>274.02264371153097</v>
      </c>
      <c r="FJ92" s="60">
        <f ca="1">AVERAGE(OFFSET($FI$3,0,0,'Données projet'!$E$16+1,1))-AVERAGE(OFFSET($H$3,0,0,'Données projet'!$E$16+1,1))</f>
        <v>363.28611056308665</v>
      </c>
      <c r="FK92" s="60">
        <f t="shared" si="102"/>
        <v>389.43647559455974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5.6</v>
      </c>
      <c r="FZ92" s="13">
        <f>IF('Données projet'!$A$244&gt;35,FZ91+FY92-GH91,IF(A92&lt;'Données projet'!$A$244,$FW$205^A92,IF(A92='Données projet'!$A$244,'Données projet'!$B$244,FZ91+FY92-GH91)))</f>
        <v>290.40000000000003</v>
      </c>
      <c r="GA92" s="18">
        <f>FZ92*VLOOKUP('Données projet'!$B$17,Paramètres!$A$1:$I$89,3,0)*VLOOKUP('Données projet'!$B$17,Paramètres!$A$1:$I$89,5,0)</f>
        <v>312.58656000000002</v>
      </c>
      <c r="GB92" s="14">
        <f t="shared" si="103"/>
        <v>73.808745345687967</v>
      </c>
      <c r="GC92" s="22">
        <f t="shared" si="79"/>
        <v>672.97182347707314</v>
      </c>
      <c r="GD92" s="60">
        <f t="shared" si="80"/>
        <v>946.99446718859667</v>
      </c>
      <c r="GE92" s="60">
        <f ca="1">AVERAGE(OFFSET($GD$3,0,0,'Données projet'!$E$17+1,1))-AVERAGE(OFFSET($H$3,0,0,'Données projet'!$E$17+1,1))</f>
        <v>542.90832990875208</v>
      </c>
      <c r="GF92" s="60">
        <f t="shared" si="104"/>
        <v>304.94365539329362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3.4106051316484809E-13</v>
      </c>
      <c r="O93" s="14">
        <f>N93*VLOOKUP('Données projet'!$B$9,Paramètres!$A$1:$I$89,3,0)*VLOOKUP('Données projet'!$B$9,Paramètres!$A$1:$I$89,5,0)</f>
        <v>2.7134774427395314E-13</v>
      </c>
      <c r="P93" s="14">
        <f t="shared" si="87"/>
        <v>3.6292411711343559E-12</v>
      </c>
      <c r="Q93" s="22">
        <f t="shared" si="54"/>
        <v>6.7935256943361388E-12</v>
      </c>
      <c r="R93" s="60">
        <f t="shared" si="55"/>
        <v>274.35764100423449</v>
      </c>
      <c r="S93" s="60">
        <f ca="1">AVERAGE(OFFSET($R$3,0,0,'Données projet'!$E$9+1,1))-AVERAGE(OFFSET($H$3,0,0,'Données projet'!$E$9+1,1))</f>
        <v>336.25341821407534</v>
      </c>
      <c r="T93" s="60">
        <f t="shared" si="88"/>
        <v>360.3246221345039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921.12669073584834</v>
      </c>
      <c r="AN93" s="60">
        <f ca="1">AVERAGE(OFFSET($AM$3,0,0,'Données projet'!$E$10+1,1))-AVERAGE(OFFSET($H$3,0,0,'Données projet'!$E$10+1,1))</f>
        <v>516.30971934066179</v>
      </c>
      <c r="AO93" s="60">
        <f t="shared" si="90"/>
        <v>290.84286505723571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0">
        <f t="shared" si="62"/>
        <v>274.35764100423449</v>
      </c>
      <c r="BI93" s="60">
        <f ca="1">AVERAGE(OFFSET($BH$3,0,0,'Données projet'!$E$11+1,1))-AVERAGE(OFFSET($H$3,0,0,'Données projet'!$E$11+1,1))</f>
        <v>336.25341821407534</v>
      </c>
      <c r="BJ93" s="60">
        <f t="shared" si="92"/>
        <v>360.3246221345039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237.17948717948718</v>
      </c>
      <c r="BW93" s="13">
        <f>VLOOKUP(A93,'Données projet'!$A$113:$I$133,9,0)</f>
        <v>3.5897435897435912</v>
      </c>
      <c r="BX93" s="13">
        <f t="array" ref="BX93">INDEX(BW:BW,MIN(IF(ISNUMBER(BW93:BW289),ROW(BW93:BW289),"")))</f>
        <v>3.5897435897435912</v>
      </c>
      <c r="BY93" s="13">
        <f>IF('Données projet'!$A$114&gt;35,BY92+BX93-CG92,IF(A93&lt;'Données projet'!$A$114,$BV$205^A93,IF(A93='Données projet'!$A$114,'Données projet'!$B$114,BY92+BX93-CG92)))</f>
        <v>237.1794871794871</v>
      </c>
      <c r="BZ93" s="14">
        <f>BY93*VLOOKUP('Données projet'!$B$12,Paramètres!$A$1:$I$89,3,0)*VLOOKUP('Données projet'!$B$12,Paramètres!$A$1:$I$89,5,0)</f>
        <v>225.69999999999993</v>
      </c>
      <c r="CA93" s="14">
        <f t="shared" si="93"/>
        <v>55.351902227969966</v>
      </c>
      <c r="CB93" s="22">
        <f t="shared" si="64"/>
        <v>489.49872971371423</v>
      </c>
      <c r="CC93" s="60">
        <f t="shared" si="65"/>
        <v>763.8563707179419</v>
      </c>
      <c r="CD93" s="60">
        <f ca="1">AVERAGE(OFFSET($CC$3,0,0,'Données projet'!$E$12+1,1))-AVERAGE(OFFSET($H$3,0,0,'Données projet'!$E$12+1,1))</f>
        <v>398.29746143975166</v>
      </c>
      <c r="CE93" s="60">
        <f t="shared" si="94"/>
        <v>300.63705521148802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25.641025641025639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286.29120000000006</v>
      </c>
      <c r="CV93" s="14">
        <f t="shared" si="95"/>
        <v>68.294796094604408</v>
      </c>
      <c r="CW93" s="22">
        <f t="shared" si="67"/>
        <v>617.57060986476938</v>
      </c>
      <c r="CX93" s="60">
        <f t="shared" si="68"/>
        <v>891.92825086899711</v>
      </c>
      <c r="CY93" s="60">
        <f ca="1">AVERAGE(OFFSET($CX$3,0,0,'Données projet'!$E$13+1,1))-AVERAGE(OFFSET($H$3,0,0,'Données projet'!$E$13+1,1))</f>
        <v>496.33873798282525</v>
      </c>
      <c r="CZ93" s="60">
        <f t="shared" si="96"/>
        <v>280.25465074992246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8.8675733422860506E-14</v>
      </c>
      <c r="DQ93" s="14">
        <f t="shared" si="97"/>
        <v>1.3509285393066301E-12</v>
      </c>
      <c r="DR93" s="22">
        <f t="shared" si="70"/>
        <v>2.5073107750038623E-12</v>
      </c>
      <c r="DS93" s="60">
        <f t="shared" si="71"/>
        <v>274.35764100423017</v>
      </c>
      <c r="DT93" s="60">
        <f ca="1">AVERAGE(OFFSET($DS$3,0,0,'Données projet'!$E$14+1,1))-AVERAGE(OFFSET($H$3,0,0,'Données projet'!$E$14+1,1))</f>
        <v>312.59632808777332</v>
      </c>
      <c r="DU93" s="60">
        <f t="shared" si="98"/>
        <v>302.59481222418219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295.5128205128205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295.51282051282061</v>
      </c>
      <c r="EK93" s="18">
        <f>EJ93*VLOOKUP('Données projet'!$B$15,Paramètres!$A$1:$I$89,3,0)*VLOOKUP('Données projet'!$B$15,Paramètres!$A$1:$I$89,5,0)</f>
        <v>198.23000000000008</v>
      </c>
      <c r="EL93" s="14">
        <f t="shared" si="99"/>
        <v>49.354974276661508</v>
      </c>
      <c r="EM93" s="22">
        <f t="shared" si="73"/>
        <v>431.21049686518558</v>
      </c>
      <c r="EN93" s="60">
        <f t="shared" si="74"/>
        <v>705.56813786941325</v>
      </c>
      <c r="EO93" s="60">
        <f ca="1">AVERAGE(OFFSET($EN$3,0,0,'Données projet'!$E$15+1,1))-AVERAGE(OFFSET($H$3,0,0,'Données projet'!$E$15+1,1))</f>
        <v>344.62096650402731</v>
      </c>
      <c r="EP93" s="60">
        <f t="shared" si="100"/>
        <v>277.30931495079346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24.358974358974358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3.4106051316484809E-13</v>
      </c>
      <c r="FF93" s="18">
        <f>FE93*VLOOKUP('Données projet'!$B$16,Paramètres!$A$1:$I$89,3,0)*VLOOKUP('Données projet'!$B$16,Paramètres!$A$1:$I$89,5,0)</f>
        <v>2.9795046430081134E-13</v>
      </c>
      <c r="FG93" s="14">
        <f t="shared" si="101"/>
        <v>3.9419014464513778E-12</v>
      </c>
      <c r="FH93" s="22">
        <f t="shared" si="76"/>
        <v>7.384408744560063E-12</v>
      </c>
      <c r="FI93" s="60">
        <f t="shared" si="77"/>
        <v>274.35764100423506</v>
      </c>
      <c r="FJ93" s="60">
        <f ca="1">AVERAGE(OFFSET($FI$3,0,0,'Données projet'!$E$16+1,1))-AVERAGE(OFFSET($H$3,0,0,'Données projet'!$E$16+1,1))</f>
        <v>363.28611056308665</v>
      </c>
      <c r="FK93" s="60">
        <f t="shared" si="102"/>
        <v>389.43647559455974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296</v>
      </c>
      <c r="FX93" s="13">
        <f>VLOOKUP(A93,'Données projet'!$A$243:$I$263,9,0)</f>
        <v>5.6</v>
      </c>
      <c r="FY93" s="13">
        <f t="array" ref="FY93">INDEX(FX:FX,MIN(IF(ISNUMBER(FX93:FX289),ROW(FX93:FX289),"")))</f>
        <v>5.6</v>
      </c>
      <c r="FZ93" s="13">
        <f>IF('Données projet'!$A$244&gt;35,FZ92+FY93-GH92,IF(A93&lt;'Données projet'!$A$244,$FW$205^A93,IF(A93='Données projet'!$A$244,'Données projet'!$B$244,FZ92+FY93-GH92)))</f>
        <v>296.00000000000006</v>
      </c>
      <c r="GA93" s="18">
        <f>FZ93*VLOOKUP('Données projet'!$B$17,Paramètres!$A$1:$I$89,3,0)*VLOOKUP('Données projet'!$B$17,Paramètres!$A$1:$I$89,5,0)</f>
        <v>318.61440000000005</v>
      </c>
      <c r="GB93" s="14">
        <f t="shared" si="103"/>
        <v>75.06497986502842</v>
      </c>
      <c r="GC93" s="22">
        <f t="shared" si="79"/>
        <v>685.6582532649245</v>
      </c>
      <c r="GD93" s="60">
        <f t="shared" si="80"/>
        <v>960.01589426915211</v>
      </c>
      <c r="GE93" s="60">
        <f ca="1">AVERAGE(OFFSET($GD$3,0,0,'Données projet'!$E$17+1,1))-AVERAGE(OFFSET($H$3,0,0,'Données projet'!$E$17+1,1))</f>
        <v>542.90832990875208</v>
      </c>
      <c r="GF93" s="60">
        <f t="shared" si="104"/>
        <v>304.94365539329362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42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3.4106051316484809E-13</v>
      </c>
      <c r="O94" s="14">
        <f>N94*VLOOKUP('Données projet'!$B$9,Paramètres!$A$1:$I$89,3,0)*VLOOKUP('Données projet'!$B$9,Paramètres!$A$1:$I$89,5,0)</f>
        <v>2.7134774427395314E-13</v>
      </c>
      <c r="P94" s="14">
        <f t="shared" si="87"/>
        <v>3.6292411711343559E-12</v>
      </c>
      <c r="Q94" s="22">
        <f t="shared" si="54"/>
        <v>6.7935256943361388E-12</v>
      </c>
      <c r="R94" s="60">
        <f t="shared" si="55"/>
        <v>274.68682684285187</v>
      </c>
      <c r="S94" s="60">
        <f ca="1">AVERAGE(OFFSET($R$3,0,0,'Données projet'!$E$9+1,1))-AVERAGE(OFFSET($H$3,0,0,'Données projet'!$E$9+1,1))</f>
        <v>336.25341821407534</v>
      </c>
      <c r="T94" s="60">
        <f t="shared" si="88"/>
        <v>360.3246221345039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842.09538421818615</v>
      </c>
      <c r="AN94" s="60">
        <f ca="1">AVERAGE(OFFSET($AM$3,0,0,'Données projet'!$E$10+1,1))-AVERAGE(OFFSET($H$3,0,0,'Données projet'!$E$10+1,1))</f>
        <v>516.30971934066179</v>
      </c>
      <c r="AO94" s="60">
        <f t="shared" si="90"/>
        <v>290.84286505723571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0">
        <f t="shared" si="62"/>
        <v>274.68682684285187</v>
      </c>
      <c r="BI94" s="60">
        <f ca="1">AVERAGE(OFFSET($BH$3,0,0,'Données projet'!$E$11+1,1))-AVERAGE(OFFSET($H$3,0,0,'Données projet'!$E$11+1,1))</f>
        <v>336.25341821407534</v>
      </c>
      <c r="BJ94" s="60">
        <f t="shared" si="92"/>
        <v>360.3246221345039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3.5897435897435854</v>
      </c>
      <c r="BY94" s="13">
        <f>IF('Données projet'!$A$114&gt;35,BY93+BX94-CG93,IF(A94&lt;'Données projet'!$A$114,$BV$205^A94,IF(A94='Données projet'!$A$114,'Données projet'!$B$114,BY93+BX94-CG93)))</f>
        <v>215.12820512820505</v>
      </c>
      <c r="BZ94" s="14">
        <f>BY94*VLOOKUP('Données projet'!$B$12,Paramètres!$A$1:$I$89,3,0)*VLOOKUP('Données projet'!$B$12,Paramètres!$A$1:$I$89,5,0)</f>
        <v>204.71599999999992</v>
      </c>
      <c r="CA94" s="14">
        <f t="shared" si="93"/>
        <v>50.779191757337983</v>
      </c>
      <c r="CB94" s="22">
        <f t="shared" si="64"/>
        <v>444.98745897736353</v>
      </c>
      <c r="CC94" s="60">
        <f t="shared" si="65"/>
        <v>719.67428582020852</v>
      </c>
      <c r="CD94" s="60">
        <f ca="1">AVERAGE(OFFSET($CC$3,0,0,'Données projet'!$E$12+1,1))-AVERAGE(OFFSET($H$3,0,0,'Données projet'!$E$12+1,1))</f>
        <v>398.29746143975166</v>
      </c>
      <c r="CE94" s="60">
        <f t="shared" si="94"/>
        <v>300.63705521148802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250.40808000000004</v>
      </c>
      <c r="CV94" s="14">
        <f t="shared" si="95"/>
        <v>60.67331674592576</v>
      </c>
      <c r="CW94" s="22">
        <f t="shared" si="67"/>
        <v>541.80009933248743</v>
      </c>
      <c r="CX94" s="60">
        <f t="shared" si="68"/>
        <v>816.48692617533243</v>
      </c>
      <c r="CY94" s="60">
        <f ca="1">AVERAGE(OFFSET($CX$3,0,0,'Données projet'!$E$13+1,1))-AVERAGE(OFFSET($H$3,0,0,'Données projet'!$E$13+1,1))</f>
        <v>496.33873798282525</v>
      </c>
      <c r="CZ94" s="60">
        <f t="shared" si="96"/>
        <v>280.25465074992246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8.8675733422860506E-14</v>
      </c>
      <c r="DQ94" s="14">
        <f t="shared" si="97"/>
        <v>1.3509285393066301E-12</v>
      </c>
      <c r="DR94" s="22">
        <f t="shared" si="70"/>
        <v>2.5073107750038623E-12</v>
      </c>
      <c r="DS94" s="60">
        <f t="shared" si="71"/>
        <v>274.68682684284755</v>
      </c>
      <c r="DT94" s="60">
        <f ca="1">AVERAGE(OFFSET($DS$3,0,0,'Données projet'!$E$14+1,1))-AVERAGE(OFFSET($H$3,0,0,'Données projet'!$E$14+1,1))</f>
        <v>312.59632808777332</v>
      </c>
      <c r="DU94" s="60">
        <f t="shared" si="98"/>
        <v>302.59481222418219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3.7179487179487181</v>
      </c>
      <c r="EJ94" s="13">
        <f>IF('Données projet'!$A$192&gt;35,EJ93+EI94-ER93,IF(A94&lt;'Données projet'!$A$192,$EG$205^A94,IF(A94='Données projet'!$A$192,'Données projet'!$B$192,EJ93+EI94-ER93)))</f>
        <v>274.87179487179498</v>
      </c>
      <c r="EK94" s="18">
        <f>EJ94*VLOOKUP('Données projet'!$B$15,Paramètres!$A$1:$I$89,3,0)*VLOOKUP('Données projet'!$B$15,Paramètres!$A$1:$I$89,5,0)</f>
        <v>184.38400000000007</v>
      </c>
      <c r="EL94" s="14">
        <f t="shared" si="99"/>
        <v>46.296175202781576</v>
      </c>
      <c r="EM94" s="22">
        <f t="shared" si="73"/>
        <v>401.76797181151136</v>
      </c>
      <c r="EN94" s="60">
        <f t="shared" si="74"/>
        <v>676.45479865435641</v>
      </c>
      <c r="EO94" s="60">
        <f ca="1">AVERAGE(OFFSET($EN$3,0,0,'Données projet'!$E$15+1,1))-AVERAGE(OFFSET($H$3,0,0,'Données projet'!$E$15+1,1))</f>
        <v>344.62096650402731</v>
      </c>
      <c r="EP94" s="60">
        <f t="shared" si="100"/>
        <v>277.30931495079346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3.4106051316484809E-13</v>
      </c>
      <c r="FF94" s="18">
        <f>FE94*VLOOKUP('Données projet'!$B$16,Paramètres!$A$1:$I$89,3,0)*VLOOKUP('Données projet'!$B$16,Paramètres!$A$1:$I$89,5,0)</f>
        <v>2.9795046430081134E-13</v>
      </c>
      <c r="FG94" s="14">
        <f t="shared" si="101"/>
        <v>3.9419014464513778E-12</v>
      </c>
      <c r="FH94" s="22">
        <f t="shared" si="76"/>
        <v>7.384408744560063E-12</v>
      </c>
      <c r="FI94" s="60">
        <f t="shared" si="77"/>
        <v>274.68682684285244</v>
      </c>
      <c r="FJ94" s="60">
        <f ca="1">AVERAGE(OFFSET($FI$3,0,0,'Données projet'!$E$16+1,1))-AVERAGE(OFFSET($H$3,0,0,'Données projet'!$E$16+1,1))</f>
        <v>363.28611056308665</v>
      </c>
      <c r="FK94" s="60">
        <f t="shared" si="102"/>
        <v>389.43647559455974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4.9000000000000004</v>
      </c>
      <c r="FZ94" s="13">
        <f>IF('Données projet'!$A$244&gt;35,FZ93+FY94-GH93,IF(A94&lt;'Données projet'!$A$244,$FW$205^A94,IF(A94='Données projet'!$A$244,'Données projet'!$B$244,FZ93+FY94-GH93)))</f>
        <v>258.90000000000003</v>
      </c>
      <c r="GA94" s="18">
        <f>FZ94*VLOOKUP('Données projet'!$B$17,Paramètres!$A$1:$I$89,3,0)*VLOOKUP('Données projet'!$B$17,Paramètres!$A$1:$I$89,5,0)</f>
        <v>278.67996000000005</v>
      </c>
      <c r="GB94" s="14">
        <f t="shared" si="103"/>
        <v>66.687969806197728</v>
      </c>
      <c r="GC94" s="22">
        <f t="shared" si="79"/>
        <v>601.51581107912773</v>
      </c>
      <c r="GD94" s="60">
        <f t="shared" si="80"/>
        <v>876.20263792197284</v>
      </c>
      <c r="GE94" s="60">
        <f ca="1">AVERAGE(OFFSET($GD$3,0,0,'Données projet'!$E$17+1,1))-AVERAGE(OFFSET($H$3,0,0,'Données projet'!$E$17+1,1))</f>
        <v>542.90832990875208</v>
      </c>
      <c r="GF94" s="60">
        <f t="shared" si="104"/>
        <v>304.94365539329362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3.4106051316484809E-13</v>
      </c>
      <c r="O95" s="14">
        <f>N95*VLOOKUP('Données projet'!$B$9,Paramètres!$A$1:$I$89,3,0)*VLOOKUP('Données projet'!$B$9,Paramètres!$A$1:$I$89,5,0)</f>
        <v>2.7134774427395314E-13</v>
      </c>
      <c r="P95" s="14">
        <f t="shared" si="87"/>
        <v>3.6292411711343559E-12</v>
      </c>
      <c r="Q95" s="22">
        <f t="shared" si="54"/>
        <v>6.7935256943361388E-12</v>
      </c>
      <c r="R95" s="60">
        <f t="shared" si="55"/>
        <v>275.01030204311854</v>
      </c>
      <c r="S95" s="60">
        <f ca="1">AVERAGE(OFFSET($R$3,0,0,'Données projet'!$E$9+1,1))-AVERAGE(OFFSET($H$3,0,0,'Données projet'!$E$9+1,1))</f>
        <v>336.25341821407534</v>
      </c>
      <c r="T95" s="60">
        <f t="shared" si="88"/>
        <v>360.3246221345039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852.91302278782564</v>
      </c>
      <c r="AN95" s="60">
        <f ca="1">AVERAGE(OFFSET($AM$3,0,0,'Données projet'!$E$10+1,1))-AVERAGE(OFFSET($H$3,0,0,'Données projet'!$E$10+1,1))</f>
        <v>516.30971934066179</v>
      </c>
      <c r="AO95" s="60">
        <f t="shared" si="90"/>
        <v>290.84286505723571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0">
        <f t="shared" si="62"/>
        <v>275.01030204311854</v>
      </c>
      <c r="BI95" s="60">
        <f ca="1">AVERAGE(OFFSET($BH$3,0,0,'Données projet'!$E$11+1,1))-AVERAGE(OFFSET($H$3,0,0,'Données projet'!$E$11+1,1))</f>
        <v>336.25341821407534</v>
      </c>
      <c r="BJ95" s="60">
        <f t="shared" si="92"/>
        <v>360.3246221345039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3.5897435897435854</v>
      </c>
      <c r="BY95" s="13">
        <f>IF('Données projet'!$A$114&gt;35,BY94+BX95-CG94,IF(A95&lt;'Données projet'!$A$114,$BV$205^A95,IF(A95='Données projet'!$A$114,'Données projet'!$B$114,BY94+BX95-CG94)))</f>
        <v>218.71794871794864</v>
      </c>
      <c r="BZ95" s="14">
        <f>BY95*VLOOKUP('Données projet'!$B$12,Paramètres!$A$1:$I$89,3,0)*VLOOKUP('Données projet'!$B$12,Paramètres!$A$1:$I$89,5,0)</f>
        <v>208.13199999999992</v>
      </c>
      <c r="CA95" s="14">
        <f t="shared" si="93"/>
        <v>51.527168668357106</v>
      </c>
      <c r="CB95" s="22">
        <f t="shared" si="64"/>
        <v>452.23971876405511</v>
      </c>
      <c r="CC95" s="60">
        <f t="shared" si="65"/>
        <v>727.25002080716683</v>
      </c>
      <c r="CD95" s="60">
        <f ca="1">AVERAGE(OFFSET($CC$3,0,0,'Données projet'!$E$12+1,1))-AVERAGE(OFFSET($H$3,0,0,'Données projet'!$E$12+1,1))</f>
        <v>398.29746143975166</v>
      </c>
      <c r="CE95" s="60">
        <f t="shared" si="94"/>
        <v>300.63705521148802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255.14736000000002</v>
      </c>
      <c r="CV95" s="14">
        <f t="shared" si="95"/>
        <v>61.686859728645651</v>
      </c>
      <c r="CW95" s="22">
        <f t="shared" si="67"/>
        <v>551.81959936072451</v>
      </c>
      <c r="CX95" s="60">
        <f t="shared" si="68"/>
        <v>826.82990140383617</v>
      </c>
      <c r="CY95" s="60">
        <f ca="1">AVERAGE(OFFSET($CX$3,0,0,'Données projet'!$E$13+1,1))-AVERAGE(OFFSET($H$3,0,0,'Données projet'!$E$13+1,1))</f>
        <v>496.33873798282525</v>
      </c>
      <c r="CZ95" s="60">
        <f t="shared" si="96"/>
        <v>280.25465074992246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8.8675733422860506E-14</v>
      </c>
      <c r="DQ95" s="14">
        <f t="shared" si="97"/>
        <v>1.3509285393066301E-12</v>
      </c>
      <c r="DR95" s="22">
        <f t="shared" si="70"/>
        <v>2.5073107750038623E-12</v>
      </c>
      <c r="DS95" s="60">
        <f t="shared" si="71"/>
        <v>275.01030204311422</v>
      </c>
      <c r="DT95" s="60">
        <f ca="1">AVERAGE(OFFSET($DS$3,0,0,'Données projet'!$E$14+1,1))-AVERAGE(OFFSET($H$3,0,0,'Données projet'!$E$14+1,1))</f>
        <v>312.59632808777332</v>
      </c>
      <c r="DU95" s="60">
        <f t="shared" si="98"/>
        <v>302.59481222418219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3.7179487179487181</v>
      </c>
      <c r="EJ95" s="13">
        <f>IF('Données projet'!$A$192&gt;35,EJ94+EI95-ER94,IF(A95&lt;'Données projet'!$A$192,$EG$205^A95,IF(A95='Données projet'!$A$192,'Données projet'!$B$192,EJ94+EI95-ER94)))</f>
        <v>278.5897435897437</v>
      </c>
      <c r="EK95" s="18">
        <f>EJ95*VLOOKUP('Données projet'!$B$15,Paramètres!$A$1:$I$89,3,0)*VLOOKUP('Données projet'!$B$15,Paramètres!$A$1:$I$89,5,0)</f>
        <v>186.87800000000007</v>
      </c>
      <c r="EL95" s="14">
        <f t="shared" si="99"/>
        <v>46.849058827207365</v>
      </c>
      <c r="EM95" s="22">
        <f t="shared" si="73"/>
        <v>407.07462745738621</v>
      </c>
      <c r="EN95" s="60">
        <f t="shared" si="74"/>
        <v>682.08492950049799</v>
      </c>
      <c r="EO95" s="60">
        <f ca="1">AVERAGE(OFFSET($EN$3,0,0,'Données projet'!$E$15+1,1))-AVERAGE(OFFSET($H$3,0,0,'Données projet'!$E$15+1,1))</f>
        <v>344.62096650402731</v>
      </c>
      <c r="EP95" s="60">
        <f t="shared" si="100"/>
        <v>277.30931495079346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3.4106051316484809E-13</v>
      </c>
      <c r="FF95" s="18">
        <f>FE95*VLOOKUP('Données projet'!$B$16,Paramètres!$A$1:$I$89,3,0)*VLOOKUP('Données projet'!$B$16,Paramètres!$A$1:$I$89,5,0)</f>
        <v>2.9795046430081134E-13</v>
      </c>
      <c r="FG95" s="14">
        <f t="shared" si="101"/>
        <v>3.9419014464513778E-12</v>
      </c>
      <c r="FH95" s="22">
        <f t="shared" si="76"/>
        <v>7.384408744560063E-12</v>
      </c>
      <c r="FI95" s="60">
        <f t="shared" si="77"/>
        <v>275.01030204311911</v>
      </c>
      <c r="FJ95" s="60">
        <f ca="1">AVERAGE(OFFSET($FI$3,0,0,'Données projet'!$E$16+1,1))-AVERAGE(OFFSET($H$3,0,0,'Données projet'!$E$16+1,1))</f>
        <v>363.28611056308665</v>
      </c>
      <c r="FK95" s="60">
        <f t="shared" si="102"/>
        <v>389.43647559455974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4.9000000000000004</v>
      </c>
      <c r="FZ95" s="13">
        <f>IF('Données projet'!$A$244&gt;35,FZ94+FY95-GH94,IF(A95&lt;'Données projet'!$A$244,$FW$205^A95,IF(A95='Données projet'!$A$244,'Données projet'!$B$244,FZ94+FY95-GH94)))</f>
        <v>263.8</v>
      </c>
      <c r="GA95" s="18">
        <f>FZ95*VLOOKUP('Données projet'!$B$17,Paramètres!$A$1:$I$89,3,0)*VLOOKUP('Données projet'!$B$17,Paramètres!$A$1:$I$89,5,0)</f>
        <v>283.95432</v>
      </c>
      <c r="GB95" s="14">
        <f t="shared" si="103"/>
        <v>67.801987095081913</v>
      </c>
      <c r="GC95" s="22">
        <f t="shared" si="79"/>
        <v>612.64223485726768</v>
      </c>
      <c r="GD95" s="60">
        <f t="shared" si="80"/>
        <v>887.65253690037935</v>
      </c>
      <c r="GE95" s="60">
        <f ca="1">AVERAGE(OFFSET($GD$3,0,0,'Données projet'!$E$17+1,1))-AVERAGE(OFFSET($H$3,0,0,'Données projet'!$E$17+1,1))</f>
        <v>542.90832990875208</v>
      </c>
      <c r="GF95" s="60">
        <f t="shared" si="104"/>
        <v>304.94365539329362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3.4106051316484809E-13</v>
      </c>
      <c r="O96" s="14">
        <f>N96*VLOOKUP('Données projet'!$B$9,Paramètres!$A$1:$I$89,3,0)*VLOOKUP('Données projet'!$B$9,Paramètres!$A$1:$I$89,5,0)</f>
        <v>2.7134774427395314E-13</v>
      </c>
      <c r="P96" s="14">
        <f t="shared" si="87"/>
        <v>3.6292411711343559E-12</v>
      </c>
      <c r="Q96" s="22">
        <f t="shared" si="54"/>
        <v>6.7935256943361388E-12</v>
      </c>
      <c r="R96" s="60">
        <f t="shared" si="55"/>
        <v>275.32816567184278</v>
      </c>
      <c r="S96" s="60">
        <f ca="1">AVERAGE(OFFSET($R$3,0,0,'Données projet'!$E$9+1,1))-AVERAGE(OFFSET($H$3,0,0,'Données projet'!$E$9+1,1))</f>
        <v>336.25341821407534</v>
      </c>
      <c r="T96" s="60">
        <f t="shared" si="88"/>
        <v>360.3246221345039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863.7210744721001</v>
      </c>
      <c r="AN96" s="60">
        <f ca="1">AVERAGE(OFFSET($AM$3,0,0,'Données projet'!$E$10+1,1))-AVERAGE(OFFSET($H$3,0,0,'Données projet'!$E$10+1,1))</f>
        <v>516.30971934066179</v>
      </c>
      <c r="AO96" s="60">
        <f t="shared" si="90"/>
        <v>290.84286505723571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0">
        <f t="shared" si="62"/>
        <v>275.32816567184278</v>
      </c>
      <c r="BI96" s="60">
        <f ca="1">AVERAGE(OFFSET($BH$3,0,0,'Données projet'!$E$11+1,1))-AVERAGE(OFFSET($H$3,0,0,'Données projet'!$E$11+1,1))</f>
        <v>336.25341821407534</v>
      </c>
      <c r="BJ96" s="60">
        <f t="shared" si="92"/>
        <v>360.3246221345039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3.5897435897435854</v>
      </c>
      <c r="BY96" s="13">
        <f>IF('Données projet'!$A$114&gt;35,BY95+BX96-CG95,IF(A96&lt;'Données projet'!$A$114,$BV$205^A96,IF(A96='Données projet'!$A$114,'Données projet'!$B$114,BY95+BX96-CG95)))</f>
        <v>222.30769230769224</v>
      </c>
      <c r="BZ96" s="14">
        <f>BY96*VLOOKUP('Données projet'!$B$12,Paramètres!$A$1:$I$89,3,0)*VLOOKUP('Données projet'!$B$12,Paramètres!$A$1:$I$89,5,0)</f>
        <v>211.54799999999992</v>
      </c>
      <c r="CA96" s="14">
        <f t="shared" si="93"/>
        <v>52.273717915363171</v>
      </c>
      <c r="CB96" s="22">
        <f t="shared" si="64"/>
        <v>459.489492035924</v>
      </c>
      <c r="CC96" s="60">
        <f t="shared" si="65"/>
        <v>734.81765770775996</v>
      </c>
      <c r="CD96" s="60">
        <f ca="1">AVERAGE(OFFSET($CC$3,0,0,'Données projet'!$E$12+1,1))-AVERAGE(OFFSET($H$3,0,0,'Données projet'!$E$12+1,1))</f>
        <v>398.29746143975166</v>
      </c>
      <c r="CE96" s="60">
        <f t="shared" si="94"/>
        <v>300.63705521148802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259.88664</v>
      </c>
      <c r="CV96" s="14">
        <f t="shared" si="95"/>
        <v>62.698213571884004</v>
      </c>
      <c r="CW96" s="22">
        <f t="shared" si="67"/>
        <v>561.835286637698</v>
      </c>
      <c r="CX96" s="60">
        <f t="shared" si="68"/>
        <v>837.16345230953402</v>
      </c>
      <c r="CY96" s="60">
        <f ca="1">AVERAGE(OFFSET($CX$3,0,0,'Données projet'!$E$13+1,1))-AVERAGE(OFFSET($H$3,0,0,'Données projet'!$E$13+1,1))</f>
        <v>496.33873798282525</v>
      </c>
      <c r="CZ96" s="60">
        <f t="shared" si="96"/>
        <v>280.25465074992246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8.8675733422860506E-14</v>
      </c>
      <c r="DQ96" s="14">
        <f t="shared" si="97"/>
        <v>1.3509285393066301E-12</v>
      </c>
      <c r="DR96" s="22">
        <f t="shared" si="70"/>
        <v>2.5073107750038623E-12</v>
      </c>
      <c r="DS96" s="60">
        <f t="shared" si="71"/>
        <v>275.32816567183846</v>
      </c>
      <c r="DT96" s="60">
        <f ca="1">AVERAGE(OFFSET($DS$3,0,0,'Données projet'!$E$14+1,1))-AVERAGE(OFFSET($H$3,0,0,'Données projet'!$E$14+1,1))</f>
        <v>312.59632808777332</v>
      </c>
      <c r="DU96" s="60">
        <f t="shared" si="98"/>
        <v>302.59481222418219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3.7179487179487181</v>
      </c>
      <c r="EJ96" s="13">
        <f>IF('Données projet'!$A$192&gt;35,EJ95+EI96-ER95,IF(A96&lt;'Données projet'!$A$192,$EG$205^A96,IF(A96='Données projet'!$A$192,'Données projet'!$B$192,EJ95+EI96-ER95)))</f>
        <v>282.30769230769243</v>
      </c>
      <c r="EK96" s="18">
        <f>EJ96*VLOOKUP('Données projet'!$B$15,Paramètres!$A$1:$I$89,3,0)*VLOOKUP('Données projet'!$B$15,Paramètres!$A$1:$I$89,5,0)</f>
        <v>189.37200000000007</v>
      </c>
      <c r="EL96" s="14">
        <f t="shared" si="99"/>
        <v>47.401084226295815</v>
      </c>
      <c r="EM96" s="22">
        <f t="shared" si="73"/>
        <v>412.37978836079861</v>
      </c>
      <c r="EN96" s="60">
        <f t="shared" si="74"/>
        <v>687.70795403263458</v>
      </c>
      <c r="EO96" s="60">
        <f ca="1">AVERAGE(OFFSET($EN$3,0,0,'Données projet'!$E$15+1,1))-AVERAGE(OFFSET($H$3,0,0,'Données projet'!$E$15+1,1))</f>
        <v>344.62096650402731</v>
      </c>
      <c r="EP96" s="60">
        <f t="shared" si="100"/>
        <v>277.30931495079346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3.4106051316484809E-13</v>
      </c>
      <c r="FF96" s="18">
        <f>FE96*VLOOKUP('Données projet'!$B$16,Paramètres!$A$1:$I$89,3,0)*VLOOKUP('Données projet'!$B$16,Paramètres!$A$1:$I$89,5,0)</f>
        <v>2.9795046430081134E-13</v>
      </c>
      <c r="FG96" s="14">
        <f t="shared" si="101"/>
        <v>3.9419014464513778E-12</v>
      </c>
      <c r="FH96" s="22">
        <f t="shared" si="76"/>
        <v>7.384408744560063E-12</v>
      </c>
      <c r="FI96" s="60">
        <f t="shared" si="77"/>
        <v>275.32816567184335</v>
      </c>
      <c r="FJ96" s="60">
        <f ca="1">AVERAGE(OFFSET($FI$3,0,0,'Données projet'!$E$16+1,1))-AVERAGE(OFFSET($H$3,0,0,'Données projet'!$E$16+1,1))</f>
        <v>363.28611056308665</v>
      </c>
      <c r="FK96" s="60">
        <f t="shared" si="102"/>
        <v>389.43647559455974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4.9000000000000004</v>
      </c>
      <c r="FZ96" s="13">
        <f>IF('Données projet'!$A$244&gt;35,FZ95+FY96-GH95,IF(A96&lt;'Données projet'!$A$244,$FW$205^A96,IF(A96='Données projet'!$A$244,'Données projet'!$B$244,FZ95+FY96-GH95)))</f>
        <v>268.7</v>
      </c>
      <c r="GA96" s="18">
        <f>FZ96*VLOOKUP('Données projet'!$B$17,Paramètres!$A$1:$I$89,3,0)*VLOOKUP('Données projet'!$B$17,Paramètres!$A$1:$I$89,5,0)</f>
        <v>289.22868</v>
      </c>
      <c r="GB96" s="14">
        <f t="shared" si="103"/>
        <v>68.913598231220931</v>
      </c>
      <c r="GC96" s="22">
        <f t="shared" si="79"/>
        <v>623.76446791937644</v>
      </c>
      <c r="GD96" s="60">
        <f t="shared" si="80"/>
        <v>899.09263359121246</v>
      </c>
      <c r="GE96" s="60">
        <f ca="1">AVERAGE(OFFSET($GD$3,0,0,'Données projet'!$E$17+1,1))-AVERAGE(OFFSET($H$3,0,0,'Données projet'!$E$17+1,1))</f>
        <v>542.90832990875208</v>
      </c>
      <c r="GF96" s="60">
        <f t="shared" si="104"/>
        <v>304.94365539329362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3.4106051316484809E-13</v>
      </c>
      <c r="O97" s="14">
        <f>N97*VLOOKUP('Données projet'!$B$9,Paramètres!$A$1:$I$89,3,0)*VLOOKUP('Données projet'!$B$9,Paramètres!$A$1:$I$89,5,0)</f>
        <v>2.7134774427395314E-13</v>
      </c>
      <c r="P97" s="14">
        <f t="shared" si="87"/>
        <v>3.6292411711343559E-12</v>
      </c>
      <c r="Q97" s="22">
        <f t="shared" si="54"/>
        <v>6.7935256943361388E-12</v>
      </c>
      <c r="R97" s="60">
        <f t="shared" si="55"/>
        <v>275.64051507724531</v>
      </c>
      <c r="S97" s="60">
        <f ca="1">AVERAGE(OFFSET($R$3,0,0,'Données projet'!$E$9+1,1))-AVERAGE(OFFSET($H$3,0,0,'Données projet'!$E$9+1,1))</f>
        <v>336.25341821407534</v>
      </c>
      <c r="T97" s="60">
        <f t="shared" si="88"/>
        <v>360.3246221345039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874.51971747431821</v>
      </c>
      <c r="AN97" s="60">
        <f ca="1">AVERAGE(OFFSET($AM$3,0,0,'Données projet'!$E$10+1,1))-AVERAGE(OFFSET($H$3,0,0,'Données projet'!$E$10+1,1))</f>
        <v>516.30971934066179</v>
      </c>
      <c r="AO97" s="60">
        <f t="shared" si="90"/>
        <v>290.84286505723571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0">
        <f t="shared" si="62"/>
        <v>275.64051507724531</v>
      </c>
      <c r="BI97" s="60">
        <f ca="1">AVERAGE(OFFSET($BH$3,0,0,'Données projet'!$E$11+1,1))-AVERAGE(OFFSET($H$3,0,0,'Données projet'!$E$11+1,1))</f>
        <v>336.25341821407534</v>
      </c>
      <c r="BJ97" s="60">
        <f t="shared" si="92"/>
        <v>360.3246221345039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3.5897435897435854</v>
      </c>
      <c r="BY97" s="13">
        <f>IF('Données projet'!$A$114&gt;35,BY96+BX97-CG96,IF(A97&lt;'Données projet'!$A$114,$BV$205^A97,IF(A97='Données projet'!$A$114,'Données projet'!$B$114,BY96+BX97-CG96)))</f>
        <v>225.89743589743583</v>
      </c>
      <c r="BZ97" s="14">
        <f>BY97*VLOOKUP('Données projet'!$B$12,Paramètres!$A$1:$I$89,3,0)*VLOOKUP('Données projet'!$B$12,Paramètres!$A$1:$I$89,5,0)</f>
        <v>214.96399999999994</v>
      </c>
      <c r="CA97" s="14">
        <f t="shared" si="93"/>
        <v>53.018865213249249</v>
      </c>
      <c r="CB97" s="22">
        <f t="shared" si="64"/>
        <v>466.73682357974229</v>
      </c>
      <c r="CC97" s="60">
        <f t="shared" si="65"/>
        <v>742.37733865698078</v>
      </c>
      <c r="CD97" s="60">
        <f ca="1">AVERAGE(OFFSET($CC$3,0,0,'Données projet'!$E$12+1,1))-AVERAGE(OFFSET($H$3,0,0,'Données projet'!$E$12+1,1))</f>
        <v>398.29746143975166</v>
      </c>
      <c r="CE97" s="60">
        <f t="shared" si="94"/>
        <v>300.63705521148802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264.62591999999995</v>
      </c>
      <c r="CV97" s="14">
        <f t="shared" si="95"/>
        <v>63.707422801198604</v>
      </c>
      <c r="CW97" s="22">
        <f t="shared" si="67"/>
        <v>571.84723871208746</v>
      </c>
      <c r="CX97" s="60">
        <f t="shared" si="68"/>
        <v>847.48775378932601</v>
      </c>
      <c r="CY97" s="60">
        <f ca="1">AVERAGE(OFFSET($CX$3,0,0,'Données projet'!$E$13+1,1))-AVERAGE(OFFSET($H$3,0,0,'Données projet'!$E$13+1,1))</f>
        <v>496.33873798282525</v>
      </c>
      <c r="CZ97" s="60">
        <f t="shared" si="96"/>
        <v>280.25465074992246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8.8675733422860506E-14</v>
      </c>
      <c r="DQ97" s="14">
        <f t="shared" si="97"/>
        <v>1.3509285393066301E-12</v>
      </c>
      <c r="DR97" s="22">
        <f t="shared" si="70"/>
        <v>2.5073107750038623E-12</v>
      </c>
      <c r="DS97" s="60">
        <f t="shared" si="71"/>
        <v>275.64051507724099</v>
      </c>
      <c r="DT97" s="60">
        <f ca="1">AVERAGE(OFFSET($DS$3,0,0,'Données projet'!$E$14+1,1))-AVERAGE(OFFSET($H$3,0,0,'Données projet'!$E$14+1,1))</f>
        <v>312.59632808777332</v>
      </c>
      <c r="DU97" s="60">
        <f t="shared" si="98"/>
        <v>302.59481222418219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3.7179487179487181</v>
      </c>
      <c r="EJ97" s="13">
        <f>IF('Données projet'!$A$192&gt;35,EJ96+EI97-ER96,IF(A97&lt;'Données projet'!$A$192,$EG$205^A97,IF(A97='Données projet'!$A$192,'Données projet'!$B$192,EJ96+EI97-ER96)))</f>
        <v>286.02564102564116</v>
      </c>
      <c r="EK97" s="18">
        <f>EJ97*VLOOKUP('Données projet'!$B$15,Paramètres!$A$1:$I$89,3,0)*VLOOKUP('Données projet'!$B$15,Paramètres!$A$1:$I$89,5,0)</f>
        <v>191.8660000000001</v>
      </c>
      <c r="EL97" s="14">
        <f t="shared" si="99"/>
        <v>47.952264009442366</v>
      </c>
      <c r="EM97" s="22">
        <f t="shared" si="73"/>
        <v>417.6834764831122</v>
      </c>
      <c r="EN97" s="60">
        <f t="shared" si="74"/>
        <v>693.32399156035069</v>
      </c>
      <c r="EO97" s="60">
        <f ca="1">AVERAGE(OFFSET($EN$3,0,0,'Données projet'!$E$15+1,1))-AVERAGE(OFFSET($H$3,0,0,'Données projet'!$E$15+1,1))</f>
        <v>344.62096650402731</v>
      </c>
      <c r="EP97" s="60">
        <f t="shared" si="100"/>
        <v>277.30931495079346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3.4106051316484809E-13</v>
      </c>
      <c r="FF97" s="18">
        <f>FE97*VLOOKUP('Données projet'!$B$16,Paramètres!$A$1:$I$89,3,0)*VLOOKUP('Données projet'!$B$16,Paramètres!$A$1:$I$89,5,0)</f>
        <v>2.9795046430081134E-13</v>
      </c>
      <c r="FG97" s="14">
        <f t="shared" si="101"/>
        <v>3.9419014464513778E-12</v>
      </c>
      <c r="FH97" s="22">
        <f t="shared" si="76"/>
        <v>7.384408744560063E-12</v>
      </c>
      <c r="FI97" s="60">
        <f t="shared" si="77"/>
        <v>275.64051507724588</v>
      </c>
      <c r="FJ97" s="60">
        <f ca="1">AVERAGE(OFFSET($FI$3,0,0,'Données projet'!$E$16+1,1))-AVERAGE(OFFSET($H$3,0,0,'Données projet'!$E$16+1,1))</f>
        <v>363.28611056308665</v>
      </c>
      <c r="FK97" s="60">
        <f t="shared" si="102"/>
        <v>389.43647559455974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4.9000000000000004</v>
      </c>
      <c r="FZ97" s="13">
        <f>IF('Données projet'!$A$244&gt;35,FZ96+FY97-GH96,IF(A97&lt;'Données projet'!$A$244,$FW$205^A97,IF(A97='Données projet'!$A$244,'Données projet'!$B$244,FZ96+FY97-GH96)))</f>
        <v>273.59999999999997</v>
      </c>
      <c r="GA97" s="18">
        <f>FZ97*VLOOKUP('Données projet'!$B$17,Paramètres!$A$1:$I$89,3,0)*VLOOKUP('Données projet'!$B$17,Paramètres!$A$1:$I$89,5,0)</f>
        <v>294.50303999999994</v>
      </c>
      <c r="GB97" s="14">
        <f t="shared" si="103"/>
        <v>70.022852154069838</v>
      </c>
      <c r="GC97" s="22">
        <f t="shared" si="79"/>
        <v>634.88259550167152</v>
      </c>
      <c r="GD97" s="60">
        <f t="shared" si="80"/>
        <v>910.52311057891006</v>
      </c>
      <c r="GE97" s="60">
        <f ca="1">AVERAGE(OFFSET($GD$3,0,0,'Données projet'!$E$17+1,1))-AVERAGE(OFFSET($H$3,0,0,'Données projet'!$E$17+1,1))</f>
        <v>542.90832990875208</v>
      </c>
      <c r="GF97" s="60">
        <f t="shared" si="104"/>
        <v>304.94365539329362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3.4106051316484809E-13</v>
      </c>
      <c r="O98" s="14">
        <f>N98*VLOOKUP('Données projet'!$B$9,Paramètres!$A$1:$I$89,3,0)*VLOOKUP('Données projet'!$B$9,Paramètres!$A$1:$I$89,5,0)</f>
        <v>2.7134774427395314E-13</v>
      </c>
      <c r="P98" s="14">
        <f t="shared" si="87"/>
        <v>3.6292411711343559E-12</v>
      </c>
      <c r="Q98" s="22">
        <f t="shared" si="54"/>
        <v>6.7935256943361388E-12</v>
      </c>
      <c r="R98" s="60">
        <f t="shared" si="55"/>
        <v>275.94744591877276</v>
      </c>
      <c r="S98" s="60">
        <f ca="1">AVERAGE(OFFSET($R$3,0,0,'Données projet'!$E$9+1,1))-AVERAGE(OFFSET($H$3,0,0,'Données projet'!$E$9+1,1))</f>
        <v>336.25341821407534</v>
      </c>
      <c r="T98" s="60">
        <f t="shared" si="88"/>
        <v>360.3246221345039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885.30912524703763</v>
      </c>
      <c r="AN98" s="60">
        <f ca="1">AVERAGE(OFFSET($AM$3,0,0,'Données projet'!$E$10+1,1))-AVERAGE(OFFSET($H$3,0,0,'Données projet'!$E$10+1,1))</f>
        <v>516.30971934066179</v>
      </c>
      <c r="AO98" s="60">
        <f t="shared" si="90"/>
        <v>290.84286505723571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0">
        <f t="shared" si="62"/>
        <v>275.94744591877276</v>
      </c>
      <c r="BI98" s="60">
        <f ca="1">AVERAGE(OFFSET($BH$3,0,0,'Données projet'!$E$11+1,1))-AVERAGE(OFFSET($H$3,0,0,'Données projet'!$E$11+1,1))</f>
        <v>336.25341821407534</v>
      </c>
      <c r="BJ98" s="60">
        <f t="shared" si="92"/>
        <v>360.3246221345039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229.48717948717947</v>
      </c>
      <c r="BW98" s="13">
        <f>VLOOKUP(A98,'Données projet'!$A$113:$I$133,9,0)</f>
        <v>3.5897435897435854</v>
      </c>
      <c r="BX98" s="13">
        <f t="array" ref="BX98">INDEX(BW:BW,MIN(IF(ISNUMBER(BW98:BW294),ROW(BW98:BW294),"")))</f>
        <v>3.5897435897435854</v>
      </c>
      <c r="BY98" s="13">
        <f>IF('Données projet'!$A$114&gt;35,BY97+BX98-CG97,IF(A98&lt;'Données projet'!$A$114,$BV$205^A98,IF(A98='Données projet'!$A$114,'Données projet'!$B$114,BY97+BX98-CG97)))</f>
        <v>229.48717948717942</v>
      </c>
      <c r="BZ98" s="14">
        <f>BY98*VLOOKUP('Données projet'!$B$12,Paramètres!$A$1:$I$89,3,0)*VLOOKUP('Données projet'!$B$12,Paramètres!$A$1:$I$89,5,0)</f>
        <v>218.37999999999994</v>
      </c>
      <c r="CA98" s="14">
        <f t="shared" si="93"/>
        <v>53.762635412761199</v>
      </c>
      <c r="CB98" s="22">
        <f t="shared" si="64"/>
        <v>473.98175667722558</v>
      </c>
      <c r="CC98" s="60">
        <f t="shared" si="65"/>
        <v>749.92920259599146</v>
      </c>
      <c r="CD98" s="60">
        <f ca="1">AVERAGE(OFFSET($CC$3,0,0,'Données projet'!$E$12+1,1))-AVERAGE(OFFSET($H$3,0,0,'Données projet'!$E$12+1,1))</f>
        <v>398.29746143975166</v>
      </c>
      <c r="CE98" s="60">
        <f t="shared" si="94"/>
        <v>300.63705521148802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269.36519999999996</v>
      </c>
      <c r="CV98" s="14">
        <f t="shared" si="95"/>
        <v>64.714530255967034</v>
      </c>
      <c r="CW98" s="22">
        <f t="shared" si="67"/>
        <v>581.85553019580914</v>
      </c>
      <c r="CX98" s="60">
        <f t="shared" si="68"/>
        <v>857.80297611457513</v>
      </c>
      <c r="CY98" s="60">
        <f ca="1">AVERAGE(OFFSET($CX$3,0,0,'Données projet'!$E$13+1,1))-AVERAGE(OFFSET($H$3,0,0,'Données projet'!$E$13+1,1))</f>
        <v>496.33873798282525</v>
      </c>
      <c r="CZ98" s="60">
        <f t="shared" si="96"/>
        <v>280.25465074992246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8.8675733422860506E-14</v>
      </c>
      <c r="DQ98" s="14">
        <f t="shared" si="97"/>
        <v>1.3509285393066301E-12</v>
      </c>
      <c r="DR98" s="22">
        <f t="shared" si="70"/>
        <v>2.5073107750038623E-12</v>
      </c>
      <c r="DS98" s="60">
        <f t="shared" si="71"/>
        <v>275.94744591876844</v>
      </c>
      <c r="DT98" s="60">
        <f ca="1">AVERAGE(OFFSET($DS$3,0,0,'Données projet'!$E$14+1,1))-AVERAGE(OFFSET($H$3,0,0,'Données projet'!$E$14+1,1))</f>
        <v>312.59632808777332</v>
      </c>
      <c r="DU98" s="60">
        <f t="shared" si="98"/>
        <v>302.59481222418219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289.74358974358972</v>
      </c>
      <c r="EH98" s="13">
        <f>VLOOKUP(A98,'Données projet'!$A$191:$I$211,9,0)</f>
        <v>3.7179487179487181</v>
      </c>
      <c r="EI98" s="13">
        <f t="array" ref="EI98">INDEX(EH:EH,MIN(IF(ISNUMBER(EH98:EH294),ROW(EH98:EH294),"")))</f>
        <v>3.7179487179487181</v>
      </c>
      <c r="EJ98" s="13">
        <f>IF('Données projet'!$A$192&gt;35,EJ97+EI98-ER97,IF(A98&lt;'Données projet'!$A$192,$EG$205^A98,IF(A98='Données projet'!$A$192,'Données projet'!$B$192,EJ97+EI98-ER97)))</f>
        <v>289.74358974358989</v>
      </c>
      <c r="EK98" s="18">
        <f>EJ98*VLOOKUP('Données projet'!$B$15,Paramètres!$A$1:$I$89,3,0)*VLOOKUP('Données projet'!$B$15,Paramètres!$A$1:$I$89,5,0)</f>
        <v>194.3600000000001</v>
      </c>
      <c r="EL98" s="14">
        <f t="shared" si="99"/>
        <v>48.502610439386679</v>
      </c>
      <c r="EM98" s="22">
        <f t="shared" si="73"/>
        <v>422.98571318193194</v>
      </c>
      <c r="EN98" s="60">
        <f t="shared" si="74"/>
        <v>698.93315910069782</v>
      </c>
      <c r="EO98" s="60">
        <f ca="1">AVERAGE(OFFSET($EN$3,0,0,'Données projet'!$E$15+1,1))-AVERAGE(OFFSET($H$3,0,0,'Données projet'!$E$15+1,1))</f>
        <v>344.62096650402731</v>
      </c>
      <c r="EP98" s="60">
        <f t="shared" si="100"/>
        <v>277.30931495079346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3.4106051316484809E-13</v>
      </c>
      <c r="FF98" s="18">
        <f>FE98*VLOOKUP('Données projet'!$B$16,Paramètres!$A$1:$I$89,3,0)*VLOOKUP('Données projet'!$B$16,Paramètres!$A$1:$I$89,5,0)</f>
        <v>2.9795046430081134E-13</v>
      </c>
      <c r="FG98" s="14">
        <f t="shared" si="101"/>
        <v>3.9419014464513778E-12</v>
      </c>
      <c r="FH98" s="22">
        <f t="shared" si="76"/>
        <v>7.384408744560063E-12</v>
      </c>
      <c r="FI98" s="60">
        <f t="shared" si="77"/>
        <v>275.94744591877333</v>
      </c>
      <c r="FJ98" s="60">
        <f ca="1">AVERAGE(OFFSET($FI$3,0,0,'Données projet'!$E$16+1,1))-AVERAGE(OFFSET($H$3,0,0,'Données projet'!$E$16+1,1))</f>
        <v>363.28611056308665</v>
      </c>
      <c r="FK98" s="60">
        <f t="shared" si="102"/>
        <v>389.43647559455974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4.9000000000000004</v>
      </c>
      <c r="FZ98" s="13">
        <f>IF('Données projet'!$A$244&gt;35,FZ97+FY98-GH97,IF(A98&lt;'Données projet'!$A$244,$FW$205^A98,IF(A98='Données projet'!$A$244,'Données projet'!$B$244,FZ97+FY98-GH97)))</f>
        <v>278.49999999999994</v>
      </c>
      <c r="GA98" s="18">
        <f>FZ98*VLOOKUP('Données projet'!$B$17,Paramètres!$A$1:$I$89,3,0)*VLOOKUP('Données projet'!$B$17,Paramètres!$A$1:$I$89,5,0)</f>
        <v>299.77739999999989</v>
      </c>
      <c r="GB98" s="14">
        <f t="shared" si="103"/>
        <v>71.129795949749251</v>
      </c>
      <c r="GC98" s="22">
        <f t="shared" si="79"/>
        <v>645.9966996124798</v>
      </c>
      <c r="GD98" s="60">
        <f t="shared" si="80"/>
        <v>921.94414553124579</v>
      </c>
      <c r="GE98" s="60">
        <f ca="1">AVERAGE(OFFSET($GD$3,0,0,'Données projet'!$E$17+1,1))-AVERAGE(OFFSET($H$3,0,0,'Données projet'!$E$17+1,1))</f>
        <v>542.90832990875208</v>
      </c>
      <c r="GF98" s="60">
        <f t="shared" si="104"/>
        <v>304.94365539329362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3.4106051316484809E-13</v>
      </c>
      <c r="O99" s="14">
        <f>N99*VLOOKUP('Données projet'!$B$9,Paramètres!$A$1:$I$89,3,0)*VLOOKUP('Données projet'!$B$9,Paramètres!$A$1:$I$89,5,0)</f>
        <v>2.7134774427395314E-13</v>
      </c>
      <c r="P99" s="14">
        <f t="shared" si="87"/>
        <v>3.6292411711343559E-12</v>
      </c>
      <c r="Q99" s="22">
        <f t="shared" ref="Q99:Q130" si="107">(O99+P99)*0.475*44/12</f>
        <v>6.7935256943361388E-12</v>
      </c>
      <c r="R99" s="60">
        <f t="shared" si="55"/>
        <v>276.24905219639425</v>
      </c>
      <c r="S99" s="60">
        <f ca="1">AVERAGE(OFFSET($R$3,0,0,'Données projet'!$E$9+1,1))-AVERAGE(OFFSET($H$3,0,0,'Données projet'!$E$9+1,1))</f>
        <v>336.25341821407534</v>
      </c>
      <c r="T99" s="60">
        <f t="shared" si="88"/>
        <v>360.3246221345039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896.08946668911324</v>
      </c>
      <c r="AN99" s="60">
        <f ca="1">AVERAGE(OFFSET($AM$3,0,0,'Données projet'!$E$10+1,1))-AVERAGE(OFFSET($H$3,0,0,'Données projet'!$E$10+1,1))</f>
        <v>516.30971934066179</v>
      </c>
      <c r="AO99" s="60">
        <f t="shared" si="90"/>
        <v>290.84286505723571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0">
        <f t="shared" si="62"/>
        <v>276.24905219639425</v>
      </c>
      <c r="BI99" s="60">
        <f ca="1">AVERAGE(OFFSET($BH$3,0,0,'Données projet'!$E$11+1,1))-AVERAGE(OFFSET($H$3,0,0,'Données projet'!$E$11+1,1))</f>
        <v>336.25341821407534</v>
      </c>
      <c r="BJ99" s="60">
        <f t="shared" si="92"/>
        <v>360.3246221345039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3.3333333333333313</v>
      </c>
      <c r="BY99" s="13">
        <f>IF('Données projet'!$A$114&gt;35,BY98+BX99-CG98,IF(A99&lt;'Données projet'!$A$114,$BV$205^A99,IF(A99='Données projet'!$A$114,'Données projet'!$B$114,BY98+BX99-CG98)))</f>
        <v>232.82051282051276</v>
      </c>
      <c r="BZ99" s="14">
        <f>BY99*VLOOKUP('Données projet'!$B$12,Paramètres!$A$1:$I$89,3,0)*VLOOKUP('Données projet'!$B$12,Paramètres!$A$1:$I$89,5,0)</f>
        <v>221.55199999999994</v>
      </c>
      <c r="CA99" s="14">
        <f t="shared" si="93"/>
        <v>54.452067119881683</v>
      </c>
      <c r="CB99" s="22">
        <f t="shared" si="64"/>
        <v>480.70708356712709</v>
      </c>
      <c r="CC99" s="60">
        <f t="shared" si="65"/>
        <v>756.95613576351457</v>
      </c>
      <c r="CD99" s="60">
        <f ca="1">AVERAGE(OFFSET($CC$3,0,0,'Données projet'!$E$12+1,1))-AVERAGE(OFFSET($H$3,0,0,'Données projet'!$E$12+1,1))</f>
        <v>398.29746143975166</v>
      </c>
      <c r="CE99" s="60">
        <f t="shared" si="94"/>
        <v>300.63705521148802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274.10447999999991</v>
      </c>
      <c r="CV99" s="14">
        <f t="shared" si="95"/>
        <v>65.719577181765516</v>
      </c>
      <c r="CW99" s="22">
        <f t="shared" si="67"/>
        <v>591.86023292490802</v>
      </c>
      <c r="CX99" s="60">
        <f t="shared" si="68"/>
        <v>868.10928512129544</v>
      </c>
      <c r="CY99" s="60">
        <f ca="1">AVERAGE(OFFSET($CX$3,0,0,'Données projet'!$E$13+1,1))-AVERAGE(OFFSET($H$3,0,0,'Données projet'!$E$13+1,1))</f>
        <v>496.33873798282525</v>
      </c>
      <c r="CZ99" s="60">
        <f t="shared" si="96"/>
        <v>280.25465074992246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8.8675733422860506E-14</v>
      </c>
      <c r="DQ99" s="14">
        <f t="shared" si="97"/>
        <v>1.3509285393066301E-12</v>
      </c>
      <c r="DR99" s="22">
        <f t="shared" si="70"/>
        <v>2.5073107750038623E-12</v>
      </c>
      <c r="DS99" s="60">
        <f t="shared" si="71"/>
        <v>276.24905219638993</v>
      </c>
      <c r="DT99" s="60">
        <f ca="1">AVERAGE(OFFSET($DS$3,0,0,'Données projet'!$E$14+1,1))-AVERAGE(OFFSET($H$3,0,0,'Données projet'!$E$14+1,1))</f>
        <v>312.59632808777332</v>
      </c>
      <c r="DU99" s="60">
        <f t="shared" si="98"/>
        <v>302.59481222418219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3.5897435897435912</v>
      </c>
      <c r="EJ99" s="13">
        <f>IF('Données projet'!$A$192&gt;35,EJ98+EI99-ER98,IF(A99&lt;'Données projet'!$A$192,$EG$205^A99,IF(A99='Données projet'!$A$192,'Données projet'!$B$192,EJ98+EI99-ER98)))</f>
        <v>293.33333333333348</v>
      </c>
      <c r="EK99" s="18">
        <f>EJ99*VLOOKUP('Données projet'!$B$15,Paramètres!$A$1:$I$89,3,0)*VLOOKUP('Données projet'!$B$15,Paramètres!$A$1:$I$89,5,0)</f>
        <v>196.76800000000011</v>
      </c>
      <c r="EL99" s="14">
        <f t="shared" si="99"/>
        <v>49.033199854505597</v>
      </c>
      <c r="EM99" s="22">
        <f t="shared" si="73"/>
        <v>428.10375641326408</v>
      </c>
      <c r="EN99" s="60">
        <f t="shared" si="74"/>
        <v>704.35280860965145</v>
      </c>
      <c r="EO99" s="60">
        <f ca="1">AVERAGE(OFFSET($EN$3,0,0,'Données projet'!$E$15+1,1))-AVERAGE(OFFSET($H$3,0,0,'Données projet'!$E$15+1,1))</f>
        <v>344.62096650402731</v>
      </c>
      <c r="EP99" s="60">
        <f t="shared" si="100"/>
        <v>277.30931495079346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3.4106051316484809E-13</v>
      </c>
      <c r="FF99" s="18">
        <f>FE99*VLOOKUP('Données projet'!$B$16,Paramètres!$A$1:$I$89,3,0)*VLOOKUP('Données projet'!$B$16,Paramètres!$A$1:$I$89,5,0)</f>
        <v>2.9795046430081134E-13</v>
      </c>
      <c r="FG99" s="14">
        <f t="shared" si="101"/>
        <v>3.9419014464513778E-12</v>
      </c>
      <c r="FH99" s="22">
        <f t="shared" si="76"/>
        <v>7.384408744560063E-12</v>
      </c>
      <c r="FI99" s="60">
        <f t="shared" si="77"/>
        <v>276.24905219639481</v>
      </c>
      <c r="FJ99" s="60">
        <f ca="1">AVERAGE(OFFSET($FI$3,0,0,'Données projet'!$E$16+1,1))-AVERAGE(OFFSET($H$3,0,0,'Données projet'!$E$16+1,1))</f>
        <v>363.28611056308665</v>
      </c>
      <c r="FK99" s="60">
        <f t="shared" si="102"/>
        <v>389.43647559455974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4.9000000000000004</v>
      </c>
      <c r="FZ99" s="13">
        <f>IF('Données projet'!$A$244&gt;35,FZ98+FY99-GH98,IF(A99&lt;'Données projet'!$A$244,$FW$205^A99,IF(A99='Données projet'!$A$244,'Données projet'!$B$244,FZ98+FY99-GH98)))</f>
        <v>283.39999999999992</v>
      </c>
      <c r="GA99" s="18">
        <f>FZ99*VLOOKUP('Données projet'!$B$17,Paramètres!$A$1:$I$89,3,0)*VLOOKUP('Données projet'!$B$17,Paramètres!$A$1:$I$89,5,0)</f>
        <v>305.05175999999989</v>
      </c>
      <c r="GB99" s="14">
        <f t="shared" si="103"/>
        <v>72.23447495258219</v>
      </c>
      <c r="GC99" s="22">
        <f t="shared" si="79"/>
        <v>657.10685920908043</v>
      </c>
      <c r="GD99" s="60">
        <f t="shared" si="80"/>
        <v>933.35591140546785</v>
      </c>
      <c r="GE99" s="60">
        <f ca="1">AVERAGE(OFFSET($GD$3,0,0,'Données projet'!$E$17+1,1))-AVERAGE(OFFSET($H$3,0,0,'Données projet'!$E$17+1,1))</f>
        <v>542.90832990875208</v>
      </c>
      <c r="GF99" s="60">
        <f t="shared" si="104"/>
        <v>304.94365539329362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3.4106051316484809E-13</v>
      </c>
      <c r="O100" s="14">
        <f>N100*VLOOKUP('Données projet'!$B$9,Paramètres!$A$1:$I$89,3,0)*VLOOKUP('Données projet'!$B$9,Paramètres!$A$1:$I$89,5,0)</f>
        <v>2.7134774427395314E-13</v>
      </c>
      <c r="P100" s="14">
        <f t="shared" si="87"/>
        <v>3.6292411711343559E-12</v>
      </c>
      <c r="Q100" s="22">
        <f t="shared" si="107"/>
        <v>6.7935256943361388E-12</v>
      </c>
      <c r="R100" s="60">
        <f t="shared" si="55"/>
        <v>276.54542627938963</v>
      </c>
      <c r="S100" s="60">
        <f ca="1">AVERAGE(OFFSET($R$3,0,0,'Données projet'!$E$9+1,1))-AVERAGE(OFFSET($H$3,0,0,'Données projet'!$E$9+1,1))</f>
        <v>336.25341821407534</v>
      </c>
      <c r="T100" s="60">
        <f t="shared" si="88"/>
        <v>360.3246221345039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906.86090633030983</v>
      </c>
      <c r="AN100" s="60">
        <f ca="1">AVERAGE(OFFSET($AM$3,0,0,'Données projet'!$E$10+1,1))-AVERAGE(OFFSET($H$3,0,0,'Données projet'!$E$10+1,1))</f>
        <v>516.30971934066179</v>
      </c>
      <c r="AO100" s="60">
        <f t="shared" si="90"/>
        <v>290.84286505723571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0">
        <f t="shared" si="62"/>
        <v>276.54542627938963</v>
      </c>
      <c r="BI100" s="60">
        <f ca="1">AVERAGE(OFFSET($BH$3,0,0,'Données projet'!$E$11+1,1))-AVERAGE(OFFSET($H$3,0,0,'Données projet'!$E$11+1,1))</f>
        <v>336.25341821407534</v>
      </c>
      <c r="BJ100" s="60">
        <f t="shared" si="92"/>
        <v>360.3246221345039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3.3333333333333313</v>
      </c>
      <c r="BY100" s="13">
        <f>IF('Données projet'!$A$114&gt;35,BY99+BX100-CG99,IF(A100&lt;'Données projet'!$A$114,$BV$205^A100,IF(A100='Données projet'!$A$114,'Données projet'!$B$114,BY99+BX100-CG99)))</f>
        <v>236.1538461538461</v>
      </c>
      <c r="BZ100" s="14">
        <f>BY100*VLOOKUP('Données projet'!$B$12,Paramètres!$A$1:$I$89,3,0)*VLOOKUP('Données projet'!$B$12,Paramètres!$A$1:$I$89,5,0)</f>
        <v>224.72399999999993</v>
      </c>
      <c r="CA100" s="14">
        <f t="shared" si="93"/>
        <v>55.140350790767556</v>
      </c>
      <c r="CB100" s="22">
        <f t="shared" si="64"/>
        <v>487.4304109605867</v>
      </c>
      <c r="CC100" s="60">
        <f t="shared" si="65"/>
        <v>763.97583723996945</v>
      </c>
      <c r="CD100" s="60">
        <f ca="1">AVERAGE(OFFSET($CC$3,0,0,'Données projet'!$E$12+1,1))-AVERAGE(OFFSET($H$3,0,0,'Données projet'!$E$12+1,1))</f>
        <v>398.29746143975166</v>
      </c>
      <c r="CE100" s="60">
        <f t="shared" si="94"/>
        <v>300.63705521148802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278.84375999999992</v>
      </c>
      <c r="CV100" s="14">
        <f t="shared" si="95"/>
        <v>66.722603316177725</v>
      </c>
      <c r="CW100" s="22">
        <f t="shared" si="67"/>
        <v>601.86141610900938</v>
      </c>
      <c r="CX100" s="60">
        <f t="shared" si="68"/>
        <v>878.40684238839219</v>
      </c>
      <c r="CY100" s="60">
        <f ca="1">AVERAGE(OFFSET($CX$3,0,0,'Données projet'!$E$13+1,1))-AVERAGE(OFFSET($H$3,0,0,'Données projet'!$E$13+1,1))</f>
        <v>496.33873798282525</v>
      </c>
      <c r="CZ100" s="60">
        <f t="shared" si="96"/>
        <v>280.25465074992246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8.8675733422860506E-14</v>
      </c>
      <c r="DQ100" s="14">
        <f t="shared" si="97"/>
        <v>1.3509285393066301E-12</v>
      </c>
      <c r="DR100" s="22">
        <f t="shared" si="70"/>
        <v>2.5073107750038623E-12</v>
      </c>
      <c r="DS100" s="60">
        <f t="shared" si="71"/>
        <v>276.54542627938531</v>
      </c>
      <c r="DT100" s="60">
        <f ca="1">AVERAGE(OFFSET($DS$3,0,0,'Données projet'!$E$14+1,1))-AVERAGE(OFFSET($H$3,0,0,'Données projet'!$E$14+1,1))</f>
        <v>312.59632808777332</v>
      </c>
      <c r="DU100" s="60">
        <f t="shared" si="98"/>
        <v>302.59481222418219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3.5897435897435912</v>
      </c>
      <c r="EJ100" s="13">
        <f>IF('Données projet'!$A$192&gt;35,EJ99+EI100-ER99,IF(A100&lt;'Données projet'!$A$192,$EG$205^A100,IF(A100='Données projet'!$A$192,'Données projet'!$B$192,EJ99+EI100-ER99)))</f>
        <v>296.92307692307708</v>
      </c>
      <c r="EK100" s="18">
        <f>EJ100*VLOOKUP('Données projet'!$B$15,Paramètres!$A$1:$I$89,3,0)*VLOOKUP('Données projet'!$B$15,Paramètres!$A$1:$I$89,5,0)</f>
        <v>199.1760000000001</v>
      </c>
      <c r="EL100" s="14">
        <f t="shared" si="99"/>
        <v>49.563033976114944</v>
      </c>
      <c r="EM100" s="22">
        <f t="shared" si="73"/>
        <v>433.22048417506704</v>
      </c>
      <c r="EN100" s="60">
        <f t="shared" si="74"/>
        <v>709.76591045444979</v>
      </c>
      <c r="EO100" s="60">
        <f ca="1">AVERAGE(OFFSET($EN$3,0,0,'Données projet'!$E$15+1,1))-AVERAGE(OFFSET($H$3,0,0,'Données projet'!$E$15+1,1))</f>
        <v>344.62096650402731</v>
      </c>
      <c r="EP100" s="60">
        <f t="shared" si="100"/>
        <v>277.30931495079346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3.4106051316484809E-13</v>
      </c>
      <c r="FF100" s="18">
        <f>FE100*VLOOKUP('Données projet'!$B$16,Paramètres!$A$1:$I$89,3,0)*VLOOKUP('Données projet'!$B$16,Paramètres!$A$1:$I$89,5,0)</f>
        <v>2.9795046430081134E-13</v>
      </c>
      <c r="FG100" s="14">
        <f t="shared" si="101"/>
        <v>3.9419014464513778E-12</v>
      </c>
      <c r="FH100" s="22">
        <f t="shared" si="76"/>
        <v>7.384408744560063E-12</v>
      </c>
      <c r="FI100" s="60">
        <f t="shared" si="77"/>
        <v>276.5454262793902</v>
      </c>
      <c r="FJ100" s="60">
        <f ca="1">AVERAGE(OFFSET($FI$3,0,0,'Données projet'!$E$16+1,1))-AVERAGE(OFFSET($H$3,0,0,'Données projet'!$E$16+1,1))</f>
        <v>363.28611056308665</v>
      </c>
      <c r="FK100" s="60">
        <f t="shared" si="102"/>
        <v>389.43647559455974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4.9000000000000004</v>
      </c>
      <c r="FZ100" s="13">
        <f>IF('Données projet'!$A$244&gt;35,FZ99+FY100-GH99,IF(A100&lt;'Données projet'!$A$244,$FW$205^A100,IF(A100='Données projet'!$A$244,'Données projet'!$B$244,FZ99+FY100-GH99)))</f>
        <v>288.2999999999999</v>
      </c>
      <c r="GA100" s="18">
        <f>FZ100*VLOOKUP('Données projet'!$B$17,Paramètres!$A$1:$I$89,3,0)*VLOOKUP('Données projet'!$B$17,Paramètres!$A$1:$I$89,5,0)</f>
        <v>310.32611999999989</v>
      </c>
      <c r="GB100" s="14">
        <f t="shared" si="103"/>
        <v>73.336932839409357</v>
      </c>
      <c r="GC100" s="22">
        <f t="shared" si="79"/>
        <v>668.21315036197109</v>
      </c>
      <c r="GD100" s="60">
        <f t="shared" si="80"/>
        <v>944.7585766413539</v>
      </c>
      <c r="GE100" s="60">
        <f ca="1">AVERAGE(OFFSET($GD$3,0,0,'Données projet'!$E$17+1,1))-AVERAGE(OFFSET($H$3,0,0,'Données projet'!$E$17+1,1))</f>
        <v>542.90832990875208</v>
      </c>
      <c r="GF100" s="60">
        <f t="shared" si="104"/>
        <v>304.94365539329362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3.4106051316484809E-13</v>
      </c>
      <c r="O101" s="14">
        <f>N101*VLOOKUP('Données projet'!$B$9,Paramètres!$A$1:$I$89,3,0)*VLOOKUP('Données projet'!$B$9,Paramètres!$A$1:$I$89,5,0)</f>
        <v>2.7134774427395314E-13</v>
      </c>
      <c r="P101" s="14">
        <f t="shared" si="87"/>
        <v>3.6292411711343559E-12</v>
      </c>
      <c r="Q101" s="22">
        <f t="shared" si="107"/>
        <v>6.7935256943361388E-12</v>
      </c>
      <c r="R101" s="60">
        <f t="shared" si="55"/>
        <v>276.83665893463819</v>
      </c>
      <c r="S101" s="60">
        <f ca="1">AVERAGE(OFFSET($R$3,0,0,'Données projet'!$E$9+1,1))-AVERAGE(OFFSET($H$3,0,0,'Données projet'!$E$9+1,1))</f>
        <v>336.25341821407534</v>
      </c>
      <c r="T101" s="60">
        <f t="shared" si="88"/>
        <v>360.3246221345039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917.62360450451877</v>
      </c>
      <c r="AN101" s="60">
        <f ca="1">AVERAGE(OFFSET($AM$3,0,0,'Données projet'!$E$10+1,1))-AVERAGE(OFFSET($H$3,0,0,'Données projet'!$E$10+1,1))</f>
        <v>516.30971934066179</v>
      </c>
      <c r="AO101" s="60">
        <f t="shared" si="90"/>
        <v>290.84286505723571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0">
        <f t="shared" si="62"/>
        <v>276.83665893463819</v>
      </c>
      <c r="BI101" s="60">
        <f ca="1">AVERAGE(OFFSET($BH$3,0,0,'Données projet'!$E$11+1,1))-AVERAGE(OFFSET($H$3,0,0,'Données projet'!$E$11+1,1))</f>
        <v>336.25341821407534</v>
      </c>
      <c r="BJ101" s="60">
        <f t="shared" si="92"/>
        <v>360.3246221345039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3.3333333333333313</v>
      </c>
      <c r="BY101" s="13">
        <f>IF('Données projet'!$A$114&gt;35,BY100+BX101-CG100,IF(A101&lt;'Données projet'!$A$114,$BV$205^A101,IF(A101='Données projet'!$A$114,'Données projet'!$B$114,BY100+BX101-CG100)))</f>
        <v>239.48717948717945</v>
      </c>
      <c r="BZ101" s="14">
        <f>BY101*VLOOKUP('Données projet'!$B$12,Paramètres!$A$1:$I$89,3,0)*VLOOKUP('Données projet'!$B$12,Paramètres!$A$1:$I$89,5,0)</f>
        <v>227.89599999999999</v>
      </c>
      <c r="CA101" s="14">
        <f t="shared" si="93"/>
        <v>55.827504502630809</v>
      </c>
      <c r="CB101" s="22">
        <f t="shared" si="64"/>
        <v>494.15177034208205</v>
      </c>
      <c r="CC101" s="60">
        <f t="shared" si="65"/>
        <v>770.98842927671342</v>
      </c>
      <c r="CD101" s="60">
        <f ca="1">AVERAGE(OFFSET($CC$3,0,0,'Données projet'!$E$12+1,1))-AVERAGE(OFFSET($H$3,0,0,'Données projet'!$E$12+1,1))</f>
        <v>398.29746143975166</v>
      </c>
      <c r="CE101" s="60">
        <f t="shared" si="94"/>
        <v>300.63705521148802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283.58303999999993</v>
      </c>
      <c r="CV101" s="14">
        <f t="shared" si="95"/>
        <v>67.723646968605209</v>
      </c>
      <c r="CW101" s="22">
        <f t="shared" si="67"/>
        <v>611.85914647032064</v>
      </c>
      <c r="CX101" s="60">
        <f t="shared" si="68"/>
        <v>888.69580540495201</v>
      </c>
      <c r="CY101" s="60">
        <f ca="1">AVERAGE(OFFSET($CX$3,0,0,'Données projet'!$E$13+1,1))-AVERAGE(OFFSET($H$3,0,0,'Données projet'!$E$13+1,1))</f>
        <v>496.33873798282525</v>
      </c>
      <c r="CZ101" s="60">
        <f t="shared" si="96"/>
        <v>280.25465074992246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8.8675733422860506E-14</v>
      </c>
      <c r="DQ101" s="14">
        <f t="shared" si="97"/>
        <v>1.3509285393066301E-12</v>
      </c>
      <c r="DR101" s="22">
        <f t="shared" si="70"/>
        <v>2.5073107750038623E-12</v>
      </c>
      <c r="DS101" s="60">
        <f t="shared" si="71"/>
        <v>276.83665893463387</v>
      </c>
      <c r="DT101" s="60">
        <f ca="1">AVERAGE(OFFSET($DS$3,0,0,'Données projet'!$E$14+1,1))-AVERAGE(OFFSET($H$3,0,0,'Données projet'!$E$14+1,1))</f>
        <v>312.59632808777332</v>
      </c>
      <c r="DU101" s="60">
        <f t="shared" si="98"/>
        <v>302.59481222418219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3.5897435897435912</v>
      </c>
      <c r="EJ101" s="13">
        <f>IF('Données projet'!$A$192&gt;35,EJ100+EI101-ER100,IF(A101&lt;'Données projet'!$A$192,$EG$205^A101,IF(A101='Données projet'!$A$192,'Données projet'!$B$192,EJ100+EI101-ER100)))</f>
        <v>300.51282051282067</v>
      </c>
      <c r="EK101" s="18">
        <f>EJ101*VLOOKUP('Données projet'!$B$15,Paramètres!$A$1:$I$89,3,0)*VLOOKUP('Données projet'!$B$15,Paramètres!$A$1:$I$89,5,0)</f>
        <v>201.58400000000009</v>
      </c>
      <c r="EL101" s="14">
        <f t="shared" si="99"/>
        <v>50.092122991789054</v>
      </c>
      <c r="EM101" s="22">
        <f t="shared" si="73"/>
        <v>438.33591421069946</v>
      </c>
      <c r="EN101" s="60">
        <f t="shared" si="74"/>
        <v>715.17257314533083</v>
      </c>
      <c r="EO101" s="60">
        <f ca="1">AVERAGE(OFFSET($EN$3,0,0,'Données projet'!$E$15+1,1))-AVERAGE(OFFSET($H$3,0,0,'Données projet'!$E$15+1,1))</f>
        <v>344.62096650402731</v>
      </c>
      <c r="EP101" s="60">
        <f t="shared" si="100"/>
        <v>277.30931495079346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3.4106051316484809E-13</v>
      </c>
      <c r="FF101" s="18">
        <f>FE101*VLOOKUP('Données projet'!$B$16,Paramètres!$A$1:$I$89,3,0)*VLOOKUP('Données projet'!$B$16,Paramètres!$A$1:$I$89,5,0)</f>
        <v>2.9795046430081134E-13</v>
      </c>
      <c r="FG101" s="14">
        <f t="shared" si="101"/>
        <v>3.9419014464513778E-12</v>
      </c>
      <c r="FH101" s="22">
        <f t="shared" si="76"/>
        <v>7.384408744560063E-12</v>
      </c>
      <c r="FI101" s="60">
        <f t="shared" si="77"/>
        <v>276.83665893463876</v>
      </c>
      <c r="FJ101" s="60">
        <f ca="1">AVERAGE(OFFSET($FI$3,0,0,'Données projet'!$E$16+1,1))-AVERAGE(OFFSET($H$3,0,0,'Données projet'!$E$16+1,1))</f>
        <v>363.28611056308665</v>
      </c>
      <c r="FK101" s="60">
        <f t="shared" si="102"/>
        <v>389.43647559455974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4.9000000000000004</v>
      </c>
      <c r="FZ101" s="13">
        <f>IF('Données projet'!$A$244&gt;35,FZ100+FY101-GH100,IF(A101&lt;'Données projet'!$A$244,$FW$205^A101,IF(A101='Données projet'!$A$244,'Données projet'!$B$244,FZ100+FY101-GH100)))</f>
        <v>293.19999999999987</v>
      </c>
      <c r="GA101" s="18">
        <f>FZ101*VLOOKUP('Données projet'!$B$17,Paramètres!$A$1:$I$89,3,0)*VLOOKUP('Données projet'!$B$17,Paramètres!$A$1:$I$89,5,0)</f>
        <v>315.60047999999989</v>
      </c>
      <c r="GB101" s="14">
        <f t="shared" si="103"/>
        <v>74.437211717310802</v>
      </c>
      <c r="GC101" s="22">
        <f t="shared" si="79"/>
        <v>679.31564640764952</v>
      </c>
      <c r="GD101" s="60">
        <f t="shared" si="80"/>
        <v>956.1523053422809</v>
      </c>
      <c r="GE101" s="60">
        <f ca="1">AVERAGE(OFFSET($GD$3,0,0,'Données projet'!$E$17+1,1))-AVERAGE(OFFSET($H$3,0,0,'Données projet'!$E$17+1,1))</f>
        <v>542.90832990875208</v>
      </c>
      <c r="GF101" s="60">
        <f t="shared" si="104"/>
        <v>304.94365539329362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3.4106051316484809E-13</v>
      </c>
      <c r="O102" s="14">
        <f>N102*VLOOKUP('Données projet'!$B$9,Paramètres!$A$1:$I$89,3,0)*VLOOKUP('Données projet'!$B$9,Paramètres!$A$1:$I$89,5,0)</f>
        <v>2.7134774427395314E-13</v>
      </c>
      <c r="P102" s="14">
        <f t="shared" si="87"/>
        <v>3.6292411711343559E-12</v>
      </c>
      <c r="Q102" s="22">
        <f t="shared" si="107"/>
        <v>6.7935256943361388E-12</v>
      </c>
      <c r="R102" s="60">
        <f t="shared" si="55"/>
        <v>277.12283935441695</v>
      </c>
      <c r="S102" s="60">
        <f ca="1">AVERAGE(OFFSET($R$3,0,0,'Données projet'!$E$9+1,1))-AVERAGE(OFFSET($H$3,0,0,'Données projet'!$E$9+1,1))</f>
        <v>336.25341821407534</v>
      </c>
      <c r="T102" s="60">
        <f t="shared" si="88"/>
        <v>360.3246221345039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928.37771751252353</v>
      </c>
      <c r="AN102" s="60">
        <f ca="1">AVERAGE(OFFSET($AM$3,0,0,'Données projet'!$E$10+1,1))-AVERAGE(OFFSET($H$3,0,0,'Données projet'!$E$10+1,1))</f>
        <v>516.30971934066179</v>
      </c>
      <c r="AO102" s="60">
        <f t="shared" si="90"/>
        <v>290.84286505723571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0">
        <f t="shared" si="62"/>
        <v>277.12283935441695</v>
      </c>
      <c r="BI102" s="60">
        <f ca="1">AVERAGE(OFFSET($BH$3,0,0,'Données projet'!$E$11+1,1))-AVERAGE(OFFSET($H$3,0,0,'Données projet'!$E$11+1,1))</f>
        <v>336.25341821407534</v>
      </c>
      <c r="BJ102" s="60">
        <f t="shared" si="92"/>
        <v>360.3246221345039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3.3333333333333313</v>
      </c>
      <c r="BY102" s="13">
        <f>IF('Données projet'!$A$114&gt;35,BY101+BX102-CG101,IF(A102&lt;'Données projet'!$A$114,$BV$205^A102,IF(A102='Données projet'!$A$114,'Données projet'!$B$114,BY101+BX102-CG101)))</f>
        <v>242.82051282051279</v>
      </c>
      <c r="BZ102" s="14">
        <f>BY102*VLOOKUP('Données projet'!$B$12,Paramètres!$A$1:$I$89,3,0)*VLOOKUP('Données projet'!$B$12,Paramètres!$A$1:$I$89,5,0)</f>
        <v>231.06799999999998</v>
      </c>
      <c r="CA102" s="14">
        <f t="shared" si="93"/>
        <v>56.513545800555768</v>
      </c>
      <c r="CB102" s="22">
        <f t="shared" si="64"/>
        <v>500.87119226930128</v>
      </c>
      <c r="CC102" s="60">
        <f t="shared" si="65"/>
        <v>777.99403162371141</v>
      </c>
      <c r="CD102" s="60">
        <f ca="1">AVERAGE(OFFSET($CC$3,0,0,'Données projet'!$E$12+1,1))-AVERAGE(OFFSET($H$3,0,0,'Données projet'!$E$12+1,1))</f>
        <v>398.29746143975166</v>
      </c>
      <c r="CE102" s="60">
        <f t="shared" si="94"/>
        <v>300.63705521148802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288.32231999999988</v>
      </c>
      <c r="CV102" s="14">
        <f t="shared" si="95"/>
        <v>68.722745094590621</v>
      </c>
      <c r="CW102" s="22">
        <f t="shared" si="67"/>
        <v>621.85348837307845</v>
      </c>
      <c r="CX102" s="60">
        <f t="shared" si="68"/>
        <v>898.97632772748852</v>
      </c>
      <c r="CY102" s="60">
        <f ca="1">AVERAGE(OFFSET($CX$3,0,0,'Données projet'!$E$13+1,1))-AVERAGE(OFFSET($H$3,0,0,'Données projet'!$E$13+1,1))</f>
        <v>496.33873798282525</v>
      </c>
      <c r="CZ102" s="60">
        <f t="shared" si="96"/>
        <v>280.25465074992246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8.8675733422860506E-14</v>
      </c>
      <c r="DQ102" s="14">
        <f t="shared" si="97"/>
        <v>1.3509285393066301E-12</v>
      </c>
      <c r="DR102" s="22">
        <f t="shared" si="70"/>
        <v>2.5073107750038623E-12</v>
      </c>
      <c r="DS102" s="60">
        <f t="shared" si="71"/>
        <v>277.12283935441263</v>
      </c>
      <c r="DT102" s="60">
        <f ca="1">AVERAGE(OFFSET($DS$3,0,0,'Données projet'!$E$14+1,1))-AVERAGE(OFFSET($H$3,0,0,'Données projet'!$E$14+1,1))</f>
        <v>312.59632808777332</v>
      </c>
      <c r="DU102" s="60">
        <f t="shared" si="98"/>
        <v>302.59481222418219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3.5897435897435912</v>
      </c>
      <c r="EJ102" s="13">
        <f>IF('Données projet'!$A$192&gt;35,EJ101+EI102-ER101,IF(A102&lt;'Données projet'!$A$192,$EG$205^A102,IF(A102='Données projet'!$A$192,'Données projet'!$B$192,EJ101+EI102-ER101)))</f>
        <v>304.10256410256426</v>
      </c>
      <c r="EK102" s="18">
        <f>EJ102*VLOOKUP('Données projet'!$B$15,Paramètres!$A$1:$I$89,3,0)*VLOOKUP('Données projet'!$B$15,Paramètres!$A$1:$I$89,5,0)</f>
        <v>203.99200000000013</v>
      </c>
      <c r="EL102" s="14">
        <f t="shared" si="99"/>
        <v>50.620476831708423</v>
      </c>
      <c r="EM102" s="22">
        <f t="shared" si="73"/>
        <v>443.45006381522575</v>
      </c>
      <c r="EN102" s="60">
        <f t="shared" si="74"/>
        <v>720.57290316963588</v>
      </c>
      <c r="EO102" s="60">
        <f ca="1">AVERAGE(OFFSET($EN$3,0,0,'Données projet'!$E$15+1,1))-AVERAGE(OFFSET($H$3,0,0,'Données projet'!$E$15+1,1))</f>
        <v>344.62096650402731</v>
      </c>
      <c r="EP102" s="60">
        <f t="shared" si="100"/>
        <v>277.30931495079346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3.4106051316484809E-13</v>
      </c>
      <c r="FF102" s="18">
        <f>FE102*VLOOKUP('Données projet'!$B$16,Paramètres!$A$1:$I$89,3,0)*VLOOKUP('Données projet'!$B$16,Paramètres!$A$1:$I$89,5,0)</f>
        <v>2.9795046430081134E-13</v>
      </c>
      <c r="FG102" s="14">
        <f t="shared" si="101"/>
        <v>3.9419014464513778E-12</v>
      </c>
      <c r="FH102" s="22">
        <f t="shared" si="76"/>
        <v>7.384408744560063E-12</v>
      </c>
      <c r="FI102" s="60">
        <f t="shared" si="77"/>
        <v>277.12283935441752</v>
      </c>
      <c r="FJ102" s="60">
        <f ca="1">AVERAGE(OFFSET($FI$3,0,0,'Données projet'!$E$16+1,1))-AVERAGE(OFFSET($H$3,0,0,'Données projet'!$E$16+1,1))</f>
        <v>363.28611056308665</v>
      </c>
      <c r="FK102" s="60">
        <f t="shared" si="102"/>
        <v>389.43647559455974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4.9000000000000004</v>
      </c>
      <c r="FZ102" s="13">
        <f>IF('Données projet'!$A$244&gt;35,FZ101+FY102-GH101,IF(A102&lt;'Données projet'!$A$244,$FW$205^A102,IF(A102='Données projet'!$A$244,'Données projet'!$B$244,FZ101+FY102-GH101)))</f>
        <v>298.09999999999985</v>
      </c>
      <c r="GA102" s="18">
        <f>FZ102*VLOOKUP('Données projet'!$B$17,Paramètres!$A$1:$I$89,3,0)*VLOOKUP('Données projet'!$B$17,Paramètres!$A$1:$I$89,5,0)</f>
        <v>320.87483999999984</v>
      </c>
      <c r="GB102" s="14">
        <f t="shared" si="103"/>
        <v>75.535352205297585</v>
      </c>
      <c r="GC102" s="22">
        <f t="shared" si="79"/>
        <v>690.41441809089304</v>
      </c>
      <c r="GD102" s="60">
        <f t="shared" si="80"/>
        <v>967.53725744530311</v>
      </c>
      <c r="GE102" s="60">
        <f ca="1">AVERAGE(OFFSET($GD$3,0,0,'Données projet'!$E$17+1,1))-AVERAGE(OFFSET($H$3,0,0,'Données projet'!$E$17+1,1))</f>
        <v>542.90832990875208</v>
      </c>
      <c r="GF102" s="60">
        <f t="shared" si="104"/>
        <v>304.94365539329362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3.4106051316484809E-13</v>
      </c>
      <c r="O103" s="14">
        <f>N103*VLOOKUP('Données projet'!$B$9,Paramètres!$A$1:$I$89,3,0)*VLOOKUP('Données projet'!$B$9,Paramètres!$A$1:$I$89,5,0)</f>
        <v>2.7134774427395314E-13</v>
      </c>
      <c r="P103" s="14">
        <f t="shared" si="87"/>
        <v>3.6292411711343559E-12</v>
      </c>
      <c r="Q103" s="22">
        <f t="shared" si="107"/>
        <v>6.7935256943361388E-12</v>
      </c>
      <c r="R103" s="60">
        <f t="shared" si="55"/>
        <v>277.40405518371603</v>
      </c>
      <c r="S103" s="60">
        <f ca="1">AVERAGE(OFFSET($R$3,0,0,'Données projet'!$E$9+1,1))-AVERAGE(OFFSET($H$3,0,0,'Données projet'!$E$9+1,1))</f>
        <v>336.25341821407534</v>
      </c>
      <c r="T103" s="60">
        <f t="shared" si="88"/>
        <v>360.3246221345039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939.12339777515399</v>
      </c>
      <c r="AN103" s="60">
        <f ca="1">AVERAGE(OFFSET($AM$3,0,0,'Données projet'!$E$10+1,1))-AVERAGE(OFFSET($H$3,0,0,'Données projet'!$E$10+1,1))</f>
        <v>516.30971934066179</v>
      </c>
      <c r="AO103" s="60">
        <f t="shared" si="90"/>
        <v>290.84286505723571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0">
        <f t="shared" si="62"/>
        <v>277.40405518371603</v>
      </c>
      <c r="BI103" s="60">
        <f ca="1">AVERAGE(OFFSET($BH$3,0,0,'Données projet'!$E$11+1,1))-AVERAGE(OFFSET($H$3,0,0,'Données projet'!$E$11+1,1))</f>
        <v>336.25341821407534</v>
      </c>
      <c r="BJ103" s="60">
        <f t="shared" si="92"/>
        <v>360.3246221345039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246.15384615384613</v>
      </c>
      <c r="BW103" s="13">
        <f>VLOOKUP(A103,'Données projet'!$A$113:$I$133,9,0)</f>
        <v>3.3333333333333313</v>
      </c>
      <c r="BX103" s="13">
        <f t="array" ref="BX103">INDEX(BW:BW,MIN(IF(ISNUMBER(BW103:BW299),ROW(BW103:BW299),"")))</f>
        <v>3.3333333333333313</v>
      </c>
      <c r="BY103" s="13">
        <f>IF('Données projet'!$A$114&gt;35,BY102+BX103-CG102,IF(A103&lt;'Données projet'!$A$114,$BV$205^A103,IF(A103='Données projet'!$A$114,'Données projet'!$B$114,BY102+BX103-CG102)))</f>
        <v>246.15384615384613</v>
      </c>
      <c r="BZ103" s="14">
        <f>BY103*VLOOKUP('Données projet'!$B$12,Paramètres!$A$1:$I$89,3,0)*VLOOKUP('Données projet'!$B$12,Paramètres!$A$1:$I$89,5,0)</f>
        <v>234.23999999999998</v>
      </c>
      <c r="CA103" s="14">
        <f t="shared" si="93"/>
        <v>57.19849172024869</v>
      </c>
      <c r="CB103" s="22">
        <f t="shared" si="64"/>
        <v>507.58870641276644</v>
      </c>
      <c r="CC103" s="60">
        <f t="shared" si="65"/>
        <v>784.9927615964757</v>
      </c>
      <c r="CD103" s="60">
        <f ca="1">AVERAGE(OFFSET($CC$3,0,0,'Données projet'!$E$12+1,1))-AVERAGE(OFFSET($H$3,0,0,'Données projet'!$E$12+1,1))</f>
        <v>398.29746143975166</v>
      </c>
      <c r="CE103" s="60">
        <f t="shared" si="94"/>
        <v>300.63705521148802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23.717948717948715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293.06159999999983</v>
      </c>
      <c r="CV103" s="14">
        <f t="shared" si="95"/>
        <v>69.719933365116546</v>
      </c>
      <c r="CW103" s="22">
        <f t="shared" si="67"/>
        <v>631.84450394424437</v>
      </c>
      <c r="CX103" s="60">
        <f t="shared" si="68"/>
        <v>909.24855912795351</v>
      </c>
      <c r="CY103" s="60">
        <f ca="1">AVERAGE(OFFSET($CX$3,0,0,'Données projet'!$E$13+1,1))-AVERAGE(OFFSET($H$3,0,0,'Données projet'!$E$13+1,1))</f>
        <v>496.33873798282525</v>
      </c>
      <c r="CZ103" s="60">
        <f t="shared" si="96"/>
        <v>280.25465074992246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8.8675733422860506E-14</v>
      </c>
      <c r="DQ103" s="14">
        <f t="shared" si="97"/>
        <v>1.3509285393066301E-12</v>
      </c>
      <c r="DR103" s="22">
        <f t="shared" si="70"/>
        <v>2.5073107750038623E-12</v>
      </c>
      <c r="DS103" s="60">
        <f t="shared" si="71"/>
        <v>277.40405518371171</v>
      </c>
      <c r="DT103" s="60">
        <f ca="1">AVERAGE(OFFSET($DS$3,0,0,'Données projet'!$E$14+1,1))-AVERAGE(OFFSET($H$3,0,0,'Données projet'!$E$14+1,1))</f>
        <v>312.59632808777332</v>
      </c>
      <c r="DU103" s="60">
        <f t="shared" si="98"/>
        <v>302.59481222418219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307.69230769230768</v>
      </c>
      <c r="EH103" s="13">
        <f>VLOOKUP(A103,'Données projet'!$A$191:$I$211,9,0)</f>
        <v>3.5897435897435912</v>
      </c>
      <c r="EI103" s="13">
        <f t="array" ref="EI103">INDEX(EH:EH,MIN(IF(ISNUMBER(EH103:EH299),ROW(EH103:EH299),"")))</f>
        <v>3.5897435897435912</v>
      </c>
      <c r="EJ103" s="13">
        <f>IF('Données projet'!$A$192&gt;35,EJ102+EI103-ER102,IF(A103&lt;'Données projet'!$A$192,$EG$205^A103,IF(A103='Données projet'!$A$192,'Données projet'!$B$192,EJ102+EI103-ER102)))</f>
        <v>307.69230769230785</v>
      </c>
      <c r="EK103" s="18">
        <f>EJ103*VLOOKUP('Données projet'!$B$15,Paramètres!$A$1:$I$89,3,0)*VLOOKUP('Données projet'!$B$15,Paramètres!$A$1:$I$89,5,0)</f>
        <v>206.40000000000012</v>
      </c>
      <c r="EL103" s="14">
        <f t="shared" si="99"/>
        <v>51.148105178123259</v>
      </c>
      <c r="EM103" s="22">
        <f t="shared" si="73"/>
        <v>448.56294985189817</v>
      </c>
      <c r="EN103" s="60">
        <f t="shared" si="74"/>
        <v>725.96700503560737</v>
      </c>
      <c r="EO103" s="60">
        <f ca="1">AVERAGE(OFFSET($EN$3,0,0,'Données projet'!$E$15+1,1))-AVERAGE(OFFSET($H$3,0,0,'Données projet'!$E$15+1,1))</f>
        <v>344.62096650402731</v>
      </c>
      <c r="EP103" s="60">
        <f t="shared" si="100"/>
        <v>277.30931495079346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22.435897435897434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3.4106051316484809E-13</v>
      </c>
      <c r="FF103" s="18">
        <f>FE103*VLOOKUP('Données projet'!$B$16,Paramètres!$A$1:$I$89,3,0)*VLOOKUP('Données projet'!$B$16,Paramètres!$A$1:$I$89,5,0)</f>
        <v>2.9795046430081134E-13</v>
      </c>
      <c r="FG103" s="14">
        <f t="shared" si="101"/>
        <v>3.9419014464513778E-12</v>
      </c>
      <c r="FH103" s="22">
        <f t="shared" si="76"/>
        <v>7.384408744560063E-12</v>
      </c>
      <c r="FI103" s="60">
        <f t="shared" si="77"/>
        <v>277.40405518371659</v>
      </c>
      <c r="FJ103" s="60">
        <f ca="1">AVERAGE(OFFSET($FI$3,0,0,'Données projet'!$E$16+1,1))-AVERAGE(OFFSET($H$3,0,0,'Données projet'!$E$16+1,1))</f>
        <v>363.28611056308665</v>
      </c>
      <c r="FK103" s="60">
        <f t="shared" si="102"/>
        <v>389.43647559455974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303</v>
      </c>
      <c r="FX103" s="13">
        <f>VLOOKUP(A103,'Données projet'!$A$243:$I$263,9,0)</f>
        <v>4.9000000000000004</v>
      </c>
      <c r="FY103" s="13">
        <f t="array" ref="FY103">INDEX(FX:FX,MIN(IF(ISNUMBER(FX103:FX299),ROW(FX103:FX299),"")))</f>
        <v>4.9000000000000004</v>
      </c>
      <c r="FZ103" s="13">
        <f>IF('Données projet'!$A$244&gt;35,FZ102+FY103-GH102,IF(A103&lt;'Données projet'!$A$244,$FW$205^A103,IF(A103='Données projet'!$A$244,'Données projet'!$B$244,FZ102+FY103-GH102)))</f>
        <v>302.99999999999983</v>
      </c>
      <c r="GA103" s="18">
        <f>FZ103*VLOOKUP('Données projet'!$B$17,Paramètres!$A$1:$I$89,3,0)*VLOOKUP('Données projet'!$B$17,Paramètres!$A$1:$I$89,5,0)</f>
        <v>326.14919999999984</v>
      </c>
      <c r="GB103" s="14">
        <f t="shared" si="103"/>
        <v>76.631393510479555</v>
      </c>
      <c r="GC103" s="22">
        <f t="shared" si="79"/>
        <v>701.50953369741819</v>
      </c>
      <c r="GD103" s="60">
        <f t="shared" si="80"/>
        <v>978.91358888112745</v>
      </c>
      <c r="GE103" s="60">
        <f ca="1">AVERAGE(OFFSET($GD$3,0,0,'Données projet'!$E$17+1,1))-AVERAGE(OFFSET($H$3,0,0,'Données projet'!$E$17+1,1))</f>
        <v>542.90832990875208</v>
      </c>
      <c r="GF103" s="60">
        <f t="shared" si="104"/>
        <v>304.94365539329362</v>
      </c>
      <c r="GG103" s="16">
        <f>IF(ISNA(VLOOKUP(A103,'Données projet'!$A$243:$I$263,3,0)),0,VLOOKUP(A103,'Données projet'!$A$243:$I$263,3,0))</f>
        <v>8</v>
      </c>
      <c r="GH103" s="16">
        <f>IF(ISNA(VLOOKUP(A103,'Données projet'!$A$243:$I$263,4,0)),0,VLOOKUP(A103,'Données projet'!$A$243:$I$263,4,0))</f>
        <v>42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3.4106051316484809E-13</v>
      </c>
      <c r="O104" s="14">
        <f>N104*VLOOKUP('Données projet'!$B$9,Paramètres!$A$1:$I$89,3,0)*VLOOKUP('Données projet'!$B$9,Paramètres!$A$1:$I$89,5,0)</f>
        <v>2.7134774427395314E-13</v>
      </c>
      <c r="P104" s="14">
        <f t="shared" si="87"/>
        <v>3.6292411711343559E-12</v>
      </c>
      <c r="Q104" s="22">
        <f t="shared" si="107"/>
        <v>6.7935256943361388E-12</v>
      </c>
      <c r="R104" s="60">
        <f t="shared" si="55"/>
        <v>277.68039254708123</v>
      </c>
      <c r="S104" s="60">
        <f ca="1">AVERAGE(OFFSET($R$3,0,0,'Données projet'!$E$9+1,1))-AVERAGE(OFFSET($H$3,0,0,'Données projet'!$E$9+1,1))</f>
        <v>336.25341821407534</v>
      </c>
      <c r="T104" s="60">
        <f t="shared" si="88"/>
        <v>360.3246221345039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859.00891392722406</v>
      </c>
      <c r="AN104" s="60">
        <f ca="1">AVERAGE(OFFSET($AM$3,0,0,'Données projet'!$E$10+1,1))-AVERAGE(OFFSET($H$3,0,0,'Données projet'!$E$10+1,1))</f>
        <v>516.30971934066179</v>
      </c>
      <c r="AO104" s="60">
        <f t="shared" si="90"/>
        <v>290.84286505723571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0">
        <f t="shared" si="62"/>
        <v>277.68039254708123</v>
      </c>
      <c r="BI104" s="60">
        <f ca="1">AVERAGE(OFFSET($BH$3,0,0,'Données projet'!$E$11+1,1))-AVERAGE(OFFSET($H$3,0,0,'Données projet'!$E$11+1,1))</f>
        <v>336.25341821407534</v>
      </c>
      <c r="BJ104" s="60">
        <f t="shared" si="92"/>
        <v>360.3246221345039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3.0769230769230802</v>
      </c>
      <c r="BY104" s="13">
        <f>IF('Données projet'!$A$114&gt;35,BY103+BX104-CG103,IF(A104&lt;'Données projet'!$A$114,$BV$205^A104,IF(A104='Données projet'!$A$114,'Données projet'!$B$114,BY103+BX104-CG103)))</f>
        <v>225.5128205128205</v>
      </c>
      <c r="BZ104" s="14">
        <f>BY104*VLOOKUP('Données projet'!$B$12,Paramètres!$A$1:$I$89,3,0)*VLOOKUP('Données projet'!$B$12,Paramètres!$A$1:$I$89,5,0)</f>
        <v>214.59800000000001</v>
      </c>
      <c r="CA104" s="14">
        <f t="shared" si="93"/>
        <v>52.939094303283817</v>
      </c>
      <c r="CB104" s="22">
        <f t="shared" si="64"/>
        <v>465.96043924488595</v>
      </c>
      <c r="CC104" s="60">
        <f t="shared" si="65"/>
        <v>743.64083179196041</v>
      </c>
      <c r="CD104" s="60">
        <f ca="1">AVERAGE(OFFSET($CC$3,0,0,'Données projet'!$E$12+1,1))-AVERAGE(OFFSET($H$3,0,0,'Données projet'!$E$12+1,1))</f>
        <v>398.29746143975166</v>
      </c>
      <c r="CE104" s="60">
        <f t="shared" si="94"/>
        <v>300.63705521148802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256.69487999999984</v>
      </c>
      <c r="CV104" s="14">
        <f t="shared" si="95"/>
        <v>62.017336223177502</v>
      </c>
      <c r="CW104" s="22">
        <f t="shared" si="67"/>
        <v>555.09044325536718</v>
      </c>
      <c r="CX104" s="60">
        <f t="shared" si="68"/>
        <v>832.77083580244152</v>
      </c>
      <c r="CY104" s="60">
        <f ca="1">AVERAGE(OFFSET($CX$3,0,0,'Données projet'!$E$13+1,1))-AVERAGE(OFFSET($H$3,0,0,'Données projet'!$E$13+1,1))</f>
        <v>496.33873798282525</v>
      </c>
      <c r="CZ104" s="60">
        <f t="shared" si="96"/>
        <v>280.25465074992246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8.8675733422860506E-14</v>
      </c>
      <c r="DQ104" s="14">
        <f t="shared" si="97"/>
        <v>1.3509285393066301E-12</v>
      </c>
      <c r="DR104" s="22">
        <f t="shared" si="70"/>
        <v>2.5073107750038623E-12</v>
      </c>
      <c r="DS104" s="60">
        <f t="shared" si="71"/>
        <v>277.68039254707691</v>
      </c>
      <c r="DT104" s="60">
        <f ca="1">AVERAGE(OFFSET($DS$3,0,0,'Données projet'!$E$14+1,1))-AVERAGE(OFFSET($H$3,0,0,'Données projet'!$E$14+1,1))</f>
        <v>312.59632808777332</v>
      </c>
      <c r="DU104" s="60">
        <f t="shared" si="98"/>
        <v>302.59481222418219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3.2051282051282102</v>
      </c>
      <c r="EJ104" s="13">
        <f>IF('Données projet'!$A$192&gt;35,EJ103+EI104-ER103,IF(A104&lt;'Données projet'!$A$192,$EG$205^A104,IF(A104='Données projet'!$A$192,'Données projet'!$B$192,EJ103+EI104-ER103)))</f>
        <v>288.46153846153862</v>
      </c>
      <c r="EK104" s="18">
        <f>EJ104*VLOOKUP('Données projet'!$B$15,Paramètres!$A$1:$I$89,3,0)*VLOOKUP('Données projet'!$B$15,Paramètres!$A$1:$I$89,5,0)</f>
        <v>193.50000000000011</v>
      </c>
      <c r="EL104" s="14">
        <f t="shared" si="99"/>
        <v>48.312929194247467</v>
      </c>
      <c r="EM104" s="22">
        <f t="shared" si="73"/>
        <v>421.15751834664781</v>
      </c>
      <c r="EN104" s="60">
        <f t="shared" si="74"/>
        <v>698.83791089372221</v>
      </c>
      <c r="EO104" s="60">
        <f ca="1">AVERAGE(OFFSET($EN$3,0,0,'Données projet'!$E$15+1,1))-AVERAGE(OFFSET($H$3,0,0,'Données projet'!$E$15+1,1))</f>
        <v>344.62096650402731</v>
      </c>
      <c r="EP104" s="60">
        <f t="shared" si="100"/>
        <v>277.30931495079346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3.4106051316484809E-13</v>
      </c>
      <c r="FF104" s="18">
        <f>FE104*VLOOKUP('Données projet'!$B$16,Paramètres!$A$1:$I$89,3,0)*VLOOKUP('Données projet'!$B$16,Paramètres!$A$1:$I$89,5,0)</f>
        <v>2.9795046430081134E-13</v>
      </c>
      <c r="FG104" s="14">
        <f t="shared" si="101"/>
        <v>3.9419014464513778E-12</v>
      </c>
      <c r="FH104" s="22">
        <f t="shared" si="76"/>
        <v>7.384408744560063E-12</v>
      </c>
      <c r="FI104" s="60">
        <f t="shared" si="77"/>
        <v>277.68039254708179</v>
      </c>
      <c r="FJ104" s="60">
        <f ca="1">AVERAGE(OFFSET($FI$3,0,0,'Données projet'!$E$16+1,1))-AVERAGE(OFFSET($H$3,0,0,'Données projet'!$E$16+1,1))</f>
        <v>363.28611056308665</v>
      </c>
      <c r="FK104" s="60">
        <f t="shared" si="102"/>
        <v>389.43647559455974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4.4000000000000004</v>
      </c>
      <c r="FZ104" s="13">
        <f>IF('Données projet'!$A$244&gt;35,FZ103+FY104-GH103,IF(A104&lt;'Données projet'!$A$244,$FW$205^A104,IF(A104='Données projet'!$A$244,'Données projet'!$B$244,FZ103+FY104-GH103)))</f>
        <v>265.39999999999981</v>
      </c>
      <c r="GA104" s="18">
        <f>FZ104*VLOOKUP('Données projet'!$B$17,Paramètres!$A$1:$I$89,3,0)*VLOOKUP('Données projet'!$B$17,Paramètres!$A$1:$I$89,5,0)</f>
        <v>285.67655999999977</v>
      </c>
      <c r="GB104" s="14">
        <f t="shared" si="103"/>
        <v>68.165224308258956</v>
      </c>
      <c r="GC104" s="22">
        <f t="shared" si="79"/>
        <v>616.27444100355058</v>
      </c>
      <c r="GD104" s="60">
        <f t="shared" si="80"/>
        <v>893.95483355062493</v>
      </c>
      <c r="GE104" s="60">
        <f ca="1">AVERAGE(OFFSET($GD$3,0,0,'Données projet'!$E$17+1,1))-AVERAGE(OFFSET($H$3,0,0,'Données projet'!$E$17+1,1))</f>
        <v>542.90832990875208</v>
      </c>
      <c r="GF104" s="60">
        <f t="shared" si="104"/>
        <v>304.94365539329362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3.4106051316484809E-13</v>
      </c>
      <c r="O105" s="14">
        <f>N105*VLOOKUP('Données projet'!$B$9,Paramètres!$A$1:$I$89,3,0)*VLOOKUP('Données projet'!$B$9,Paramètres!$A$1:$I$89,5,0)</f>
        <v>2.7134774427395314E-13</v>
      </c>
      <c r="P105" s="14">
        <f t="shared" si="87"/>
        <v>3.6292411711343559E-12</v>
      </c>
      <c r="Q105" s="22">
        <f t="shared" si="107"/>
        <v>6.7935256943361388E-12</v>
      </c>
      <c r="R105" s="60">
        <f t="shared" si="55"/>
        <v>277.95193607498976</v>
      </c>
      <c r="S105" s="60">
        <f ca="1">AVERAGE(OFFSET($R$3,0,0,'Données projet'!$E$9+1,1))-AVERAGE(OFFSET($H$3,0,0,'Données projet'!$E$9+1,1))</f>
        <v>336.25341821407534</v>
      </c>
      <c r="T105" s="60">
        <f t="shared" si="88"/>
        <v>360.3246221345039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868.69924697491797</v>
      </c>
      <c r="AN105" s="60">
        <f ca="1">AVERAGE(OFFSET($AM$3,0,0,'Données projet'!$E$10+1,1))-AVERAGE(OFFSET($H$3,0,0,'Données projet'!$E$10+1,1))</f>
        <v>516.30971934066179</v>
      </c>
      <c r="AO105" s="60">
        <f t="shared" si="90"/>
        <v>290.84286505723571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0">
        <f t="shared" si="62"/>
        <v>277.95193607498976</v>
      </c>
      <c r="BI105" s="60">
        <f ca="1">AVERAGE(OFFSET($BH$3,0,0,'Données projet'!$E$11+1,1))-AVERAGE(OFFSET($H$3,0,0,'Données projet'!$E$11+1,1))</f>
        <v>336.25341821407534</v>
      </c>
      <c r="BJ105" s="60">
        <f t="shared" si="92"/>
        <v>360.3246221345039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3.0769230769230802</v>
      </c>
      <c r="BY105" s="13">
        <f>IF('Données projet'!$A$114&gt;35,BY104+BX105-CG104,IF(A105&lt;'Données projet'!$A$114,$BV$205^A105,IF(A105='Données projet'!$A$114,'Données projet'!$B$114,BY104+BX105-CG104)))</f>
        <v>228.58974358974359</v>
      </c>
      <c r="BZ105" s="14">
        <f>BY105*VLOOKUP('Données projet'!$B$12,Paramètres!$A$1:$I$89,3,0)*VLOOKUP('Données projet'!$B$12,Paramètres!$A$1:$I$89,5,0)</f>
        <v>217.52600000000001</v>
      </c>
      <c r="CA105" s="14">
        <f t="shared" si="93"/>
        <v>53.576820638117503</v>
      </c>
      <c r="CB105" s="22">
        <f t="shared" si="64"/>
        <v>472.17074594472138</v>
      </c>
      <c r="CC105" s="60">
        <f t="shared" si="65"/>
        <v>750.12268201970437</v>
      </c>
      <c r="CD105" s="60">
        <f ca="1">AVERAGE(OFFSET($CC$3,0,0,'Données projet'!$E$12+1,1))-AVERAGE(OFFSET($H$3,0,0,'Données projet'!$E$12+1,1))</f>
        <v>398.29746143975166</v>
      </c>
      <c r="CE105" s="60">
        <f t="shared" si="94"/>
        <v>300.63705521148802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260.95055999999983</v>
      </c>
      <c r="CV105" s="14">
        <f t="shared" si="95"/>
        <v>62.924955880176938</v>
      </c>
      <c r="CW105" s="22">
        <f t="shared" si="67"/>
        <v>564.08319015797451</v>
      </c>
      <c r="CX105" s="60">
        <f t="shared" si="68"/>
        <v>842.03512623295751</v>
      </c>
      <c r="CY105" s="60">
        <f ca="1">AVERAGE(OFFSET($CX$3,0,0,'Données projet'!$E$13+1,1))-AVERAGE(OFFSET($H$3,0,0,'Données projet'!$E$13+1,1))</f>
        <v>496.33873798282525</v>
      </c>
      <c r="CZ105" s="60">
        <f t="shared" si="96"/>
        <v>280.25465074992246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8.8675733422860506E-14</v>
      </c>
      <c r="DQ105" s="14">
        <f t="shared" si="97"/>
        <v>1.3509285393066301E-12</v>
      </c>
      <c r="DR105" s="22">
        <f t="shared" si="70"/>
        <v>2.5073107750038623E-12</v>
      </c>
      <c r="DS105" s="60">
        <f t="shared" si="71"/>
        <v>277.95193607498544</v>
      </c>
      <c r="DT105" s="60">
        <f ca="1">AVERAGE(OFFSET($DS$3,0,0,'Données projet'!$E$14+1,1))-AVERAGE(OFFSET($H$3,0,0,'Données projet'!$E$14+1,1))</f>
        <v>312.59632808777332</v>
      </c>
      <c r="DU105" s="60">
        <f t="shared" si="98"/>
        <v>302.59481222418219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3.2051282051282102</v>
      </c>
      <c r="EJ105" s="13">
        <f>IF('Données projet'!$A$192&gt;35,EJ104+EI105-ER104,IF(A105&lt;'Données projet'!$A$192,$EG$205^A105,IF(A105='Données projet'!$A$192,'Données projet'!$B$192,EJ104+EI105-ER104)))</f>
        <v>291.66666666666686</v>
      </c>
      <c r="EK105" s="18">
        <f>EJ105*VLOOKUP('Données projet'!$B$15,Paramètres!$A$1:$I$89,3,0)*VLOOKUP('Données projet'!$B$15,Paramètres!$A$1:$I$89,5,0)</f>
        <v>195.65000000000012</v>
      </c>
      <c r="EL105" s="14">
        <f t="shared" si="99"/>
        <v>48.786949327182981</v>
      </c>
      <c r="EM105" s="22">
        <f t="shared" si="73"/>
        <v>425.72768674484382</v>
      </c>
      <c r="EN105" s="60">
        <f t="shared" si="74"/>
        <v>703.67962281982682</v>
      </c>
      <c r="EO105" s="60">
        <f ca="1">AVERAGE(OFFSET($EN$3,0,0,'Données projet'!$E$15+1,1))-AVERAGE(OFFSET($H$3,0,0,'Données projet'!$E$15+1,1))</f>
        <v>344.62096650402731</v>
      </c>
      <c r="EP105" s="60">
        <f t="shared" si="100"/>
        <v>277.30931495079346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3.4106051316484809E-13</v>
      </c>
      <c r="FF105" s="18">
        <f>FE105*VLOOKUP('Données projet'!$B$16,Paramètres!$A$1:$I$89,3,0)*VLOOKUP('Données projet'!$B$16,Paramètres!$A$1:$I$89,5,0)</f>
        <v>2.9795046430081134E-13</v>
      </c>
      <c r="FG105" s="14">
        <f t="shared" si="101"/>
        <v>3.9419014464513778E-12</v>
      </c>
      <c r="FH105" s="22">
        <f t="shared" si="76"/>
        <v>7.384408744560063E-12</v>
      </c>
      <c r="FI105" s="60">
        <f t="shared" si="77"/>
        <v>277.95193607499033</v>
      </c>
      <c r="FJ105" s="60">
        <f ca="1">AVERAGE(OFFSET($FI$3,0,0,'Données projet'!$E$16+1,1))-AVERAGE(OFFSET($H$3,0,0,'Données projet'!$E$16+1,1))</f>
        <v>363.28611056308665</v>
      </c>
      <c r="FK105" s="60">
        <f t="shared" si="102"/>
        <v>389.43647559455974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4.4000000000000004</v>
      </c>
      <c r="FZ105" s="13">
        <f>IF('Données projet'!$A$244&gt;35,FZ104+FY105-GH104,IF(A105&lt;'Données projet'!$A$244,$FW$205^A105,IF(A105='Données projet'!$A$244,'Données projet'!$B$244,FZ104+FY105-GH104)))</f>
        <v>269.79999999999978</v>
      </c>
      <c r="GA105" s="18">
        <f>FZ105*VLOOKUP('Données projet'!$B$17,Paramètres!$A$1:$I$89,3,0)*VLOOKUP('Données projet'!$B$17,Paramètres!$A$1:$I$89,5,0)</f>
        <v>290.41271999999975</v>
      </c>
      <c r="GB105" s="14">
        <f t="shared" si="103"/>
        <v>69.162817905044719</v>
      </c>
      <c r="GC105" s="22">
        <f t="shared" si="79"/>
        <v>626.26072851795254</v>
      </c>
      <c r="GD105" s="60">
        <f t="shared" si="80"/>
        <v>904.21266459293543</v>
      </c>
      <c r="GE105" s="60">
        <f ca="1">AVERAGE(OFFSET($GD$3,0,0,'Données projet'!$E$17+1,1))-AVERAGE(OFFSET($H$3,0,0,'Données projet'!$E$17+1,1))</f>
        <v>542.90832990875208</v>
      </c>
      <c r="GF105" s="60">
        <f t="shared" si="104"/>
        <v>304.94365539329362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3.4106051316484809E-13</v>
      </c>
      <c r="O106" s="14">
        <f>N106*VLOOKUP('Données projet'!$B$9,Paramètres!$A$1:$I$89,3,0)*VLOOKUP('Données projet'!$B$9,Paramètres!$A$1:$I$89,5,0)</f>
        <v>2.7134774427395314E-13</v>
      </c>
      <c r="P106" s="14">
        <f t="shared" si="87"/>
        <v>3.6292411711343559E-12</v>
      </c>
      <c r="Q106" s="22">
        <f t="shared" si="107"/>
        <v>6.7935256943361388E-12</v>
      </c>
      <c r="R106" s="60">
        <f t="shared" si="55"/>
        <v>278.21876892976951</v>
      </c>
      <c r="S106" s="60">
        <f ca="1">AVERAGE(OFFSET($R$3,0,0,'Données projet'!$E$9+1,1))-AVERAGE(OFFSET($H$3,0,0,'Données projet'!$E$9+1,1))</f>
        <v>336.25341821407534</v>
      </c>
      <c r="T106" s="60">
        <f t="shared" si="88"/>
        <v>360.3246221345039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878.38174345870402</v>
      </c>
      <c r="AN106" s="60">
        <f ca="1">AVERAGE(OFFSET($AM$3,0,0,'Données projet'!$E$10+1,1))-AVERAGE(OFFSET($H$3,0,0,'Données projet'!$E$10+1,1))</f>
        <v>516.30971934066179</v>
      </c>
      <c r="AO106" s="60">
        <f t="shared" si="90"/>
        <v>290.84286505723571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0">
        <f t="shared" si="62"/>
        <v>278.21876892976951</v>
      </c>
      <c r="BI106" s="60">
        <f ca="1">AVERAGE(OFFSET($BH$3,0,0,'Données projet'!$E$11+1,1))-AVERAGE(OFFSET($H$3,0,0,'Données projet'!$E$11+1,1))</f>
        <v>336.25341821407534</v>
      </c>
      <c r="BJ106" s="60">
        <f t="shared" si="92"/>
        <v>360.3246221345039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3.0769230769230802</v>
      </c>
      <c r="BY106" s="13">
        <f>IF('Données projet'!$A$114&gt;35,BY105+BX106-CG105,IF(A106&lt;'Données projet'!$A$114,$BV$205^A106,IF(A106='Données projet'!$A$114,'Données projet'!$B$114,BY105+BX106-CG105)))</f>
        <v>231.66666666666669</v>
      </c>
      <c r="BZ106" s="14">
        <f>BY106*VLOOKUP('Données projet'!$B$12,Paramètres!$A$1:$I$89,3,0)*VLOOKUP('Données projet'!$B$12,Paramètres!$A$1:$I$89,5,0)</f>
        <v>220.45400000000001</v>
      </c>
      <c r="CA106" s="14">
        <f t="shared" si="93"/>
        <v>54.213548535376205</v>
      </c>
      <c r="CB106" s="22">
        <f t="shared" si="64"/>
        <v>478.37931369911365</v>
      </c>
      <c r="CC106" s="60">
        <f t="shared" si="65"/>
        <v>756.59808262887634</v>
      </c>
      <c r="CD106" s="60">
        <f ca="1">AVERAGE(OFFSET($CC$3,0,0,'Données projet'!$E$12+1,1))-AVERAGE(OFFSET($H$3,0,0,'Données projet'!$E$12+1,1))</f>
        <v>398.29746143975166</v>
      </c>
      <c r="CE106" s="60">
        <f t="shared" si="94"/>
        <v>300.63705521148802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265.20623999999975</v>
      </c>
      <c r="CV106" s="14">
        <f t="shared" si="95"/>
        <v>63.830854160896386</v>
      </c>
      <c r="CW106" s="22">
        <f t="shared" si="67"/>
        <v>573.07293899689409</v>
      </c>
      <c r="CX106" s="60">
        <f t="shared" si="68"/>
        <v>851.29170792665673</v>
      </c>
      <c r="CY106" s="60">
        <f ca="1">AVERAGE(OFFSET($CX$3,0,0,'Données projet'!$E$13+1,1))-AVERAGE(OFFSET($H$3,0,0,'Données projet'!$E$13+1,1))</f>
        <v>496.33873798282525</v>
      </c>
      <c r="CZ106" s="60">
        <f t="shared" si="96"/>
        <v>280.25465074992246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8.8675733422860506E-14</v>
      </c>
      <c r="DQ106" s="14">
        <f t="shared" si="97"/>
        <v>1.3509285393066301E-12</v>
      </c>
      <c r="DR106" s="22">
        <f t="shared" si="70"/>
        <v>2.5073107750038623E-12</v>
      </c>
      <c r="DS106" s="60">
        <f t="shared" si="71"/>
        <v>278.21876892976519</v>
      </c>
      <c r="DT106" s="60">
        <f ca="1">AVERAGE(OFFSET($DS$3,0,0,'Données projet'!$E$14+1,1))-AVERAGE(OFFSET($H$3,0,0,'Données projet'!$E$14+1,1))</f>
        <v>312.59632808777332</v>
      </c>
      <c r="DU106" s="60">
        <f t="shared" si="98"/>
        <v>302.59481222418219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3.2051282051282102</v>
      </c>
      <c r="EJ106" s="13">
        <f>IF('Données projet'!$A$192&gt;35,EJ105+EI106-ER105,IF(A106&lt;'Données projet'!$A$192,$EG$205^A106,IF(A106='Données projet'!$A$192,'Données projet'!$B$192,EJ105+EI106-ER105)))</f>
        <v>294.87179487179509</v>
      </c>
      <c r="EK106" s="18">
        <f>EJ106*VLOOKUP('Données projet'!$B$15,Paramètres!$A$1:$I$89,3,0)*VLOOKUP('Données projet'!$B$15,Paramètres!$A$1:$I$89,5,0)</f>
        <v>197.80000000000015</v>
      </c>
      <c r="EL106" s="14">
        <f t="shared" si="99"/>
        <v>49.260363505790551</v>
      </c>
      <c r="EM106" s="22">
        <f t="shared" si="73"/>
        <v>430.29679977258542</v>
      </c>
      <c r="EN106" s="60">
        <f t="shared" si="74"/>
        <v>708.51556870234811</v>
      </c>
      <c r="EO106" s="60">
        <f ca="1">AVERAGE(OFFSET($EN$3,0,0,'Données projet'!$E$15+1,1))-AVERAGE(OFFSET($H$3,0,0,'Données projet'!$E$15+1,1))</f>
        <v>344.62096650402731</v>
      </c>
      <c r="EP106" s="60">
        <f t="shared" si="100"/>
        <v>277.30931495079346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3.4106051316484809E-13</v>
      </c>
      <c r="FF106" s="18">
        <f>FE106*VLOOKUP('Données projet'!$B$16,Paramètres!$A$1:$I$89,3,0)*VLOOKUP('Données projet'!$B$16,Paramètres!$A$1:$I$89,5,0)</f>
        <v>2.9795046430081134E-13</v>
      </c>
      <c r="FG106" s="14">
        <f t="shared" si="101"/>
        <v>3.9419014464513778E-12</v>
      </c>
      <c r="FH106" s="22">
        <f t="shared" si="76"/>
        <v>7.384408744560063E-12</v>
      </c>
      <c r="FI106" s="60">
        <f t="shared" si="77"/>
        <v>278.21876892977008</v>
      </c>
      <c r="FJ106" s="60">
        <f ca="1">AVERAGE(OFFSET($FI$3,0,0,'Données projet'!$E$16+1,1))-AVERAGE(OFFSET($H$3,0,0,'Données projet'!$E$16+1,1))</f>
        <v>363.28611056308665</v>
      </c>
      <c r="FK106" s="60">
        <f t="shared" si="102"/>
        <v>389.43647559455974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4.4000000000000004</v>
      </c>
      <c r="FZ106" s="13">
        <f>IF('Données projet'!$A$244&gt;35,FZ105+FY106-GH105,IF(A106&lt;'Données projet'!$A$244,$FW$205^A106,IF(A106='Données projet'!$A$244,'Données projet'!$B$244,FZ105+FY106-GH105)))</f>
        <v>274.19999999999976</v>
      </c>
      <c r="GA106" s="18">
        <f>FZ106*VLOOKUP('Données projet'!$B$17,Paramètres!$A$1:$I$89,3,0)*VLOOKUP('Données projet'!$B$17,Paramètres!$A$1:$I$89,5,0)</f>
        <v>295.14887999999974</v>
      </c>
      <c r="GB106" s="14">
        <f t="shared" si="103"/>
        <v>70.158519482479349</v>
      </c>
      <c r="GC106" s="22">
        <f t="shared" si="79"/>
        <v>636.24372076531768</v>
      </c>
      <c r="GD106" s="60">
        <f t="shared" si="80"/>
        <v>914.46248969508042</v>
      </c>
      <c r="GE106" s="60">
        <f ca="1">AVERAGE(OFFSET($GD$3,0,0,'Données projet'!$E$17+1,1))-AVERAGE(OFFSET($H$3,0,0,'Données projet'!$E$17+1,1))</f>
        <v>542.90832990875208</v>
      </c>
      <c r="GF106" s="60">
        <f t="shared" si="104"/>
        <v>304.94365539329362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3.4106051316484809E-13</v>
      </c>
      <c r="O107" s="14">
        <f>N107*VLOOKUP('Données projet'!$B$9,Paramètres!$A$1:$I$89,3,0)*VLOOKUP('Données projet'!$B$9,Paramètres!$A$1:$I$89,5,0)</f>
        <v>2.7134774427395314E-13</v>
      </c>
      <c r="P107" s="14">
        <f t="shared" si="87"/>
        <v>3.6292411711343559E-12</v>
      </c>
      <c r="Q107" s="22">
        <f t="shared" si="107"/>
        <v>6.7935256943361388E-12</v>
      </c>
      <c r="R107" s="60">
        <f t="shared" si="55"/>
        <v>278.48097283106773</v>
      </c>
      <c r="S107" s="60">
        <f ca="1">AVERAGE(OFFSET($R$3,0,0,'Données projet'!$E$9+1,1))-AVERAGE(OFFSET($H$3,0,0,'Données projet'!$E$9+1,1))</f>
        <v>336.25341821407534</v>
      </c>
      <c r="T107" s="60">
        <f t="shared" si="88"/>
        <v>360.3246221345039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888.05654104961809</v>
      </c>
      <c r="AN107" s="60">
        <f ca="1">AVERAGE(OFFSET($AM$3,0,0,'Données projet'!$E$10+1,1))-AVERAGE(OFFSET($H$3,0,0,'Données projet'!$E$10+1,1))</f>
        <v>516.30971934066179</v>
      </c>
      <c r="AO107" s="60">
        <f t="shared" si="90"/>
        <v>290.84286505723571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0">
        <f t="shared" si="62"/>
        <v>278.48097283106773</v>
      </c>
      <c r="BI107" s="60">
        <f ca="1">AVERAGE(OFFSET($BH$3,0,0,'Données projet'!$E$11+1,1))-AVERAGE(OFFSET($H$3,0,0,'Données projet'!$E$11+1,1))</f>
        <v>336.25341821407534</v>
      </c>
      <c r="BJ107" s="60">
        <f t="shared" si="92"/>
        <v>360.3246221345039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3.0769230769230802</v>
      </c>
      <c r="BY107" s="13">
        <f>IF('Données projet'!$A$114&gt;35,BY106+BX107-CG106,IF(A107&lt;'Données projet'!$A$114,$BV$205^A107,IF(A107='Données projet'!$A$114,'Données projet'!$B$114,BY106+BX107-CG106)))</f>
        <v>234.74358974358978</v>
      </c>
      <c r="BZ107" s="14">
        <f>BY107*VLOOKUP('Données projet'!$B$12,Paramètres!$A$1:$I$89,3,0)*VLOOKUP('Données projet'!$B$12,Paramètres!$A$1:$I$89,5,0)</f>
        <v>223.38200000000003</v>
      </c>
      <c r="CA107" s="14">
        <f t="shared" si="93"/>
        <v>54.849292789000252</v>
      </c>
      <c r="CB107" s="22">
        <f t="shared" si="64"/>
        <v>484.58616827417546</v>
      </c>
      <c r="CC107" s="60">
        <f t="shared" si="65"/>
        <v>763.06714110523637</v>
      </c>
      <c r="CD107" s="60">
        <f ca="1">AVERAGE(OFFSET($CC$3,0,0,'Données projet'!$E$12+1,1))-AVERAGE(OFFSET($H$3,0,0,'Données projet'!$E$12+1,1))</f>
        <v>398.29746143975166</v>
      </c>
      <c r="CE107" s="60">
        <f t="shared" si="94"/>
        <v>300.63705521148802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269.46191999999974</v>
      </c>
      <c r="CV107" s="14">
        <f t="shared" si="95"/>
        <v>64.735061876839055</v>
      </c>
      <c r="CW107" s="22">
        <f t="shared" si="67"/>
        <v>582.05974343549417</v>
      </c>
      <c r="CX107" s="60">
        <f t="shared" si="68"/>
        <v>860.54071626655514</v>
      </c>
      <c r="CY107" s="60">
        <f ca="1">AVERAGE(OFFSET($CX$3,0,0,'Données projet'!$E$13+1,1))-AVERAGE(OFFSET($H$3,0,0,'Données projet'!$E$13+1,1))</f>
        <v>496.33873798282525</v>
      </c>
      <c r="CZ107" s="60">
        <f t="shared" si="96"/>
        <v>280.25465074992246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8.8675733422860506E-14</v>
      </c>
      <c r="DQ107" s="14">
        <f t="shared" si="97"/>
        <v>1.3509285393066301E-12</v>
      </c>
      <c r="DR107" s="22">
        <f t="shared" si="70"/>
        <v>2.5073107750038623E-12</v>
      </c>
      <c r="DS107" s="60">
        <f t="shared" si="71"/>
        <v>278.48097283106341</v>
      </c>
      <c r="DT107" s="60">
        <f ca="1">AVERAGE(OFFSET($DS$3,0,0,'Données projet'!$E$14+1,1))-AVERAGE(OFFSET($H$3,0,0,'Données projet'!$E$14+1,1))</f>
        <v>312.59632808777332</v>
      </c>
      <c r="DU107" s="60">
        <f t="shared" si="98"/>
        <v>302.59481222418219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3.2051282051282102</v>
      </c>
      <c r="EJ107" s="13">
        <f>IF('Données projet'!$A$192&gt;35,EJ106+EI107-ER106,IF(A107&lt;'Données projet'!$A$192,$EG$205^A107,IF(A107='Données projet'!$A$192,'Données projet'!$B$192,EJ106+EI107-ER106)))</f>
        <v>298.07692307692332</v>
      </c>
      <c r="EK107" s="18">
        <f>EJ107*VLOOKUP('Données projet'!$B$15,Paramètres!$A$1:$I$89,3,0)*VLOOKUP('Données projet'!$B$15,Paramètres!$A$1:$I$89,5,0)</f>
        <v>199.95000000000016</v>
      </c>
      <c r="EL107" s="14">
        <f t="shared" si="99"/>
        <v>49.733179078835313</v>
      </c>
      <c r="EM107" s="22">
        <f t="shared" si="73"/>
        <v>434.86487022897177</v>
      </c>
      <c r="EN107" s="60">
        <f t="shared" si="74"/>
        <v>713.34584306003262</v>
      </c>
      <c r="EO107" s="60">
        <f ca="1">AVERAGE(OFFSET($EN$3,0,0,'Données projet'!$E$15+1,1))-AVERAGE(OFFSET($H$3,0,0,'Données projet'!$E$15+1,1))</f>
        <v>344.62096650402731</v>
      </c>
      <c r="EP107" s="60">
        <f t="shared" si="100"/>
        <v>277.30931495079346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3.4106051316484809E-13</v>
      </c>
      <c r="FF107" s="18">
        <f>FE107*VLOOKUP('Données projet'!$B$16,Paramètres!$A$1:$I$89,3,0)*VLOOKUP('Données projet'!$B$16,Paramètres!$A$1:$I$89,5,0)</f>
        <v>2.9795046430081134E-13</v>
      </c>
      <c r="FG107" s="14">
        <f t="shared" si="101"/>
        <v>3.9419014464513778E-12</v>
      </c>
      <c r="FH107" s="22">
        <f t="shared" si="76"/>
        <v>7.384408744560063E-12</v>
      </c>
      <c r="FI107" s="60">
        <f t="shared" si="77"/>
        <v>278.4809728310683</v>
      </c>
      <c r="FJ107" s="60">
        <f ca="1">AVERAGE(OFFSET($FI$3,0,0,'Données projet'!$E$16+1,1))-AVERAGE(OFFSET($H$3,0,0,'Données projet'!$E$16+1,1))</f>
        <v>363.28611056308665</v>
      </c>
      <c r="FK107" s="60">
        <f t="shared" si="102"/>
        <v>389.43647559455974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4.4000000000000004</v>
      </c>
      <c r="FZ107" s="13">
        <f>IF('Données projet'!$A$244&gt;35,FZ106+FY107-GH106,IF(A107&lt;'Données projet'!$A$244,$FW$205^A107,IF(A107='Données projet'!$A$244,'Données projet'!$B$244,FZ106+FY107-GH106)))</f>
        <v>278.59999999999974</v>
      </c>
      <c r="GA107" s="18">
        <f>FZ107*VLOOKUP('Données projet'!$B$17,Paramètres!$A$1:$I$89,3,0)*VLOOKUP('Données projet'!$B$17,Paramètres!$A$1:$I$89,5,0)</f>
        <v>299.88503999999972</v>
      </c>
      <c r="GB107" s="14">
        <f t="shared" si="103"/>
        <v>71.152362906464575</v>
      </c>
      <c r="GC107" s="22">
        <f t="shared" si="79"/>
        <v>646.22347672875867</v>
      </c>
      <c r="GD107" s="60">
        <f t="shared" si="80"/>
        <v>924.70444955981952</v>
      </c>
      <c r="GE107" s="60">
        <f ca="1">AVERAGE(OFFSET($GD$3,0,0,'Données projet'!$E$17+1,1))-AVERAGE(OFFSET($H$3,0,0,'Données projet'!$E$17+1,1))</f>
        <v>542.90832990875208</v>
      </c>
      <c r="GF107" s="60">
        <f t="shared" si="104"/>
        <v>304.94365539329362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3.4106051316484809E-13</v>
      </c>
      <c r="O108" s="14">
        <f>N108*VLOOKUP('Données projet'!$B$9,Paramètres!$A$1:$I$89,3,0)*VLOOKUP('Données projet'!$B$9,Paramètres!$A$1:$I$89,5,0)</f>
        <v>2.7134774427395314E-13</v>
      </c>
      <c r="P108" s="14">
        <f t="shared" si="87"/>
        <v>3.6292411711343559E-12</v>
      </c>
      <c r="Q108" s="22">
        <f t="shared" si="107"/>
        <v>6.7935256943361388E-12</v>
      </c>
      <c r="R108" s="60">
        <f t="shared" si="55"/>
        <v>278.73862808087858</v>
      </c>
      <c r="S108" s="60">
        <f ca="1">AVERAGE(OFFSET($R$3,0,0,'Données projet'!$E$9+1,1))-AVERAGE(OFFSET($H$3,0,0,'Données projet'!$E$9+1,1))</f>
        <v>336.25341821407534</v>
      </c>
      <c r="T108" s="60">
        <f t="shared" si="88"/>
        <v>360.3246221345039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897.72377413236313</v>
      </c>
      <c r="AN108" s="60">
        <f ca="1">AVERAGE(OFFSET($AM$3,0,0,'Données projet'!$E$10+1,1))-AVERAGE(OFFSET($H$3,0,0,'Données projet'!$E$10+1,1))</f>
        <v>516.30971934066179</v>
      </c>
      <c r="AO108" s="60">
        <f t="shared" si="90"/>
        <v>290.84286505723571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0">
        <f t="shared" si="62"/>
        <v>278.73862808087858</v>
      </c>
      <c r="BI108" s="60">
        <f ca="1">AVERAGE(OFFSET($BH$3,0,0,'Données projet'!$E$11+1,1))-AVERAGE(OFFSET($H$3,0,0,'Données projet'!$E$11+1,1))</f>
        <v>336.25341821407534</v>
      </c>
      <c r="BJ108" s="60">
        <f t="shared" si="92"/>
        <v>360.3246221345039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3.0769230769230802</v>
      </c>
      <c r="BY108" s="13">
        <f>IF('Données projet'!$A$114&gt;35,BY107+BX108-CG107,IF(A108&lt;'Données projet'!$A$114,$BV$205^A108,IF(A108='Données projet'!$A$114,'Données projet'!$B$114,BY107+BX108-CG107)))</f>
        <v>237.82051282051287</v>
      </c>
      <c r="BZ108" s="14">
        <f>BY108*VLOOKUP('Données projet'!$B$12,Paramètres!$A$1:$I$89,3,0)*VLOOKUP('Données projet'!$B$12,Paramètres!$A$1:$I$89,5,0)</f>
        <v>226.31000000000006</v>
      </c>
      <c r="CA108" s="14">
        <f t="shared" si="93"/>
        <v>55.484067782810527</v>
      </c>
      <c r="CB108" s="22">
        <f t="shared" si="64"/>
        <v>490.79133472172845</v>
      </c>
      <c r="CC108" s="60">
        <f t="shared" si="65"/>
        <v>769.52996280260027</v>
      </c>
      <c r="CD108" s="60">
        <f ca="1">AVERAGE(OFFSET($CC$3,0,0,'Données projet'!$E$12+1,1))-AVERAGE(OFFSET($H$3,0,0,'Données projet'!$E$12+1,1))</f>
        <v>398.29746143975166</v>
      </c>
      <c r="CE108" s="60">
        <f t="shared" si="94"/>
        <v>300.63705521148802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273.71759999999972</v>
      </c>
      <c r="CV108" s="14">
        <f t="shared" si="95"/>
        <v>65.637608810456612</v>
      </c>
      <c r="CW108" s="22">
        <f t="shared" si="67"/>
        <v>591.04365534487806</v>
      </c>
      <c r="CX108" s="60">
        <f t="shared" si="68"/>
        <v>869.78228342574982</v>
      </c>
      <c r="CY108" s="60">
        <f ca="1">AVERAGE(OFFSET($CX$3,0,0,'Données projet'!$E$13+1,1))-AVERAGE(OFFSET($H$3,0,0,'Données projet'!$E$13+1,1))</f>
        <v>496.33873798282525</v>
      </c>
      <c r="CZ108" s="60">
        <f t="shared" si="96"/>
        <v>280.25465074992246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8.8675733422860506E-14</v>
      </c>
      <c r="DQ108" s="14">
        <f t="shared" si="97"/>
        <v>1.3509285393066301E-12</v>
      </c>
      <c r="DR108" s="22">
        <f t="shared" si="70"/>
        <v>2.5073107750038623E-12</v>
      </c>
      <c r="DS108" s="60">
        <f t="shared" si="71"/>
        <v>278.73862808087426</v>
      </c>
      <c r="DT108" s="60">
        <f ca="1">AVERAGE(OFFSET($DS$3,0,0,'Données projet'!$E$14+1,1))-AVERAGE(OFFSET($H$3,0,0,'Données projet'!$E$14+1,1))</f>
        <v>312.59632808777332</v>
      </c>
      <c r="DU108" s="60">
        <f t="shared" si="98"/>
        <v>302.59481222418219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301.28205128205127</v>
      </c>
      <c r="EH108" s="13">
        <f>VLOOKUP(A108,'Données projet'!$A$191:$I$211,9,0)</f>
        <v>3.2051282051282102</v>
      </c>
      <c r="EI108" s="13">
        <f t="array" ref="EI108">INDEX(EH:EH,MIN(IF(ISNUMBER(EH108:EH304),ROW(EH108:EH304),"")))</f>
        <v>3.2051282051282102</v>
      </c>
      <c r="EJ108" s="13">
        <f>IF('Données projet'!$A$192&gt;35,EJ107+EI108-ER107,IF(A108&lt;'Données projet'!$A$192,$EG$205^A108,IF(A108='Données projet'!$A$192,'Données projet'!$B$192,EJ107+EI108-ER107)))</f>
        <v>301.28205128205155</v>
      </c>
      <c r="EK108" s="18">
        <f>EJ108*VLOOKUP('Données projet'!$B$15,Paramètres!$A$1:$I$89,3,0)*VLOOKUP('Données projet'!$B$15,Paramètres!$A$1:$I$89,5,0)</f>
        <v>202.10000000000016</v>
      </c>
      <c r="EL108" s="14">
        <f t="shared" si="99"/>
        <v>50.205403227941737</v>
      </c>
      <c r="EM108" s="22">
        <f t="shared" si="73"/>
        <v>439.43191062199884</v>
      </c>
      <c r="EN108" s="60">
        <f t="shared" si="74"/>
        <v>718.17053870287054</v>
      </c>
      <c r="EO108" s="60">
        <f ca="1">AVERAGE(OFFSET($EN$3,0,0,'Données projet'!$E$15+1,1))-AVERAGE(OFFSET($H$3,0,0,'Données projet'!$E$15+1,1))</f>
        <v>344.62096650402731</v>
      </c>
      <c r="EP108" s="60">
        <f t="shared" si="100"/>
        <v>277.30931495079346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3.4106051316484809E-13</v>
      </c>
      <c r="FF108" s="18">
        <f>FE108*VLOOKUP('Données projet'!$B$16,Paramètres!$A$1:$I$89,3,0)*VLOOKUP('Données projet'!$B$16,Paramètres!$A$1:$I$89,5,0)</f>
        <v>2.9795046430081134E-13</v>
      </c>
      <c r="FG108" s="14">
        <f t="shared" si="101"/>
        <v>3.9419014464513778E-12</v>
      </c>
      <c r="FH108" s="22">
        <f t="shared" si="76"/>
        <v>7.384408744560063E-12</v>
      </c>
      <c r="FI108" s="60">
        <f t="shared" si="77"/>
        <v>278.73862808087915</v>
      </c>
      <c r="FJ108" s="60">
        <f ca="1">AVERAGE(OFFSET($FI$3,0,0,'Données projet'!$E$16+1,1))-AVERAGE(OFFSET($H$3,0,0,'Données projet'!$E$16+1,1))</f>
        <v>363.28611056308665</v>
      </c>
      <c r="FK108" s="60">
        <f t="shared" si="102"/>
        <v>389.43647559455974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4.4000000000000004</v>
      </c>
      <c r="FZ108" s="13">
        <f>IF('Données projet'!$A$244&gt;35,FZ107+FY108-GH107,IF(A108&lt;'Données projet'!$A$244,$FW$205^A108,IF(A108='Données projet'!$A$244,'Données projet'!$B$244,FZ107+FY108-GH107)))</f>
        <v>282.99999999999972</v>
      </c>
      <c r="GA108" s="18">
        <f>FZ108*VLOOKUP('Données projet'!$B$17,Paramètres!$A$1:$I$89,3,0)*VLOOKUP('Données projet'!$B$17,Paramètres!$A$1:$I$89,5,0)</f>
        <v>304.62119999999965</v>
      </c>
      <c r="GB108" s="14">
        <f t="shared" si="103"/>
        <v>72.144380911839335</v>
      </c>
      <c r="GC108" s="22">
        <f t="shared" si="79"/>
        <v>656.20005342145294</v>
      </c>
      <c r="GD108" s="60">
        <f t="shared" si="80"/>
        <v>934.9386815023247</v>
      </c>
      <c r="GE108" s="60">
        <f ca="1">AVERAGE(OFFSET($GD$3,0,0,'Données projet'!$E$17+1,1))-AVERAGE(OFFSET($H$3,0,0,'Données projet'!$E$17+1,1))</f>
        <v>542.90832990875208</v>
      </c>
      <c r="GF108" s="60">
        <f t="shared" si="104"/>
        <v>304.94365539329362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2.7134774427395314E-13</v>
      </c>
      <c r="P109" s="14">
        <f t="shared" si="87"/>
        <v>3.6292411711343559E-12</v>
      </c>
      <c r="Q109" s="22">
        <f t="shared" si="107"/>
        <v>6.7935256943361388E-12</v>
      </c>
      <c r="R109" s="60">
        <f t="shared" si="55"/>
        <v>278.99181358813593</v>
      </c>
      <c r="S109" s="60">
        <f ca="1">AVERAGE(OFFSET($R$3,0,0,'Données projet'!$E$9+1,1))-AVERAGE(OFFSET($H$3,0,0,'Données projet'!$E$9+1,1))</f>
        <v>336.25341821407534</v>
      </c>
      <c r="T109" s="60">
        <f t="shared" si="88"/>
        <v>360.3246221345039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907.38357392037642</v>
      </c>
      <c r="AN109" s="60">
        <f ca="1">AVERAGE(OFFSET($AM$3,0,0,'Données projet'!$E$10+1,1))-AVERAGE(OFFSET($H$3,0,0,'Données projet'!$E$10+1,1))</f>
        <v>516.30971934066179</v>
      </c>
      <c r="AO109" s="60">
        <f t="shared" si="90"/>
        <v>290.84286505723571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0">
        <f t="shared" si="62"/>
        <v>278.99181358813593</v>
      </c>
      <c r="BI109" s="60">
        <f ca="1">AVERAGE(OFFSET($BH$3,0,0,'Données projet'!$E$11+1,1))-AVERAGE(OFFSET($H$3,0,0,'Données projet'!$E$11+1,1))</f>
        <v>336.25341821407534</v>
      </c>
      <c r="BJ109" s="60">
        <f t="shared" si="92"/>
        <v>360.3246221345039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3.0769230769230802</v>
      </c>
      <c r="BY109" s="13">
        <f>IF('Données projet'!$A$114&gt;35,BY108+BX109-CG108,IF(A109&lt;'Données projet'!$A$114,$BV$205^A109,IF(A109='Données projet'!$A$114,'Données projet'!$B$114,BY108+BX109-CG108)))</f>
        <v>240.89743589743597</v>
      </c>
      <c r="BZ109" s="14">
        <f>BY109*VLOOKUP('Données projet'!$B$12,Paramètres!$A$1:$I$89,3,0)*VLOOKUP('Données projet'!$B$12,Paramètres!$A$1:$I$89,5,0)</f>
        <v>229.23800000000008</v>
      </c>
      <c r="CA109" s="14">
        <f t="shared" si="93"/>
        <v>56.117887507033878</v>
      </c>
      <c r="CB109" s="22">
        <f t="shared" si="64"/>
        <v>496.99483740808415</v>
      </c>
      <c r="CC109" s="60">
        <f t="shared" si="65"/>
        <v>775.98665099621326</v>
      </c>
      <c r="CD109" s="60">
        <f ca="1">AVERAGE(OFFSET($CC$3,0,0,'Données projet'!$E$12+1,1))-AVERAGE(OFFSET($H$3,0,0,'Données projet'!$E$12+1,1))</f>
        <v>398.29746143975166</v>
      </c>
      <c r="CE109" s="60">
        <f t="shared" si="94"/>
        <v>300.63705521148802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277.9732799999997</v>
      </c>
      <c r="CV109" s="14">
        <f t="shared" si="95"/>
        <v>66.538523764973135</v>
      </c>
      <c r="CW109" s="22">
        <f t="shared" si="67"/>
        <v>600.0247248906611</v>
      </c>
      <c r="CX109" s="60">
        <f t="shared" si="68"/>
        <v>879.01653847879015</v>
      </c>
      <c r="CY109" s="60">
        <f ca="1">AVERAGE(OFFSET($CX$3,0,0,'Données projet'!$E$13+1,1))-AVERAGE(OFFSET($H$3,0,0,'Données projet'!$E$13+1,1))</f>
        <v>496.33873798282525</v>
      </c>
      <c r="CZ109" s="60">
        <f t="shared" si="96"/>
        <v>280.25465074992246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8.8675733422860506E-14</v>
      </c>
      <c r="DQ109" s="14">
        <f t="shared" si="97"/>
        <v>1.3509285393066301E-12</v>
      </c>
      <c r="DR109" s="22">
        <f t="shared" si="70"/>
        <v>2.5073107750038623E-12</v>
      </c>
      <c r="DS109" s="60">
        <f t="shared" si="71"/>
        <v>278.99181358813161</v>
      </c>
      <c r="DT109" s="60">
        <f ca="1">AVERAGE(OFFSET($DS$3,0,0,'Données projet'!$E$14+1,1))-AVERAGE(OFFSET($H$3,0,0,'Données projet'!$E$14+1,1))</f>
        <v>312.59632808777332</v>
      </c>
      <c r="DU109" s="60">
        <f t="shared" si="98"/>
        <v>302.59481222418219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3.333333333333337</v>
      </c>
      <c r="EJ109" s="13">
        <f>IF('Données projet'!$A$192&gt;35,EJ108+EI109-ER108,IF(A109&lt;'Données projet'!$A$192,$EG$205^A109,IF(A109='Données projet'!$A$192,'Données projet'!$B$192,EJ108+EI109-ER108)))</f>
        <v>304.61538461538487</v>
      </c>
      <c r="EK109" s="18">
        <f>EJ109*VLOOKUP('Données projet'!$B$15,Paramètres!$A$1:$I$89,3,0)*VLOOKUP('Données projet'!$B$15,Paramètres!$A$1:$I$89,5,0)</f>
        <v>204.33600000000018</v>
      </c>
      <c r="EL109" s="14">
        <f t="shared" si="99"/>
        <v>50.695896504938347</v>
      </c>
      <c r="EM109" s="22">
        <f t="shared" si="73"/>
        <v>444.18055307943456</v>
      </c>
      <c r="EN109" s="60">
        <f t="shared" si="74"/>
        <v>723.17236666756367</v>
      </c>
      <c r="EO109" s="60">
        <f ca="1">AVERAGE(OFFSET($EN$3,0,0,'Données projet'!$E$15+1,1))-AVERAGE(OFFSET($H$3,0,0,'Données projet'!$E$15+1,1))</f>
        <v>344.62096650402731</v>
      </c>
      <c r="EP109" s="60">
        <f t="shared" si="100"/>
        <v>277.30931495079346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3.4106051316484809E-13</v>
      </c>
      <c r="FF109" s="18">
        <f>FE109*VLOOKUP('Données projet'!$B$16,Paramètres!$A$1:$I$89,3,0)*VLOOKUP('Données projet'!$B$16,Paramètres!$A$1:$I$89,5,0)</f>
        <v>2.9795046430081134E-13</v>
      </c>
      <c r="FG109" s="14">
        <f t="shared" si="101"/>
        <v>3.9419014464513778E-12</v>
      </c>
      <c r="FH109" s="22">
        <f t="shared" si="76"/>
        <v>7.384408744560063E-12</v>
      </c>
      <c r="FI109" s="60">
        <f t="shared" si="77"/>
        <v>278.99181358813649</v>
      </c>
      <c r="FJ109" s="60">
        <f ca="1">AVERAGE(OFFSET($FI$3,0,0,'Données projet'!$E$16+1,1))-AVERAGE(OFFSET($H$3,0,0,'Données projet'!$E$16+1,1))</f>
        <v>363.28611056308665</v>
      </c>
      <c r="FK109" s="60">
        <f t="shared" si="102"/>
        <v>389.43647559455974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4.4000000000000004</v>
      </c>
      <c r="FZ109" s="13">
        <f>IF('Données projet'!$A$244&gt;35,FZ108+FY109-GH108,IF(A109&lt;'Données projet'!$A$244,$FW$205^A109,IF(A109='Données projet'!$A$244,'Données projet'!$B$244,FZ108+FY109-GH108)))</f>
        <v>287.39999999999969</v>
      </c>
      <c r="GA109" s="18">
        <f>FZ109*VLOOKUP('Données projet'!$B$17,Paramètres!$A$1:$I$89,3,0)*VLOOKUP('Données projet'!$B$17,Paramètres!$A$1:$I$89,5,0)</f>
        <v>309.35735999999969</v>
      </c>
      <c r="GB109" s="14">
        <f t="shared" si="103"/>
        <v>73.134605157142161</v>
      </c>
      <c r="GC109" s="22">
        <f t="shared" si="79"/>
        <v>666.17350598202211</v>
      </c>
      <c r="GD109" s="60">
        <f t="shared" si="80"/>
        <v>945.16531957015127</v>
      </c>
      <c r="GE109" s="60">
        <f ca="1">AVERAGE(OFFSET($GD$3,0,0,'Données projet'!$E$17+1,1))-AVERAGE(OFFSET($H$3,0,0,'Données projet'!$E$17+1,1))</f>
        <v>542.90832990875208</v>
      </c>
      <c r="GF109" s="60">
        <f t="shared" si="104"/>
        <v>304.94365539329362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2.7134774427395314E-13</v>
      </c>
      <c r="P110" s="14">
        <f t="shared" si="87"/>
        <v>3.6292411711343559E-12</v>
      </c>
      <c r="Q110" s="22">
        <f t="shared" si="107"/>
        <v>6.7935256943361388E-12</v>
      </c>
      <c r="R110" s="60">
        <f t="shared" si="55"/>
        <v>279.24060689288046</v>
      </c>
      <c r="S110" s="60">
        <f ca="1">AVERAGE(OFFSET($R$3,0,0,'Données projet'!$E$9+1,1))-AVERAGE(OFFSET($H$3,0,0,'Données projet'!$E$9+1,1))</f>
        <v>336.25341821407534</v>
      </c>
      <c r="T110" s="60">
        <f t="shared" si="88"/>
        <v>360.3246221345039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917.03606856477609</v>
      </c>
      <c r="AN110" s="60">
        <f ca="1">AVERAGE(OFFSET($AM$3,0,0,'Données projet'!$E$10+1,1))-AVERAGE(OFFSET($H$3,0,0,'Données projet'!$E$10+1,1))</f>
        <v>516.30971934066179</v>
      </c>
      <c r="AO110" s="60">
        <f t="shared" si="90"/>
        <v>290.84286505723571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0">
        <f t="shared" si="62"/>
        <v>279.24060689288046</v>
      </c>
      <c r="BI110" s="60">
        <f ca="1">AVERAGE(OFFSET($BH$3,0,0,'Données projet'!$E$11+1,1))-AVERAGE(OFFSET($H$3,0,0,'Données projet'!$E$11+1,1))</f>
        <v>336.25341821407534</v>
      </c>
      <c r="BJ110" s="60">
        <f t="shared" si="92"/>
        <v>360.3246221345039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3.0769230769230802</v>
      </c>
      <c r="BY110" s="13">
        <f>IF('Données projet'!$A$114&gt;35,BY109+BX110-CG109,IF(A110&lt;'Données projet'!$A$114,$BV$205^A110,IF(A110='Données projet'!$A$114,'Données projet'!$B$114,BY109+BX110-CG109)))</f>
        <v>243.97435897435906</v>
      </c>
      <c r="BZ110" s="14">
        <f>BY110*VLOOKUP('Données projet'!$B$12,Paramètres!$A$1:$I$89,3,0)*VLOOKUP('Données projet'!$B$12,Paramètres!$A$1:$I$89,5,0)</f>
        <v>232.16600000000008</v>
      </c>
      <c r="CA110" s="14">
        <f t="shared" si="93"/>
        <v>56.750765573960223</v>
      </c>
      <c r="CB110" s="22">
        <f t="shared" si="64"/>
        <v>503.19670004131422</v>
      </c>
      <c r="CC110" s="60">
        <f t="shared" si="65"/>
        <v>782.43730693418786</v>
      </c>
      <c r="CD110" s="60">
        <f ca="1">AVERAGE(OFFSET($CC$3,0,0,'Données projet'!$E$12+1,1))-AVERAGE(OFFSET($H$3,0,0,'Données projet'!$E$12+1,1))</f>
        <v>398.29746143975166</v>
      </c>
      <c r="CE110" s="60">
        <f t="shared" si="94"/>
        <v>300.63705521148802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282.22895999999969</v>
      </c>
      <c r="CV110" s="14">
        <f t="shared" si="95"/>
        <v>67.437834611070301</v>
      </c>
      <c r="CW110" s="22">
        <f t="shared" si="67"/>
        <v>609.00300061428027</v>
      </c>
      <c r="CX110" s="60">
        <f t="shared" si="68"/>
        <v>888.24360750715391</v>
      </c>
      <c r="CY110" s="60">
        <f ca="1">AVERAGE(OFFSET($CX$3,0,0,'Données projet'!$E$13+1,1))-AVERAGE(OFFSET($H$3,0,0,'Données projet'!$E$13+1,1))</f>
        <v>496.33873798282525</v>
      </c>
      <c r="CZ110" s="60">
        <f t="shared" si="96"/>
        <v>280.25465074992246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8.8675733422860506E-14</v>
      </c>
      <c r="DQ110" s="14">
        <f t="shared" si="97"/>
        <v>1.3509285393066301E-12</v>
      </c>
      <c r="DR110" s="22">
        <f t="shared" si="70"/>
        <v>2.5073107750038623E-12</v>
      </c>
      <c r="DS110" s="60">
        <f t="shared" si="71"/>
        <v>279.24060689287614</v>
      </c>
      <c r="DT110" s="60">
        <f ca="1">AVERAGE(OFFSET($DS$3,0,0,'Données projet'!$E$14+1,1))-AVERAGE(OFFSET($H$3,0,0,'Données projet'!$E$14+1,1))</f>
        <v>312.59632808777332</v>
      </c>
      <c r="DU110" s="60">
        <f t="shared" si="98"/>
        <v>302.59481222418219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3.333333333333337</v>
      </c>
      <c r="EJ110" s="13">
        <f>IF('Données projet'!$A$192&gt;35,EJ109+EI110-ER109,IF(A110&lt;'Données projet'!$A$192,$EG$205^A110,IF(A110='Données projet'!$A$192,'Données projet'!$B$192,EJ109+EI110-ER109)))</f>
        <v>307.94871794871818</v>
      </c>
      <c r="EK110" s="18">
        <f>EJ110*VLOOKUP('Données projet'!$B$15,Paramètres!$A$1:$I$89,3,0)*VLOOKUP('Données projet'!$B$15,Paramètres!$A$1:$I$89,5,0)</f>
        <v>206.57200000000014</v>
      </c>
      <c r="EL110" s="14">
        <f t="shared" si="99"/>
        <v>51.185765406859268</v>
      </c>
      <c r="EM110" s="22">
        <f t="shared" si="73"/>
        <v>448.92810808361338</v>
      </c>
      <c r="EN110" s="60">
        <f t="shared" si="74"/>
        <v>728.16871497648708</v>
      </c>
      <c r="EO110" s="60">
        <f ca="1">AVERAGE(OFFSET($EN$3,0,0,'Données projet'!$E$15+1,1))-AVERAGE(OFFSET($H$3,0,0,'Données projet'!$E$15+1,1))</f>
        <v>344.62096650402731</v>
      </c>
      <c r="EP110" s="60">
        <f t="shared" si="100"/>
        <v>277.30931495079346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3.4106051316484809E-13</v>
      </c>
      <c r="FF110" s="18">
        <f>FE110*VLOOKUP('Données projet'!$B$16,Paramètres!$A$1:$I$89,3,0)*VLOOKUP('Données projet'!$B$16,Paramètres!$A$1:$I$89,5,0)</f>
        <v>2.9795046430081134E-13</v>
      </c>
      <c r="FG110" s="14">
        <f t="shared" si="101"/>
        <v>3.9419014464513778E-12</v>
      </c>
      <c r="FH110" s="22">
        <f t="shared" si="76"/>
        <v>7.384408744560063E-12</v>
      </c>
      <c r="FI110" s="60">
        <f t="shared" si="77"/>
        <v>279.24060689288103</v>
      </c>
      <c r="FJ110" s="60">
        <f ca="1">AVERAGE(OFFSET($FI$3,0,0,'Données projet'!$E$16+1,1))-AVERAGE(OFFSET($H$3,0,0,'Données projet'!$E$16+1,1))</f>
        <v>363.28611056308665</v>
      </c>
      <c r="FK110" s="60">
        <f t="shared" si="102"/>
        <v>389.43647559455974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4.4000000000000004</v>
      </c>
      <c r="FZ110" s="13">
        <f>IF('Données projet'!$A$244&gt;35,FZ109+FY110-GH109,IF(A110&lt;'Données projet'!$A$244,$FW$205^A110,IF(A110='Données projet'!$A$244,'Données projet'!$B$244,FZ109+FY110-GH109)))</f>
        <v>291.79999999999967</v>
      </c>
      <c r="GA110" s="18">
        <f>FZ110*VLOOKUP('Données projet'!$B$17,Paramètres!$A$1:$I$89,3,0)*VLOOKUP('Données projet'!$B$17,Paramètres!$A$1:$I$89,5,0)</f>
        <v>314.09351999999961</v>
      </c>
      <c r="GB110" s="14">
        <f t="shared" si="103"/>
        <v>74.123066275924458</v>
      </c>
      <c r="GC110" s="22">
        <f t="shared" si="79"/>
        <v>676.14388776390103</v>
      </c>
      <c r="GD110" s="60">
        <f t="shared" si="80"/>
        <v>955.38449465677468</v>
      </c>
      <c r="GE110" s="60">
        <f ca="1">AVERAGE(OFFSET($GD$3,0,0,'Données projet'!$E$17+1,1))-AVERAGE(OFFSET($H$3,0,0,'Données projet'!$E$17+1,1))</f>
        <v>542.90832990875208</v>
      </c>
      <c r="GF110" s="60">
        <f t="shared" si="104"/>
        <v>304.94365539329362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2.7134774427395314E-13</v>
      </c>
      <c r="P111" s="14">
        <f t="shared" si="87"/>
        <v>3.6292411711343559E-12</v>
      </c>
      <c r="Q111" s="22">
        <f t="shared" si="107"/>
        <v>6.7935256943361388E-12</v>
      </c>
      <c r="R111" s="60">
        <f t="shared" si="55"/>
        <v>279.48508419000615</v>
      </c>
      <c r="S111" s="60">
        <f ca="1">AVERAGE(OFFSET($R$3,0,0,'Données projet'!$E$9+1,1))-AVERAGE(OFFSET($H$3,0,0,'Données projet'!$E$9+1,1))</f>
        <v>336.25341821407534</v>
      </c>
      <c r="T111" s="60">
        <f t="shared" si="88"/>
        <v>360.3246221345039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926.68138325762402</v>
      </c>
      <c r="AN111" s="60">
        <f ca="1">AVERAGE(OFFSET($AM$3,0,0,'Données projet'!$E$10+1,1))-AVERAGE(OFFSET($H$3,0,0,'Données projet'!$E$10+1,1))</f>
        <v>516.30971934066179</v>
      </c>
      <c r="AO111" s="60">
        <f t="shared" si="90"/>
        <v>290.84286505723571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0">
        <f t="shared" si="62"/>
        <v>279.48508419000615</v>
      </c>
      <c r="BI111" s="60">
        <f ca="1">AVERAGE(OFFSET($BH$3,0,0,'Données projet'!$E$11+1,1))-AVERAGE(OFFSET($H$3,0,0,'Données projet'!$E$11+1,1))</f>
        <v>336.25341821407534</v>
      </c>
      <c r="BJ111" s="60">
        <f t="shared" si="92"/>
        <v>360.3246221345039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3.0769230769230802</v>
      </c>
      <c r="BY111" s="13">
        <f>IF('Données projet'!$A$114&gt;35,BY110+BX111-CG110,IF(A111&lt;'Données projet'!$A$114,$BV$205^A111,IF(A111='Données projet'!$A$114,'Données projet'!$B$114,BY110+BX111-CG110)))</f>
        <v>247.05128205128216</v>
      </c>
      <c r="BZ111" s="14">
        <f>BY111*VLOOKUP('Données projet'!$B$12,Paramètres!$A$1:$I$89,3,0)*VLOOKUP('Données projet'!$B$12,Paramètres!$A$1:$I$89,5,0)</f>
        <v>235.09400000000011</v>
      </c>
      <c r="CA111" s="14">
        <f t="shared" si="93"/>
        <v>57.382715232787383</v>
      </c>
      <c r="CB111" s="22">
        <f t="shared" si="64"/>
        <v>509.39694569710491</v>
      </c>
      <c r="CC111" s="60">
        <f t="shared" si="65"/>
        <v>788.88202988710418</v>
      </c>
      <c r="CD111" s="60">
        <f ca="1">AVERAGE(OFFSET($CC$3,0,0,'Données projet'!$E$12+1,1))-AVERAGE(OFFSET($H$3,0,0,'Données projet'!$E$12+1,1))</f>
        <v>398.29746143975166</v>
      </c>
      <c r="CE111" s="60">
        <f t="shared" si="94"/>
        <v>300.63705521148802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286.48463999999967</v>
      </c>
      <c r="CV111" s="14">
        <f t="shared" si="95"/>
        <v>68.335568330677432</v>
      </c>
      <c r="CW111" s="22">
        <f t="shared" si="67"/>
        <v>617.97852950926267</v>
      </c>
      <c r="CX111" s="60">
        <f t="shared" si="68"/>
        <v>897.46361369926194</v>
      </c>
      <c r="CY111" s="60">
        <f ca="1">AVERAGE(OFFSET($CX$3,0,0,'Données projet'!$E$13+1,1))-AVERAGE(OFFSET($H$3,0,0,'Données projet'!$E$13+1,1))</f>
        <v>496.33873798282525</v>
      </c>
      <c r="CZ111" s="60">
        <f t="shared" si="96"/>
        <v>280.25465074992246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8.8675733422860506E-14</v>
      </c>
      <c r="DQ111" s="14">
        <f t="shared" si="97"/>
        <v>1.3509285393066301E-12</v>
      </c>
      <c r="DR111" s="22">
        <f t="shared" si="70"/>
        <v>2.5073107750038623E-12</v>
      </c>
      <c r="DS111" s="60">
        <f t="shared" si="71"/>
        <v>279.48508419000183</v>
      </c>
      <c r="DT111" s="60">
        <f ca="1">AVERAGE(OFFSET($DS$3,0,0,'Données projet'!$E$14+1,1))-AVERAGE(OFFSET($H$3,0,0,'Données projet'!$E$14+1,1))</f>
        <v>312.59632808777332</v>
      </c>
      <c r="DU111" s="60">
        <f t="shared" si="98"/>
        <v>302.59481222418219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3.333333333333337</v>
      </c>
      <c r="EJ111" s="13">
        <f>IF('Données projet'!$A$192&gt;35,EJ110+EI111-ER110,IF(A111&lt;'Données projet'!$A$192,$EG$205^A111,IF(A111='Données projet'!$A$192,'Données projet'!$B$192,EJ110+EI111-ER110)))</f>
        <v>311.2820512820515</v>
      </c>
      <c r="EK111" s="18">
        <f>EJ111*VLOOKUP('Données projet'!$B$15,Paramètres!$A$1:$I$89,3,0)*VLOOKUP('Données projet'!$B$15,Paramètres!$A$1:$I$89,5,0)</f>
        <v>208.80800000000013</v>
      </c>
      <c r="EL111" s="14">
        <f t="shared" si="99"/>
        <v>51.675017474362051</v>
      </c>
      <c r="EM111" s="22">
        <f t="shared" si="73"/>
        <v>453.67458876784752</v>
      </c>
      <c r="EN111" s="60">
        <f t="shared" si="74"/>
        <v>733.15967295784685</v>
      </c>
      <c r="EO111" s="60">
        <f ca="1">AVERAGE(OFFSET($EN$3,0,0,'Données projet'!$E$15+1,1))-AVERAGE(OFFSET($H$3,0,0,'Données projet'!$E$15+1,1))</f>
        <v>344.62096650402731</v>
      </c>
      <c r="EP111" s="60">
        <f t="shared" si="100"/>
        <v>277.30931495079346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3.4106051316484809E-13</v>
      </c>
      <c r="FF111" s="18">
        <f>FE111*VLOOKUP('Données projet'!$B$16,Paramètres!$A$1:$I$89,3,0)*VLOOKUP('Données projet'!$B$16,Paramètres!$A$1:$I$89,5,0)</f>
        <v>2.9795046430081134E-13</v>
      </c>
      <c r="FG111" s="14">
        <f t="shared" si="101"/>
        <v>3.9419014464513778E-12</v>
      </c>
      <c r="FH111" s="22">
        <f t="shared" si="76"/>
        <v>7.384408744560063E-12</v>
      </c>
      <c r="FI111" s="60">
        <f t="shared" si="77"/>
        <v>279.48508419000672</v>
      </c>
      <c r="FJ111" s="60">
        <f ca="1">AVERAGE(OFFSET($FI$3,0,0,'Données projet'!$E$16+1,1))-AVERAGE(OFFSET($H$3,0,0,'Données projet'!$E$16+1,1))</f>
        <v>363.28611056308665</v>
      </c>
      <c r="FK111" s="60">
        <f t="shared" si="102"/>
        <v>389.43647559455974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4.4000000000000004</v>
      </c>
      <c r="FZ111" s="13">
        <f>IF('Données projet'!$A$244&gt;35,FZ110+FY111-GH110,IF(A111&lt;'Données projet'!$A$244,$FW$205^A111,IF(A111='Données projet'!$A$244,'Données projet'!$B$244,FZ110+FY111-GH110)))</f>
        <v>296.19999999999965</v>
      </c>
      <c r="GA111" s="18">
        <f>FZ111*VLOOKUP('Données projet'!$B$17,Paramètres!$A$1:$I$89,3,0)*VLOOKUP('Données projet'!$B$17,Paramètres!$A$1:$I$89,5,0)</f>
        <v>318.8296799999996</v>
      </c>
      <c r="GB111" s="14">
        <f t="shared" si="103"/>
        <v>75.109793924882112</v>
      </c>
      <c r="GC111" s="22">
        <f t="shared" si="79"/>
        <v>686.11125041916887</v>
      </c>
      <c r="GD111" s="60">
        <f t="shared" si="80"/>
        <v>965.59633460916825</v>
      </c>
      <c r="GE111" s="60">
        <f ca="1">AVERAGE(OFFSET($GD$3,0,0,'Données projet'!$E$17+1,1))-AVERAGE(OFFSET($H$3,0,0,'Données projet'!$E$17+1,1))</f>
        <v>542.90832990875208</v>
      </c>
      <c r="GF111" s="60">
        <f t="shared" si="104"/>
        <v>304.94365539329362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2.7134774427395314E-13</v>
      </c>
      <c r="P112" s="14">
        <f t="shared" si="87"/>
        <v>3.6292411711343559E-12</v>
      </c>
      <c r="Q112" s="22">
        <f t="shared" si="107"/>
        <v>6.7935256943361388E-12</v>
      </c>
      <c r="R112" s="60">
        <f t="shared" si="55"/>
        <v>279.7253203525961</v>
      </c>
      <c r="S112" s="60">
        <f ca="1">AVERAGE(OFFSET($R$3,0,0,'Données projet'!$E$9+1,1))-AVERAGE(OFFSET($H$3,0,0,'Données projet'!$E$9+1,1))</f>
        <v>336.25341821407534</v>
      </c>
      <c r="T112" s="60">
        <f t="shared" si="88"/>
        <v>360.3246221345039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936.31964032992437</v>
      </c>
      <c r="AN112" s="60">
        <f ca="1">AVERAGE(OFFSET($AM$3,0,0,'Données projet'!$E$10+1,1))-AVERAGE(OFFSET($H$3,0,0,'Données projet'!$E$10+1,1))</f>
        <v>516.30971934066179</v>
      </c>
      <c r="AO112" s="60">
        <f t="shared" si="90"/>
        <v>290.84286505723571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0">
        <f t="shared" si="62"/>
        <v>279.7253203525961</v>
      </c>
      <c r="BI112" s="60">
        <f ca="1">AVERAGE(OFFSET($BH$3,0,0,'Données projet'!$E$11+1,1))-AVERAGE(OFFSET($H$3,0,0,'Données projet'!$E$11+1,1))</f>
        <v>336.25341821407534</v>
      </c>
      <c r="BJ112" s="60">
        <f t="shared" si="92"/>
        <v>360.3246221345039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3.0769230769230802</v>
      </c>
      <c r="BY112" s="13">
        <f>IF('Données projet'!$A$114&gt;35,BY111+BX112-CG111,IF(A112&lt;'Données projet'!$A$114,$BV$205^A112,IF(A112='Données projet'!$A$114,'Données projet'!$B$114,BY111+BX112-CG111)))</f>
        <v>250.12820512820525</v>
      </c>
      <c r="BZ112" s="14">
        <f>BY112*VLOOKUP('Données projet'!$B$12,Paramètres!$A$1:$I$89,3,0)*VLOOKUP('Données projet'!$B$12,Paramètres!$A$1:$I$89,5,0)</f>
        <v>238.02200000000013</v>
      </c>
      <c r="CA112" s="14">
        <f t="shared" si="93"/>
        <v>58.013749383704898</v>
      </c>
      <c r="CB112" s="22">
        <f t="shared" si="64"/>
        <v>515.59559684328622</v>
      </c>
      <c r="CC112" s="60">
        <f t="shared" si="65"/>
        <v>795.3209171958755</v>
      </c>
      <c r="CD112" s="60">
        <f ca="1">AVERAGE(OFFSET($CC$3,0,0,'Données projet'!$E$12+1,1))-AVERAGE(OFFSET($H$3,0,0,'Données projet'!$E$12+1,1))</f>
        <v>398.29746143975166</v>
      </c>
      <c r="CE112" s="60">
        <f t="shared" si="94"/>
        <v>300.63705521148802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290.74031999999966</v>
      </c>
      <c r="CV112" s="14">
        <f t="shared" si="95"/>
        <v>69.231751058085507</v>
      </c>
      <c r="CW112" s="22">
        <f t="shared" si="67"/>
        <v>626.95135709283159</v>
      </c>
      <c r="CX112" s="60">
        <f t="shared" si="68"/>
        <v>906.67667744542086</v>
      </c>
      <c r="CY112" s="60">
        <f ca="1">AVERAGE(OFFSET($CX$3,0,0,'Données projet'!$E$13+1,1))-AVERAGE(OFFSET($H$3,0,0,'Données projet'!$E$13+1,1))</f>
        <v>496.33873798282525</v>
      </c>
      <c r="CZ112" s="60">
        <f t="shared" si="96"/>
        <v>280.25465074992246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8.8675733422860506E-14</v>
      </c>
      <c r="DQ112" s="14">
        <f t="shared" si="97"/>
        <v>1.3509285393066301E-12</v>
      </c>
      <c r="DR112" s="22">
        <f t="shared" si="70"/>
        <v>2.5073107750038623E-12</v>
      </c>
      <c r="DS112" s="60">
        <f t="shared" si="71"/>
        <v>279.72532035259178</v>
      </c>
      <c r="DT112" s="60">
        <f ca="1">AVERAGE(OFFSET($DS$3,0,0,'Données projet'!$E$14+1,1))-AVERAGE(OFFSET($H$3,0,0,'Données projet'!$E$14+1,1))</f>
        <v>312.59632808777332</v>
      </c>
      <c r="DU112" s="60">
        <f t="shared" si="98"/>
        <v>302.59481222418219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3.333333333333337</v>
      </c>
      <c r="EJ112" s="13">
        <f>IF('Données projet'!$A$192&gt;35,EJ111+EI112-ER111,IF(A112&lt;'Données projet'!$A$192,$EG$205^A112,IF(A112='Données projet'!$A$192,'Données projet'!$B$192,EJ111+EI112-ER111)))</f>
        <v>314.61538461538481</v>
      </c>
      <c r="EK112" s="18">
        <f>EJ112*VLOOKUP('Données projet'!$B$15,Paramètres!$A$1:$I$89,3,0)*VLOOKUP('Données projet'!$B$15,Paramètres!$A$1:$I$89,5,0)</f>
        <v>211.04400000000015</v>
      </c>
      <c r="EL112" s="14">
        <f t="shared" si="99"/>
        <v>52.163660077304868</v>
      </c>
      <c r="EM112" s="22">
        <f t="shared" si="73"/>
        <v>458.42000796797294</v>
      </c>
      <c r="EN112" s="60">
        <f t="shared" si="74"/>
        <v>738.14532832056216</v>
      </c>
      <c r="EO112" s="60">
        <f ca="1">AVERAGE(OFFSET($EN$3,0,0,'Données projet'!$E$15+1,1))-AVERAGE(OFFSET($H$3,0,0,'Données projet'!$E$15+1,1))</f>
        <v>344.62096650402731</v>
      </c>
      <c r="EP112" s="60">
        <f t="shared" si="100"/>
        <v>277.30931495079346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3.4106051316484809E-13</v>
      </c>
      <c r="FF112" s="18">
        <f>FE112*VLOOKUP('Données projet'!$B$16,Paramètres!$A$1:$I$89,3,0)*VLOOKUP('Données projet'!$B$16,Paramètres!$A$1:$I$89,5,0)</f>
        <v>2.9795046430081134E-13</v>
      </c>
      <c r="FG112" s="14">
        <f t="shared" si="101"/>
        <v>3.9419014464513778E-12</v>
      </c>
      <c r="FH112" s="22">
        <f t="shared" si="76"/>
        <v>7.384408744560063E-12</v>
      </c>
      <c r="FI112" s="60">
        <f t="shared" si="77"/>
        <v>279.72532035259667</v>
      </c>
      <c r="FJ112" s="60">
        <f ca="1">AVERAGE(OFFSET($FI$3,0,0,'Données projet'!$E$16+1,1))-AVERAGE(OFFSET($H$3,0,0,'Données projet'!$E$16+1,1))</f>
        <v>363.28611056308665</v>
      </c>
      <c r="FK112" s="60">
        <f t="shared" si="102"/>
        <v>389.43647559455974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4.4000000000000004</v>
      </c>
      <c r="FZ112" s="13">
        <f>IF('Données projet'!$A$244&gt;35,FZ111+FY112-GH111,IF(A112&lt;'Données projet'!$A$244,$FW$205^A112,IF(A112='Données projet'!$A$244,'Données projet'!$B$244,FZ111+FY112-GH111)))</f>
        <v>300.59999999999962</v>
      </c>
      <c r="GA112" s="18">
        <f>FZ112*VLOOKUP('Données projet'!$B$17,Paramètres!$A$1:$I$89,3,0)*VLOOKUP('Données projet'!$B$17,Paramètres!$A$1:$I$89,5,0)</f>
        <v>323.56583999999958</v>
      </c>
      <c r="GB112" s="14">
        <f t="shared" si="103"/>
        <v>76.094816829044248</v>
      </c>
      <c r="GC112" s="22">
        <f t="shared" si="79"/>
        <v>696.07564397725127</v>
      </c>
      <c r="GD112" s="60">
        <f t="shared" si="80"/>
        <v>975.80096432984055</v>
      </c>
      <c r="GE112" s="60">
        <f ca="1">AVERAGE(OFFSET($GD$3,0,0,'Données projet'!$E$17+1,1))-AVERAGE(OFFSET($H$3,0,0,'Données projet'!$E$17+1,1))</f>
        <v>542.90832990875208</v>
      </c>
      <c r="GF112" s="60">
        <f t="shared" si="104"/>
        <v>304.94365539329362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2.7134774427395314E-13</v>
      </c>
      <c r="P113" s="14">
        <f t="shared" si="87"/>
        <v>3.6292411711343559E-12</v>
      </c>
      <c r="Q113" s="22">
        <f t="shared" si="107"/>
        <v>6.7935256943361388E-12</v>
      </c>
      <c r="R113" s="60">
        <f t="shared" si="55"/>
        <v>279.96138895485268</v>
      </c>
      <c r="S113" s="60">
        <f ca="1">AVERAGE(OFFSET($R$3,0,0,'Données projet'!$E$9+1,1))-AVERAGE(OFFSET($H$3,0,0,'Données projet'!$E$9+1,1))</f>
        <v>336.25341821407534</v>
      </c>
      <c r="T113" s="60">
        <f t="shared" si="88"/>
        <v>360.3246221345039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945.95095934471669</v>
      </c>
      <c r="AN113" s="60">
        <f ca="1">AVERAGE(OFFSET($AM$3,0,0,'Données projet'!$E$10+1,1))-AVERAGE(OFFSET($H$3,0,0,'Données projet'!$E$10+1,1))</f>
        <v>516.30971934066179</v>
      </c>
      <c r="AO113" s="60">
        <f t="shared" si="90"/>
        <v>290.84286505723571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0">
        <f t="shared" si="62"/>
        <v>279.96138895485268</v>
      </c>
      <c r="BI113" s="60">
        <f ca="1">AVERAGE(OFFSET($BH$3,0,0,'Données projet'!$E$11+1,1))-AVERAGE(OFFSET($H$3,0,0,'Données projet'!$E$11+1,1))</f>
        <v>336.25341821407534</v>
      </c>
      <c r="BJ113" s="60">
        <f t="shared" si="92"/>
        <v>360.3246221345039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253.2051282051282</v>
      </c>
      <c r="BW113" s="13">
        <f>VLOOKUP(A113,'Données projet'!$A$113:$I$133,9,0)</f>
        <v>3.0769230769230802</v>
      </c>
      <c r="BX113" s="13">
        <f t="array" ref="BX113">INDEX(BW:BW,MIN(IF(ISNUMBER(BW113:BW309),ROW(BW113:BW309),"")))</f>
        <v>3.0769230769230802</v>
      </c>
      <c r="BY113" s="13">
        <f>IF('Données projet'!$A$114&gt;35,BY112+BX113-CG112,IF(A113&lt;'Données projet'!$A$114,$BV$205^A113,IF(A113='Données projet'!$A$114,'Données projet'!$B$114,BY112+BX113-CG112)))</f>
        <v>253.20512820512835</v>
      </c>
      <c r="BZ113" s="14">
        <f>BY113*VLOOKUP('Données projet'!$B$12,Paramètres!$A$1:$I$89,3,0)*VLOOKUP('Données projet'!$B$12,Paramètres!$A$1:$I$89,5,0)</f>
        <v>240.95000000000013</v>
      </c>
      <c r="CA113" s="14">
        <f t="shared" si="93"/>
        <v>58.643880591265685</v>
      </c>
      <c r="CB113" s="22">
        <f t="shared" si="64"/>
        <v>521.79267536312125</v>
      </c>
      <c r="CC113" s="60">
        <f t="shared" si="65"/>
        <v>801.75406431796705</v>
      </c>
      <c r="CD113" s="60">
        <f ca="1">AVERAGE(OFFSET($CC$3,0,0,'Données projet'!$E$12+1,1))-AVERAGE(OFFSET($H$3,0,0,'Données projet'!$E$12+1,1))</f>
        <v>398.29746143975166</v>
      </c>
      <c r="CE113" s="60">
        <f t="shared" si="94"/>
        <v>300.63705521148802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22.435897435897434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294.99599999999958</v>
      </c>
      <c r="CV113" s="14">
        <f t="shared" si="95"/>
        <v>70.126408118585317</v>
      </c>
      <c r="CW113" s="22">
        <f t="shared" si="67"/>
        <v>635.92152747320199</v>
      </c>
      <c r="CX113" s="60">
        <f t="shared" si="68"/>
        <v>915.88291642804779</v>
      </c>
      <c r="CY113" s="60">
        <f ca="1">AVERAGE(OFFSET($CX$3,0,0,'Données projet'!$E$13+1,1))-AVERAGE(OFFSET($H$3,0,0,'Données projet'!$E$13+1,1))</f>
        <v>496.33873798282525</v>
      </c>
      <c r="CZ113" s="60">
        <f t="shared" si="96"/>
        <v>280.25465074992246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8.8675733422860506E-14</v>
      </c>
      <c r="DQ113" s="14">
        <f t="shared" si="97"/>
        <v>1.3509285393066301E-12</v>
      </c>
      <c r="DR113" s="22">
        <f t="shared" si="70"/>
        <v>2.5073107750038623E-12</v>
      </c>
      <c r="DS113" s="60">
        <f t="shared" si="71"/>
        <v>279.96138895484836</v>
      </c>
      <c r="DT113" s="60">
        <f ca="1">AVERAGE(OFFSET($DS$3,0,0,'Données projet'!$E$14+1,1))-AVERAGE(OFFSET($H$3,0,0,'Données projet'!$E$14+1,1))</f>
        <v>312.59632808777332</v>
      </c>
      <c r="DU113" s="60">
        <f t="shared" si="98"/>
        <v>302.59481222418219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317.94871794871796</v>
      </c>
      <c r="EH113" s="13">
        <f>VLOOKUP(A113,'Données projet'!$A$191:$I$211,9,0)</f>
        <v>3.333333333333337</v>
      </c>
      <c r="EI113" s="13">
        <f t="array" ref="EI113">INDEX(EH:EH,MIN(IF(ISNUMBER(EH113:EH309),ROW(EH113:EH309),"")))</f>
        <v>3.333333333333337</v>
      </c>
      <c r="EJ113" s="13">
        <f>IF('Données projet'!$A$192&gt;35,EJ112+EI113-ER112,IF(A113&lt;'Données projet'!$A$192,$EG$205^A113,IF(A113='Données projet'!$A$192,'Données projet'!$B$192,EJ112+EI113-ER112)))</f>
        <v>317.94871794871813</v>
      </c>
      <c r="EK113" s="18">
        <f>EJ113*VLOOKUP('Données projet'!$B$15,Paramètres!$A$1:$I$89,3,0)*VLOOKUP('Données projet'!$B$15,Paramètres!$A$1:$I$89,5,0)</f>
        <v>213.28000000000011</v>
      </c>
      <c r="EL113" s="14">
        <f t="shared" si="99"/>
        <v>52.651700420383257</v>
      </c>
      <c r="EM113" s="22">
        <f t="shared" si="73"/>
        <v>463.16437823216773</v>
      </c>
      <c r="EN113" s="60">
        <f t="shared" si="74"/>
        <v>743.12576718701359</v>
      </c>
      <c r="EO113" s="60">
        <f ca="1">AVERAGE(OFFSET($EN$3,0,0,'Données projet'!$E$15+1,1))-AVERAGE(OFFSET($H$3,0,0,'Données projet'!$E$15+1,1))</f>
        <v>344.62096650402731</v>
      </c>
      <c r="EP113" s="60">
        <f t="shared" si="100"/>
        <v>277.30931495079346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317.94871794871796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3.4106051316484809E-13</v>
      </c>
      <c r="FF113" s="18">
        <f>FE113*VLOOKUP('Données projet'!$B$16,Paramètres!$A$1:$I$89,3,0)*VLOOKUP('Données projet'!$B$16,Paramètres!$A$1:$I$89,5,0)</f>
        <v>2.9795046430081134E-13</v>
      </c>
      <c r="FG113" s="14">
        <f t="shared" si="101"/>
        <v>3.9419014464513778E-12</v>
      </c>
      <c r="FH113" s="22">
        <f t="shared" si="76"/>
        <v>7.384408744560063E-12</v>
      </c>
      <c r="FI113" s="60">
        <f t="shared" si="77"/>
        <v>279.96138895485325</v>
      </c>
      <c r="FJ113" s="60">
        <f ca="1">AVERAGE(OFFSET($FI$3,0,0,'Données projet'!$E$16+1,1))-AVERAGE(OFFSET($H$3,0,0,'Données projet'!$E$16+1,1))</f>
        <v>363.28611056308665</v>
      </c>
      <c r="FK113" s="60">
        <f t="shared" si="102"/>
        <v>389.43647559455974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305</v>
      </c>
      <c r="FX113" s="13">
        <f>VLOOKUP(A113,'Données projet'!$A$243:$I$263,9,0)</f>
        <v>4.4000000000000004</v>
      </c>
      <c r="FY113" s="13">
        <f t="array" ref="FY113">INDEX(FX:FX,MIN(IF(ISNUMBER(FX113:FX309),ROW(FX113:FX309),"")))</f>
        <v>4.4000000000000004</v>
      </c>
      <c r="FZ113" s="13">
        <f>IF('Données projet'!$A$244&gt;35,FZ112+FY113-GH112,IF(A113&lt;'Données projet'!$A$244,$FW$205^A113,IF(A113='Données projet'!$A$244,'Données projet'!$B$244,FZ112+FY113-GH112)))</f>
        <v>304.9999999999996</v>
      </c>
      <c r="GA113" s="18">
        <f>FZ113*VLOOKUP('Données projet'!$B$17,Paramètres!$A$1:$I$89,3,0)*VLOOKUP('Données projet'!$B$17,Paramètres!$A$1:$I$89,5,0)</f>
        <v>328.30199999999957</v>
      </c>
      <c r="GB113" s="14">
        <f t="shared" si="103"/>
        <v>77.078162824242781</v>
      </c>
      <c r="GC113" s="22">
        <f t="shared" si="79"/>
        <v>706.03711691888873</v>
      </c>
      <c r="GD113" s="60">
        <f t="shared" si="80"/>
        <v>985.99850587373453</v>
      </c>
      <c r="GE113" s="60">
        <f ca="1">AVERAGE(OFFSET($GD$3,0,0,'Données projet'!$E$17+1,1))-AVERAGE(OFFSET($H$3,0,0,'Données projet'!$E$17+1,1))</f>
        <v>542.90832990875208</v>
      </c>
      <c r="GF113" s="60">
        <f t="shared" si="104"/>
        <v>304.94365539329362</v>
      </c>
      <c r="GG113" s="16">
        <f>IF(ISNA(VLOOKUP(A113,'Données projet'!$A$243:$I$263,3,0)),0,VLOOKUP(A113,'Données projet'!$A$243:$I$263,3,0))</f>
        <v>9</v>
      </c>
      <c r="GH113" s="16">
        <f>IF(ISNA(VLOOKUP(A113,'Données projet'!$A$243:$I$263,4,0)),0,VLOOKUP(A113,'Données projet'!$A$243:$I$263,4,0))</f>
        <v>39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2.7134774427395314E-13</v>
      </c>
      <c r="P114" s="14">
        <f t="shared" si="87"/>
        <v>3.6292411711343559E-12</v>
      </c>
      <c r="Q114" s="22">
        <f t="shared" si="107"/>
        <v>6.7935256943361388E-12</v>
      </c>
      <c r="R114" s="60">
        <f t="shared" si="55"/>
        <v>280.19336229463039</v>
      </c>
      <c r="S114" s="60">
        <f ca="1">AVERAGE(OFFSET($R$3,0,0,'Données projet'!$E$9+1,1))-AVERAGE(OFFSET($H$3,0,0,'Données projet'!$E$9+1,1))</f>
        <v>336.25341821407534</v>
      </c>
      <c r="T114" s="60">
        <f t="shared" si="88"/>
        <v>360.3246221345039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870.72664472607539</v>
      </c>
      <c r="AN114" s="60">
        <f ca="1">AVERAGE(OFFSET($AM$3,0,0,'Données projet'!$E$10+1,1))-AVERAGE(OFFSET($H$3,0,0,'Données projet'!$E$10+1,1))</f>
        <v>516.30971934066179</v>
      </c>
      <c r="AO114" s="60">
        <f t="shared" si="90"/>
        <v>290.84286505723571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0">
        <f t="shared" si="62"/>
        <v>280.19336229463039</v>
      </c>
      <c r="BI114" s="60">
        <f ca="1">AVERAGE(OFFSET($BH$3,0,0,'Données projet'!$E$11+1,1))-AVERAGE(OFFSET($H$3,0,0,'Données projet'!$E$11+1,1))</f>
        <v>336.25341821407534</v>
      </c>
      <c r="BJ114" s="60">
        <f t="shared" si="92"/>
        <v>360.3246221345039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2.884615384615381</v>
      </c>
      <c r="BY114" s="13">
        <f>IF('Données projet'!$A$114&gt;35,BY113+BX114-CG113,IF(A114&lt;'Données projet'!$A$114,$BV$205^A114,IF(A114='Données projet'!$A$114,'Données projet'!$B$114,BY113+BX114-CG113)))</f>
        <v>233.65384615384627</v>
      </c>
      <c r="BZ114" s="14">
        <f>BY114*VLOOKUP('Données projet'!$B$12,Paramètres!$A$1:$I$89,3,0)*VLOOKUP('Données projet'!$B$12,Paramètres!$A$1:$I$89,5,0)</f>
        <v>222.34500000000011</v>
      </c>
      <c r="CA114" s="14">
        <f t="shared" si="93"/>
        <v>54.624244950543464</v>
      </c>
      <c r="CB114" s="22">
        <f t="shared" si="64"/>
        <v>482.38810162219664</v>
      </c>
      <c r="CC114" s="60">
        <f t="shared" si="65"/>
        <v>762.58146391682021</v>
      </c>
      <c r="CD114" s="60">
        <f ca="1">AVERAGE(OFFSET($CC$3,0,0,'Données projet'!$E$12+1,1))-AVERAGE(OFFSET($H$3,0,0,'Données projet'!$E$12+1,1))</f>
        <v>398.29746143975166</v>
      </c>
      <c r="CE114" s="60">
        <f t="shared" si="94"/>
        <v>300.63705521148802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260.85383999999959</v>
      </c>
      <c r="CV114" s="14">
        <f t="shared" si="95"/>
        <v>62.904347395903649</v>
      </c>
      <c r="CW114" s="22">
        <f t="shared" si="67"/>
        <v>563.87884304786473</v>
      </c>
      <c r="CX114" s="60">
        <f t="shared" si="68"/>
        <v>844.07220534248836</v>
      </c>
      <c r="CY114" s="60">
        <f ca="1">AVERAGE(OFFSET($CX$3,0,0,'Données projet'!$E$13+1,1))-AVERAGE(OFFSET($H$3,0,0,'Données projet'!$E$13+1,1))</f>
        <v>496.33873798282525</v>
      </c>
      <c r="CZ114" s="60">
        <f t="shared" si="96"/>
        <v>280.25465074992246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8.8675733422860506E-14</v>
      </c>
      <c r="DQ114" s="14">
        <f t="shared" si="97"/>
        <v>1.3509285393066301E-12</v>
      </c>
      <c r="DR114" s="22">
        <f t="shared" si="70"/>
        <v>2.5073107750038623E-12</v>
      </c>
      <c r="DS114" s="60">
        <f t="shared" si="71"/>
        <v>280.19336229462607</v>
      </c>
      <c r="DT114" s="60">
        <f ca="1">AVERAGE(OFFSET($DS$3,0,0,'Données projet'!$E$14+1,1))-AVERAGE(OFFSET($H$3,0,0,'Données projet'!$E$14+1,1))</f>
        <v>312.59632808777332</v>
      </c>
      <c r="DU114" s="60">
        <f t="shared" si="98"/>
        <v>302.59481222418219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1.7053025658242404E-13</v>
      </c>
      <c r="EK114" s="18">
        <f>EJ114*VLOOKUP('Données projet'!$B$15,Paramètres!$A$1:$I$89,3,0)*VLOOKUP('Données projet'!$B$15,Paramètres!$A$1:$I$89,5,0)</f>
        <v>1.1439169611549005E-13</v>
      </c>
      <c r="EL114" s="14">
        <f t="shared" si="99"/>
        <v>1.6918016515029816E-12</v>
      </c>
      <c r="EM114" s="22">
        <f t="shared" si="73"/>
        <v>3.1457867471021712E-12</v>
      </c>
      <c r="EN114" s="60">
        <f t="shared" si="74"/>
        <v>280.1933622946267</v>
      </c>
      <c r="EO114" s="60">
        <f ca="1">AVERAGE(OFFSET($EN$3,0,0,'Données projet'!$E$15+1,1))-AVERAGE(OFFSET($H$3,0,0,'Données projet'!$E$15+1,1))</f>
        <v>344.62096650402731</v>
      </c>
      <c r="EP114" s="60">
        <f t="shared" si="100"/>
        <v>277.30931495079346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3.4106051316484809E-13</v>
      </c>
      <c r="FF114" s="18">
        <f>FE114*VLOOKUP('Données projet'!$B$16,Paramètres!$A$1:$I$89,3,0)*VLOOKUP('Données projet'!$B$16,Paramètres!$A$1:$I$89,5,0)</f>
        <v>2.9795046430081134E-13</v>
      </c>
      <c r="FG114" s="14">
        <f t="shared" si="101"/>
        <v>3.9419014464513778E-12</v>
      </c>
      <c r="FH114" s="22">
        <f t="shared" si="76"/>
        <v>7.384408744560063E-12</v>
      </c>
      <c r="FI114" s="60">
        <f t="shared" si="77"/>
        <v>280.19336229463096</v>
      </c>
      <c r="FJ114" s="60">
        <f ca="1">AVERAGE(OFFSET($FI$3,0,0,'Données projet'!$E$16+1,1))-AVERAGE(OFFSET($H$3,0,0,'Données projet'!$E$16+1,1))</f>
        <v>363.28611056308665</v>
      </c>
      <c r="FK114" s="60">
        <f t="shared" si="102"/>
        <v>389.43647559455974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3.7</v>
      </c>
      <c r="FZ114" s="13">
        <f>IF('Données projet'!$A$244&gt;35,FZ113+FY114-GH113,IF(A114&lt;'Données projet'!$A$244,$FW$205^A114,IF(A114='Données projet'!$A$244,'Données projet'!$B$244,FZ113+FY114-GH113)))</f>
        <v>269.69999999999959</v>
      </c>
      <c r="GA114" s="18">
        <f>FZ114*VLOOKUP('Données projet'!$B$17,Paramètres!$A$1:$I$89,3,0)*VLOOKUP('Données projet'!$B$17,Paramètres!$A$1:$I$89,5,0)</f>
        <v>290.30507999999958</v>
      </c>
      <c r="GB114" s="14">
        <f t="shared" si="103"/>
        <v>69.140166465323375</v>
      </c>
      <c r="GC114" s="22">
        <f t="shared" si="79"/>
        <v>626.03380426043748</v>
      </c>
      <c r="GD114" s="60">
        <f t="shared" si="80"/>
        <v>906.2271665550611</v>
      </c>
      <c r="GE114" s="60">
        <f ca="1">AVERAGE(OFFSET($GD$3,0,0,'Données projet'!$E$17+1,1))-AVERAGE(OFFSET($H$3,0,0,'Données projet'!$E$17+1,1))</f>
        <v>542.90832990875208</v>
      </c>
      <c r="GF114" s="60">
        <f t="shared" si="104"/>
        <v>304.94365539329362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2.7134774427395314E-13</v>
      </c>
      <c r="P115" s="14">
        <f t="shared" si="87"/>
        <v>3.6292411711343559E-12</v>
      </c>
      <c r="Q115" s="22">
        <f t="shared" si="107"/>
        <v>6.7935256943361388E-12</v>
      </c>
      <c r="R115" s="60">
        <f t="shared" si="55"/>
        <v>280.42131141557769</v>
      </c>
      <c r="S115" s="60">
        <f ca="1">AVERAGE(OFFSET($R$3,0,0,'Données projet'!$E$9+1,1))-AVERAGE(OFFSET($H$3,0,0,'Données projet'!$E$9+1,1))</f>
        <v>336.25341821407534</v>
      </c>
      <c r="T115" s="60">
        <f t="shared" si="88"/>
        <v>360.3246221345039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878.87257705948787</v>
      </c>
      <c r="AN115" s="60">
        <f ca="1">AVERAGE(OFFSET($AM$3,0,0,'Données projet'!$E$10+1,1))-AVERAGE(OFFSET($H$3,0,0,'Données projet'!$E$10+1,1))</f>
        <v>516.30971934066179</v>
      </c>
      <c r="AO115" s="60">
        <f t="shared" si="90"/>
        <v>290.84286505723571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0">
        <f t="shared" si="62"/>
        <v>280.42131141557769</v>
      </c>
      <c r="BI115" s="60">
        <f ca="1">AVERAGE(OFFSET($BH$3,0,0,'Données projet'!$E$11+1,1))-AVERAGE(OFFSET($H$3,0,0,'Données projet'!$E$11+1,1))</f>
        <v>336.25341821407534</v>
      </c>
      <c r="BJ115" s="60">
        <f t="shared" si="92"/>
        <v>360.3246221345039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2.884615384615381</v>
      </c>
      <c r="BY115" s="13">
        <f>IF('Données projet'!$A$114&gt;35,BY114+BX115-CG114,IF(A115&lt;'Données projet'!$A$114,$BV$205^A115,IF(A115='Données projet'!$A$114,'Données projet'!$B$114,BY114+BX115-CG114)))</f>
        <v>236.53846153846166</v>
      </c>
      <c r="BZ115" s="14">
        <f>BY115*VLOOKUP('Données projet'!$B$12,Paramètres!$A$1:$I$89,3,0)*VLOOKUP('Données projet'!$B$12,Paramètres!$A$1:$I$89,5,0)</f>
        <v>225.09000000000012</v>
      </c>
      <c r="CA115" s="14">
        <f t="shared" si="93"/>
        <v>55.21969508796591</v>
      </c>
      <c r="CB115" s="22">
        <f t="shared" si="64"/>
        <v>488.20605227820744</v>
      </c>
      <c r="CC115" s="60">
        <f t="shared" si="65"/>
        <v>768.62736369377831</v>
      </c>
      <c r="CD115" s="60">
        <f ca="1">AVERAGE(OFFSET($CC$3,0,0,'Données projet'!$E$12+1,1))-AVERAGE(OFFSET($H$3,0,0,'Données projet'!$E$12+1,1))</f>
        <v>398.29746143975166</v>
      </c>
      <c r="CE115" s="60">
        <f t="shared" si="94"/>
        <v>300.63705521148802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264.4324799999996</v>
      </c>
      <c r="CV115" s="14">
        <f t="shared" si="95"/>
        <v>63.666272015882292</v>
      </c>
      <c r="CW115" s="22">
        <f t="shared" si="67"/>
        <v>571.43865976099426</v>
      </c>
      <c r="CX115" s="60">
        <f t="shared" si="68"/>
        <v>851.85997117656507</v>
      </c>
      <c r="CY115" s="60">
        <f ca="1">AVERAGE(OFFSET($CX$3,0,0,'Données projet'!$E$13+1,1))-AVERAGE(OFFSET($H$3,0,0,'Données projet'!$E$13+1,1))</f>
        <v>496.33873798282525</v>
      </c>
      <c r="CZ115" s="60">
        <f t="shared" si="96"/>
        <v>280.25465074992246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8.8675733422860506E-14</v>
      </c>
      <c r="DQ115" s="14">
        <f t="shared" si="97"/>
        <v>1.3509285393066301E-12</v>
      </c>
      <c r="DR115" s="22">
        <f t="shared" si="70"/>
        <v>2.5073107750038623E-12</v>
      </c>
      <c r="DS115" s="60">
        <f t="shared" si="71"/>
        <v>280.42131141557337</v>
      </c>
      <c r="DT115" s="60">
        <f ca="1">AVERAGE(OFFSET($DS$3,0,0,'Données projet'!$E$14+1,1))-AVERAGE(OFFSET($H$3,0,0,'Données projet'!$E$14+1,1))</f>
        <v>312.59632808777332</v>
      </c>
      <c r="DU115" s="60">
        <f t="shared" si="98"/>
        <v>302.59481222418219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1.7053025658242404E-13</v>
      </c>
      <c r="EK115" s="18">
        <f>EJ115*VLOOKUP('Données projet'!$B$15,Paramètres!$A$1:$I$89,3,0)*VLOOKUP('Données projet'!$B$15,Paramètres!$A$1:$I$89,5,0)</f>
        <v>1.1439169611549005E-13</v>
      </c>
      <c r="EL115" s="14">
        <f t="shared" si="99"/>
        <v>1.6918016515029816E-12</v>
      </c>
      <c r="EM115" s="22">
        <f t="shared" si="73"/>
        <v>3.1457867471021712E-12</v>
      </c>
      <c r="EN115" s="60">
        <f t="shared" si="74"/>
        <v>280.421311415574</v>
      </c>
      <c r="EO115" s="60">
        <f ca="1">AVERAGE(OFFSET($EN$3,0,0,'Données projet'!$E$15+1,1))-AVERAGE(OFFSET($H$3,0,0,'Données projet'!$E$15+1,1))</f>
        <v>344.62096650402731</v>
      </c>
      <c r="EP115" s="60">
        <f t="shared" si="100"/>
        <v>277.30931495079346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3.4106051316484809E-13</v>
      </c>
      <c r="FF115" s="18">
        <f>FE115*VLOOKUP('Données projet'!$B$16,Paramètres!$A$1:$I$89,3,0)*VLOOKUP('Données projet'!$B$16,Paramètres!$A$1:$I$89,5,0)</f>
        <v>2.9795046430081134E-13</v>
      </c>
      <c r="FG115" s="14">
        <f t="shared" si="101"/>
        <v>3.9419014464513778E-12</v>
      </c>
      <c r="FH115" s="22">
        <f t="shared" si="76"/>
        <v>7.384408744560063E-12</v>
      </c>
      <c r="FI115" s="60">
        <f t="shared" si="77"/>
        <v>280.42131141557826</v>
      </c>
      <c r="FJ115" s="60">
        <f ca="1">AVERAGE(OFFSET($FI$3,0,0,'Données projet'!$E$16+1,1))-AVERAGE(OFFSET($H$3,0,0,'Données projet'!$E$16+1,1))</f>
        <v>363.28611056308665</v>
      </c>
      <c r="FK115" s="60">
        <f t="shared" si="102"/>
        <v>389.43647559455974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3.7</v>
      </c>
      <c r="FZ115" s="13">
        <f>IF('Données projet'!$A$244&gt;35,FZ114+FY115-GH114,IF(A115&lt;'Données projet'!$A$244,$FW$205^A115,IF(A115='Données projet'!$A$244,'Données projet'!$B$244,FZ114+FY115-GH114)))</f>
        <v>273.39999999999958</v>
      </c>
      <c r="GA115" s="18">
        <f>FZ115*VLOOKUP('Données projet'!$B$17,Paramètres!$A$1:$I$89,3,0)*VLOOKUP('Données projet'!$B$17,Paramètres!$A$1:$I$89,5,0)</f>
        <v>294.28775999999954</v>
      </c>
      <c r="GB115" s="14">
        <f t="shared" si="103"/>
        <v>69.977622018717668</v>
      </c>
      <c r="GC115" s="22">
        <f t="shared" si="79"/>
        <v>634.42887368259915</v>
      </c>
      <c r="GD115" s="60">
        <f t="shared" si="80"/>
        <v>914.85018509816996</v>
      </c>
      <c r="GE115" s="60">
        <f ca="1">AVERAGE(OFFSET($GD$3,0,0,'Données projet'!$E$17+1,1))-AVERAGE(OFFSET($H$3,0,0,'Données projet'!$E$17+1,1))</f>
        <v>542.90832990875208</v>
      </c>
      <c r="GF115" s="60">
        <f t="shared" si="104"/>
        <v>304.94365539329362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2.7134774427395314E-13</v>
      </c>
      <c r="P116" s="14">
        <f t="shared" si="87"/>
        <v>3.6292411711343559E-12</v>
      </c>
      <c r="Q116" s="22">
        <f t="shared" si="107"/>
        <v>6.7935256943361388E-12</v>
      </c>
      <c r="R116" s="60">
        <f t="shared" si="55"/>
        <v>280.64530612889445</v>
      </c>
      <c r="S116" s="60">
        <f ca="1">AVERAGE(OFFSET($R$3,0,0,'Données projet'!$E$9+1,1))-AVERAGE(OFFSET($H$3,0,0,'Données projet'!$E$9+1,1))</f>
        <v>336.25341821407534</v>
      </c>
      <c r="T116" s="60">
        <f t="shared" si="88"/>
        <v>360.3246221345039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887.01237708402596</v>
      </c>
      <c r="AN116" s="60">
        <f ca="1">AVERAGE(OFFSET($AM$3,0,0,'Données projet'!$E$10+1,1))-AVERAGE(OFFSET($H$3,0,0,'Données projet'!$E$10+1,1))</f>
        <v>516.30971934066179</v>
      </c>
      <c r="AO116" s="60">
        <f t="shared" si="90"/>
        <v>290.84286505723571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0">
        <f t="shared" si="62"/>
        <v>280.64530612889445</v>
      </c>
      <c r="BI116" s="60">
        <f ca="1">AVERAGE(OFFSET($BH$3,0,0,'Données projet'!$E$11+1,1))-AVERAGE(OFFSET($H$3,0,0,'Données projet'!$E$11+1,1))</f>
        <v>336.25341821407534</v>
      </c>
      <c r="BJ116" s="60">
        <f t="shared" si="92"/>
        <v>360.3246221345039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2.884615384615381</v>
      </c>
      <c r="BY116" s="13">
        <f>IF('Données projet'!$A$114&gt;35,BY115+BX116-CG115,IF(A116&lt;'Données projet'!$A$114,$BV$205^A116,IF(A116='Données projet'!$A$114,'Données projet'!$B$114,BY115+BX116-CG115)))</f>
        <v>239.42307692307705</v>
      </c>
      <c r="BZ116" s="14">
        <f>BY116*VLOOKUP('Données projet'!$B$12,Paramètres!$A$1:$I$89,3,0)*VLOOKUP('Données projet'!$B$12,Paramètres!$A$1:$I$89,5,0)</f>
        <v>227.83500000000012</v>
      </c>
      <c r="CA116" s="14">
        <f t="shared" si="93"/>
        <v>55.814300554153057</v>
      </c>
      <c r="CB116" s="22">
        <f t="shared" si="64"/>
        <v>494.02253179848339</v>
      </c>
      <c r="CC116" s="60">
        <f t="shared" si="65"/>
        <v>774.66783792737101</v>
      </c>
      <c r="CD116" s="60">
        <f ca="1">AVERAGE(OFFSET($CC$3,0,0,'Données projet'!$E$12+1,1))-AVERAGE(OFFSET($H$3,0,0,'Données projet'!$E$12+1,1))</f>
        <v>398.29746143975166</v>
      </c>
      <c r="CE116" s="60">
        <f t="shared" si="94"/>
        <v>300.63705521148802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268.01111999999961</v>
      </c>
      <c r="CV116" s="14">
        <f t="shared" si="95"/>
        <v>64.426997301716796</v>
      </c>
      <c r="CW116" s="22">
        <f t="shared" si="67"/>
        <v>578.99638763382268</v>
      </c>
      <c r="CX116" s="60">
        <f t="shared" si="68"/>
        <v>859.64169376271025</v>
      </c>
      <c r="CY116" s="60">
        <f ca="1">AVERAGE(OFFSET($CX$3,0,0,'Données projet'!$E$13+1,1))-AVERAGE(OFFSET($H$3,0,0,'Données projet'!$E$13+1,1))</f>
        <v>496.33873798282525</v>
      </c>
      <c r="CZ116" s="60">
        <f t="shared" si="96"/>
        <v>280.25465074992246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8.8675733422860506E-14</v>
      </c>
      <c r="DQ116" s="14">
        <f t="shared" si="97"/>
        <v>1.3509285393066301E-12</v>
      </c>
      <c r="DR116" s="22">
        <f t="shared" si="70"/>
        <v>2.5073107750038623E-12</v>
      </c>
      <c r="DS116" s="60">
        <f t="shared" si="71"/>
        <v>280.64530612889013</v>
      </c>
      <c r="DT116" s="60">
        <f ca="1">AVERAGE(OFFSET($DS$3,0,0,'Données projet'!$E$14+1,1))-AVERAGE(OFFSET($H$3,0,0,'Données projet'!$E$14+1,1))</f>
        <v>312.59632808777332</v>
      </c>
      <c r="DU116" s="60">
        <f t="shared" si="98"/>
        <v>302.59481222418219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1.7053025658242404E-13</v>
      </c>
      <c r="EK116" s="18">
        <f>EJ116*VLOOKUP('Données projet'!$B$15,Paramètres!$A$1:$I$89,3,0)*VLOOKUP('Données projet'!$B$15,Paramètres!$A$1:$I$89,5,0)</f>
        <v>1.1439169611549005E-13</v>
      </c>
      <c r="EL116" s="14">
        <f t="shared" si="99"/>
        <v>1.6918016515029816E-12</v>
      </c>
      <c r="EM116" s="22">
        <f t="shared" si="73"/>
        <v>3.1457867471021712E-12</v>
      </c>
      <c r="EN116" s="60">
        <f t="shared" si="74"/>
        <v>280.64530612889075</v>
      </c>
      <c r="EO116" s="60">
        <f ca="1">AVERAGE(OFFSET($EN$3,0,0,'Données projet'!$E$15+1,1))-AVERAGE(OFFSET($H$3,0,0,'Données projet'!$E$15+1,1))</f>
        <v>344.62096650402731</v>
      </c>
      <c r="EP116" s="60">
        <f t="shared" si="100"/>
        <v>277.30931495079346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3.4106051316484809E-13</v>
      </c>
      <c r="FF116" s="18">
        <f>FE116*VLOOKUP('Données projet'!$B$16,Paramètres!$A$1:$I$89,3,0)*VLOOKUP('Données projet'!$B$16,Paramètres!$A$1:$I$89,5,0)</f>
        <v>2.9795046430081134E-13</v>
      </c>
      <c r="FG116" s="14">
        <f t="shared" si="101"/>
        <v>3.9419014464513778E-12</v>
      </c>
      <c r="FH116" s="22">
        <f t="shared" si="76"/>
        <v>7.384408744560063E-12</v>
      </c>
      <c r="FI116" s="60">
        <f t="shared" si="77"/>
        <v>280.64530612889502</v>
      </c>
      <c r="FJ116" s="60">
        <f ca="1">AVERAGE(OFFSET($FI$3,0,0,'Données projet'!$E$16+1,1))-AVERAGE(OFFSET($H$3,0,0,'Données projet'!$E$16+1,1))</f>
        <v>363.28611056308665</v>
      </c>
      <c r="FK116" s="60">
        <f t="shared" si="102"/>
        <v>389.43647559455974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3.7</v>
      </c>
      <c r="FZ116" s="13">
        <f>IF('Données projet'!$A$244&gt;35,FZ115+FY116-GH115,IF(A116&lt;'Données projet'!$A$244,$FW$205^A116,IF(A116='Données projet'!$A$244,'Données projet'!$B$244,FZ115+FY116-GH115)))</f>
        <v>277.09999999999957</v>
      </c>
      <c r="GA116" s="18">
        <f>FZ116*VLOOKUP('Données projet'!$B$17,Paramètres!$A$1:$I$89,3,0)*VLOOKUP('Données projet'!$B$17,Paramètres!$A$1:$I$89,5,0)</f>
        <v>298.27043999999955</v>
      </c>
      <c r="GB116" s="14">
        <f t="shared" si="103"/>
        <v>70.813759345855914</v>
      </c>
      <c r="GC116" s="22">
        <f t="shared" si="79"/>
        <v>642.82164719403158</v>
      </c>
      <c r="GD116" s="60">
        <f t="shared" si="80"/>
        <v>923.46695332291915</v>
      </c>
      <c r="GE116" s="60">
        <f ca="1">AVERAGE(OFFSET($GD$3,0,0,'Données projet'!$E$17+1,1))-AVERAGE(OFFSET($H$3,0,0,'Données projet'!$E$17+1,1))</f>
        <v>542.90832990875208</v>
      </c>
      <c r="GF116" s="60">
        <f t="shared" si="104"/>
        <v>304.94365539329362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2.7134774427395314E-13</v>
      </c>
      <c r="P117" s="14">
        <f t="shared" si="87"/>
        <v>3.6292411711343559E-12</v>
      </c>
      <c r="Q117" s="22">
        <f t="shared" si="107"/>
        <v>6.7935256943361388E-12</v>
      </c>
      <c r="R117" s="60">
        <f t="shared" si="55"/>
        <v>280.86541503471227</v>
      </c>
      <c r="S117" s="60">
        <f ca="1">AVERAGE(OFFSET($R$3,0,0,'Données projet'!$E$9+1,1))-AVERAGE(OFFSET($H$3,0,0,'Données projet'!$E$9+1,1))</f>
        <v>336.25341821407534</v>
      </c>
      <c r="T117" s="60">
        <f t="shared" si="88"/>
        <v>360.3246221345039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895.14614584212677</v>
      </c>
      <c r="AN117" s="60">
        <f ca="1">AVERAGE(OFFSET($AM$3,0,0,'Données projet'!$E$10+1,1))-AVERAGE(OFFSET($H$3,0,0,'Données projet'!$E$10+1,1))</f>
        <v>516.30971934066179</v>
      </c>
      <c r="AO117" s="60">
        <f t="shared" si="90"/>
        <v>290.84286505723571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0">
        <f t="shared" si="62"/>
        <v>280.86541503471227</v>
      </c>
      <c r="BI117" s="60">
        <f ca="1">AVERAGE(OFFSET($BH$3,0,0,'Données projet'!$E$11+1,1))-AVERAGE(OFFSET($H$3,0,0,'Données projet'!$E$11+1,1))</f>
        <v>336.25341821407534</v>
      </c>
      <c r="BJ117" s="60">
        <f t="shared" si="92"/>
        <v>360.3246221345039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2.884615384615381</v>
      </c>
      <c r="BY117" s="13">
        <f>IF('Données projet'!$A$114&gt;35,BY116+BX117-CG116,IF(A117&lt;'Données projet'!$A$114,$BV$205^A117,IF(A117='Données projet'!$A$114,'Données projet'!$B$114,BY116+BX117-CG116)))</f>
        <v>242.30769230769243</v>
      </c>
      <c r="BZ117" s="14">
        <f>BY117*VLOOKUP('Données projet'!$B$12,Paramètres!$A$1:$I$89,3,0)*VLOOKUP('Données projet'!$B$12,Paramètres!$A$1:$I$89,5,0)</f>
        <v>230.58000000000013</v>
      </c>
      <c r="CA117" s="14">
        <f t="shared" si="93"/>
        <v>56.408072703031351</v>
      </c>
      <c r="CB117" s="22">
        <f t="shared" si="64"/>
        <v>499.83755995777983</v>
      </c>
      <c r="CC117" s="60">
        <f t="shared" si="65"/>
        <v>780.70297499248522</v>
      </c>
      <c r="CD117" s="60">
        <f ca="1">AVERAGE(OFFSET($CC$3,0,0,'Données projet'!$E$12+1,1))-AVERAGE(OFFSET($H$3,0,0,'Données projet'!$E$12+1,1))</f>
        <v>398.29746143975166</v>
      </c>
      <c r="CE117" s="60">
        <f t="shared" si="94"/>
        <v>300.63705521148802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271.58975999999956</v>
      </c>
      <c r="CV117" s="14">
        <f t="shared" si="95"/>
        <v>65.186541118848012</v>
      </c>
      <c r="CW117" s="22">
        <f t="shared" si="67"/>
        <v>586.55205778199286</v>
      </c>
      <c r="CX117" s="60">
        <f t="shared" si="68"/>
        <v>867.41747281669836</v>
      </c>
      <c r="CY117" s="60">
        <f ca="1">AVERAGE(OFFSET($CX$3,0,0,'Données projet'!$E$13+1,1))-AVERAGE(OFFSET($H$3,0,0,'Données projet'!$E$13+1,1))</f>
        <v>496.33873798282525</v>
      </c>
      <c r="CZ117" s="60">
        <f t="shared" si="96"/>
        <v>280.25465074992246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8.8675733422860506E-14</v>
      </c>
      <c r="DQ117" s="14">
        <f t="shared" si="97"/>
        <v>1.3509285393066301E-12</v>
      </c>
      <c r="DR117" s="22">
        <f t="shared" si="70"/>
        <v>2.5073107750038623E-12</v>
      </c>
      <c r="DS117" s="60">
        <f t="shared" si="71"/>
        <v>280.86541503470795</v>
      </c>
      <c r="DT117" s="60">
        <f ca="1">AVERAGE(OFFSET($DS$3,0,0,'Données projet'!$E$14+1,1))-AVERAGE(OFFSET($H$3,0,0,'Données projet'!$E$14+1,1))</f>
        <v>312.59632808777332</v>
      </c>
      <c r="DU117" s="60">
        <f t="shared" si="98"/>
        <v>302.59481222418219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1.7053025658242404E-13</v>
      </c>
      <c r="EK117" s="18">
        <f>EJ117*VLOOKUP('Données projet'!$B$15,Paramètres!$A$1:$I$89,3,0)*VLOOKUP('Données projet'!$B$15,Paramètres!$A$1:$I$89,5,0)</f>
        <v>1.1439169611549005E-13</v>
      </c>
      <c r="EL117" s="14">
        <f t="shared" si="99"/>
        <v>1.6918016515029816E-12</v>
      </c>
      <c r="EM117" s="22">
        <f t="shared" si="73"/>
        <v>3.1457867471021712E-12</v>
      </c>
      <c r="EN117" s="60">
        <f t="shared" si="74"/>
        <v>280.86541503470858</v>
      </c>
      <c r="EO117" s="60">
        <f ca="1">AVERAGE(OFFSET($EN$3,0,0,'Données projet'!$E$15+1,1))-AVERAGE(OFFSET($H$3,0,0,'Données projet'!$E$15+1,1))</f>
        <v>344.62096650402731</v>
      </c>
      <c r="EP117" s="60">
        <f t="shared" si="100"/>
        <v>277.30931495079346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3.4106051316484809E-13</v>
      </c>
      <c r="FF117" s="18">
        <f>FE117*VLOOKUP('Données projet'!$B$16,Paramètres!$A$1:$I$89,3,0)*VLOOKUP('Données projet'!$B$16,Paramètres!$A$1:$I$89,5,0)</f>
        <v>2.9795046430081134E-13</v>
      </c>
      <c r="FG117" s="14">
        <f t="shared" si="101"/>
        <v>3.9419014464513778E-12</v>
      </c>
      <c r="FH117" s="22">
        <f t="shared" si="76"/>
        <v>7.384408744560063E-12</v>
      </c>
      <c r="FI117" s="60">
        <f t="shared" si="77"/>
        <v>280.86541503471284</v>
      </c>
      <c r="FJ117" s="60">
        <f ca="1">AVERAGE(OFFSET($FI$3,0,0,'Données projet'!$E$16+1,1))-AVERAGE(OFFSET($H$3,0,0,'Données projet'!$E$16+1,1))</f>
        <v>363.28611056308665</v>
      </c>
      <c r="FK117" s="60">
        <f t="shared" si="102"/>
        <v>389.43647559455974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3.7</v>
      </c>
      <c r="FZ117" s="13">
        <f>IF('Données projet'!$A$244&gt;35,FZ116+FY117-GH116,IF(A117&lt;'Données projet'!$A$244,$FW$205^A117,IF(A117='Données projet'!$A$244,'Données projet'!$B$244,FZ116+FY117-GH116)))</f>
        <v>280.79999999999956</v>
      </c>
      <c r="GA117" s="18">
        <f>FZ117*VLOOKUP('Données projet'!$B$17,Paramètres!$A$1:$I$89,3,0)*VLOOKUP('Données projet'!$B$17,Paramètres!$A$1:$I$89,5,0)</f>
        <v>302.25311999999951</v>
      </c>
      <c r="GB117" s="14">
        <f t="shared" si="103"/>
        <v>71.648598083211283</v>
      </c>
      <c r="GC117" s="22">
        <f t="shared" si="79"/>
        <v>651.21215899492529</v>
      </c>
      <c r="GD117" s="60">
        <f t="shared" si="80"/>
        <v>932.0775740296308</v>
      </c>
      <c r="GE117" s="60">
        <f ca="1">AVERAGE(OFFSET($GD$3,0,0,'Données projet'!$E$17+1,1))-AVERAGE(OFFSET($H$3,0,0,'Données projet'!$E$17+1,1))</f>
        <v>542.90832990875208</v>
      </c>
      <c r="GF117" s="60">
        <f t="shared" si="104"/>
        <v>304.94365539329362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2.7134774427395314E-13</v>
      </c>
      <c r="P118" s="14">
        <f t="shared" si="87"/>
        <v>3.6292411711343559E-12</v>
      </c>
      <c r="Q118" s="22">
        <f t="shared" si="107"/>
        <v>6.7935256943361388E-12</v>
      </c>
      <c r="R118" s="60">
        <f t="shared" si="55"/>
        <v>281.08170554310408</v>
      </c>
      <c r="S118" s="60">
        <f ca="1">AVERAGE(OFFSET($R$3,0,0,'Données projet'!$E$9+1,1))-AVERAGE(OFFSET($H$3,0,0,'Données projet'!$E$9+1,1))</f>
        <v>336.25341821407534</v>
      </c>
      <c r="T118" s="60">
        <f t="shared" si="88"/>
        <v>360.3246221345039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903.27398228206562</v>
      </c>
      <c r="AN118" s="60">
        <f ca="1">AVERAGE(OFFSET($AM$3,0,0,'Données projet'!$E$10+1,1))-AVERAGE(OFFSET($H$3,0,0,'Données projet'!$E$10+1,1))</f>
        <v>516.30971934066179</v>
      </c>
      <c r="AO118" s="60">
        <f t="shared" si="90"/>
        <v>290.84286505723571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0">
        <f t="shared" si="62"/>
        <v>281.08170554310408</v>
      </c>
      <c r="BI118" s="60">
        <f ca="1">AVERAGE(OFFSET($BH$3,0,0,'Données projet'!$E$11+1,1))-AVERAGE(OFFSET($H$3,0,0,'Données projet'!$E$11+1,1))</f>
        <v>336.25341821407534</v>
      </c>
      <c r="BJ118" s="60">
        <f t="shared" si="92"/>
        <v>360.3246221345039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2.884615384615381</v>
      </c>
      <c r="BY118" s="13">
        <f>IF('Données projet'!$A$114&gt;35,BY117+BX118-CG117,IF(A118&lt;'Données projet'!$A$114,$BV$205^A118,IF(A118='Données projet'!$A$114,'Données projet'!$B$114,BY117+BX118-CG117)))</f>
        <v>245.19230769230782</v>
      </c>
      <c r="BZ118" s="14">
        <f>BY118*VLOOKUP('Données projet'!$B$12,Paramètres!$A$1:$I$89,3,0)*VLOOKUP('Données projet'!$B$12,Paramètres!$A$1:$I$89,5,0)</f>
        <v>233.32500000000013</v>
      </c>
      <c r="CA118" s="14">
        <f t="shared" si="93"/>
        <v>57.001022602640226</v>
      </c>
      <c r="CB118" s="22">
        <f t="shared" si="64"/>
        <v>505.65115603293197</v>
      </c>
      <c r="CC118" s="60">
        <f t="shared" si="65"/>
        <v>786.73286157602922</v>
      </c>
      <c r="CD118" s="60">
        <f ca="1">AVERAGE(OFFSET($CC$3,0,0,'Données projet'!$E$12+1,1))-AVERAGE(OFFSET($H$3,0,0,'Données projet'!$E$12+1,1))</f>
        <v>398.29746143975166</v>
      </c>
      <c r="CE118" s="60">
        <f t="shared" si="94"/>
        <v>300.63705521148802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275.16839999999956</v>
      </c>
      <c r="CV118" s="14">
        <f t="shared" si="95"/>
        <v>65.944920834841554</v>
      </c>
      <c r="CW118" s="22">
        <f t="shared" si="67"/>
        <v>594.10570045401494</v>
      </c>
      <c r="CX118" s="60">
        <f t="shared" si="68"/>
        <v>875.18740599711214</v>
      </c>
      <c r="CY118" s="60">
        <f ca="1">AVERAGE(OFFSET($CX$3,0,0,'Données projet'!$E$13+1,1))-AVERAGE(OFFSET($H$3,0,0,'Données projet'!$E$13+1,1))</f>
        <v>496.33873798282525</v>
      </c>
      <c r="CZ118" s="60">
        <f t="shared" si="96"/>
        <v>280.25465074992246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8.8675733422860506E-14</v>
      </c>
      <c r="DQ118" s="14">
        <f t="shared" si="97"/>
        <v>1.3509285393066301E-12</v>
      </c>
      <c r="DR118" s="22">
        <f t="shared" si="70"/>
        <v>2.5073107750038623E-12</v>
      </c>
      <c r="DS118" s="60">
        <f t="shared" si="71"/>
        <v>281.08170554309976</v>
      </c>
      <c r="DT118" s="60">
        <f ca="1">AVERAGE(OFFSET($DS$3,0,0,'Données projet'!$E$14+1,1))-AVERAGE(OFFSET($H$3,0,0,'Données projet'!$E$14+1,1))</f>
        <v>312.59632808777332</v>
      </c>
      <c r="DU118" s="60">
        <f t="shared" si="98"/>
        <v>302.59481222418219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1.7053025658242404E-13</v>
      </c>
      <c r="EK118" s="18">
        <f>EJ118*VLOOKUP('Données projet'!$B$15,Paramètres!$A$1:$I$89,3,0)*VLOOKUP('Données projet'!$B$15,Paramètres!$A$1:$I$89,5,0)</f>
        <v>1.1439169611549005E-13</v>
      </c>
      <c r="EL118" s="14">
        <f t="shared" si="99"/>
        <v>1.6918016515029816E-12</v>
      </c>
      <c r="EM118" s="22">
        <f t="shared" si="73"/>
        <v>3.1457867471021712E-12</v>
      </c>
      <c r="EN118" s="60">
        <f t="shared" si="74"/>
        <v>281.08170554310038</v>
      </c>
      <c r="EO118" s="60">
        <f ca="1">AVERAGE(OFFSET($EN$3,0,0,'Données projet'!$E$15+1,1))-AVERAGE(OFFSET($H$3,0,0,'Données projet'!$E$15+1,1))</f>
        <v>344.62096650402731</v>
      </c>
      <c r="EP118" s="60">
        <f t="shared" si="100"/>
        <v>277.30931495079346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3.4106051316484809E-13</v>
      </c>
      <c r="FF118" s="18">
        <f>FE118*VLOOKUP('Données projet'!$B$16,Paramètres!$A$1:$I$89,3,0)*VLOOKUP('Données projet'!$B$16,Paramètres!$A$1:$I$89,5,0)</f>
        <v>2.9795046430081134E-13</v>
      </c>
      <c r="FG118" s="14">
        <f t="shared" si="101"/>
        <v>3.9419014464513778E-12</v>
      </c>
      <c r="FH118" s="22">
        <f t="shared" si="76"/>
        <v>7.384408744560063E-12</v>
      </c>
      <c r="FI118" s="60">
        <f t="shared" si="77"/>
        <v>281.08170554310465</v>
      </c>
      <c r="FJ118" s="60">
        <f ca="1">AVERAGE(OFFSET($FI$3,0,0,'Données projet'!$E$16+1,1))-AVERAGE(OFFSET($H$3,0,0,'Données projet'!$E$16+1,1))</f>
        <v>363.28611056308665</v>
      </c>
      <c r="FK118" s="60">
        <f t="shared" si="102"/>
        <v>389.43647559455974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3.7</v>
      </c>
      <c r="FZ118" s="13">
        <f>IF('Données projet'!$A$244&gt;35,FZ117+FY118-GH117,IF(A118&lt;'Données projet'!$A$244,$FW$205^A118,IF(A118='Données projet'!$A$244,'Données projet'!$B$244,FZ117+FY118-GH117)))</f>
        <v>284.49999999999955</v>
      </c>
      <c r="GA118" s="18">
        <f>FZ118*VLOOKUP('Données projet'!$B$17,Paramètres!$A$1:$I$89,3,0)*VLOOKUP('Données projet'!$B$17,Paramètres!$A$1:$I$89,5,0)</f>
        <v>306.23579999999947</v>
      </c>
      <c r="GB118" s="14">
        <f t="shared" si="103"/>
        <v>72.482157320026886</v>
      </c>
      <c r="GC118" s="22">
        <f t="shared" si="79"/>
        <v>659.6004423323792</v>
      </c>
      <c r="GD118" s="60">
        <f t="shared" si="80"/>
        <v>940.6821478754764</v>
      </c>
      <c r="GE118" s="60">
        <f ca="1">AVERAGE(OFFSET($GD$3,0,0,'Données projet'!$E$17+1,1))-AVERAGE(OFFSET($H$3,0,0,'Données projet'!$E$17+1,1))</f>
        <v>542.90832990875208</v>
      </c>
      <c r="GF118" s="60">
        <f t="shared" si="104"/>
        <v>304.94365539329362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2.7134774427395314E-13</v>
      </c>
      <c r="P119" s="14">
        <f t="shared" si="87"/>
        <v>3.6292411711343559E-12</v>
      </c>
      <c r="Q119" s="22">
        <f t="shared" si="107"/>
        <v>6.7935256943361388E-12</v>
      </c>
      <c r="R119" s="60">
        <f t="shared" si="55"/>
        <v>281.29424389472831</v>
      </c>
      <c r="S119" s="60">
        <f ca="1">AVERAGE(OFFSET($R$3,0,0,'Données projet'!$E$9+1,1))-AVERAGE(OFFSET($H$3,0,0,'Données projet'!$E$9+1,1))</f>
        <v>336.25341821407534</v>
      </c>
      <c r="T119" s="60">
        <f t="shared" si="88"/>
        <v>360.3246221345039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911.39598331521825</v>
      </c>
      <c r="AN119" s="60">
        <f ca="1">AVERAGE(OFFSET($AM$3,0,0,'Données projet'!$E$10+1,1))-AVERAGE(OFFSET($H$3,0,0,'Données projet'!$E$10+1,1))</f>
        <v>516.30971934066179</v>
      </c>
      <c r="AO119" s="60">
        <f t="shared" si="90"/>
        <v>290.84286505723571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0">
        <f t="shared" si="62"/>
        <v>281.29424389472831</v>
      </c>
      <c r="BI119" s="60">
        <f ca="1">AVERAGE(OFFSET($BH$3,0,0,'Données projet'!$E$11+1,1))-AVERAGE(OFFSET($H$3,0,0,'Données projet'!$E$11+1,1))</f>
        <v>336.25341821407534</v>
      </c>
      <c r="BJ119" s="60">
        <f t="shared" si="92"/>
        <v>360.3246221345039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2.884615384615381</v>
      </c>
      <c r="BY119" s="13">
        <f>IF('Données projet'!$A$114&gt;35,BY118+BX119-CG118,IF(A119&lt;'Données projet'!$A$114,$BV$205^A119,IF(A119='Données projet'!$A$114,'Données projet'!$B$114,BY118+BX119-CG118)))</f>
        <v>248.07692307692321</v>
      </c>
      <c r="BZ119" s="14">
        <f>BY119*VLOOKUP('Données projet'!$B$12,Paramètres!$A$1:$I$89,3,0)*VLOOKUP('Données projet'!$B$12,Paramètres!$A$1:$I$89,5,0)</f>
        <v>236.07000000000014</v>
      </c>
      <c r="CA119" s="14">
        <f t="shared" si="93"/>
        <v>57.593161045607886</v>
      </c>
      <c r="CB119" s="22">
        <f t="shared" si="64"/>
        <v>511.46333882110065</v>
      </c>
      <c r="CC119" s="60">
        <f t="shared" si="65"/>
        <v>792.75758271582208</v>
      </c>
      <c r="CD119" s="60">
        <f ca="1">AVERAGE(OFFSET($CC$3,0,0,'Données projet'!$E$12+1,1))-AVERAGE(OFFSET($H$3,0,0,'Données projet'!$E$12+1,1))</f>
        <v>398.29746143975166</v>
      </c>
      <c r="CE119" s="60">
        <f t="shared" si="94"/>
        <v>300.63705521148802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278.74703999999957</v>
      </c>
      <c r="CV119" s="14">
        <f t="shared" si="95"/>
        <v>66.702153339553135</v>
      </c>
      <c r="CW119" s="22">
        <f t="shared" si="67"/>
        <v>601.65734506638762</v>
      </c>
      <c r="CX119" s="60">
        <f t="shared" si="68"/>
        <v>882.95158896110911</v>
      </c>
      <c r="CY119" s="60">
        <f ca="1">AVERAGE(OFFSET($CX$3,0,0,'Données projet'!$E$13+1,1))-AVERAGE(OFFSET($H$3,0,0,'Données projet'!$E$13+1,1))</f>
        <v>496.33873798282525</v>
      </c>
      <c r="CZ119" s="60">
        <f t="shared" si="96"/>
        <v>280.25465074992246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8.8675733422860506E-14</v>
      </c>
      <c r="DQ119" s="14">
        <f t="shared" si="97"/>
        <v>1.3509285393066301E-12</v>
      </c>
      <c r="DR119" s="22">
        <f t="shared" si="70"/>
        <v>2.5073107750038623E-12</v>
      </c>
      <c r="DS119" s="60">
        <f t="shared" si="71"/>
        <v>281.29424389472399</v>
      </c>
      <c r="DT119" s="60">
        <f ca="1">AVERAGE(OFFSET($DS$3,0,0,'Données projet'!$E$14+1,1))-AVERAGE(OFFSET($H$3,0,0,'Données projet'!$E$14+1,1))</f>
        <v>312.59632808777332</v>
      </c>
      <c r="DU119" s="60">
        <f t="shared" si="98"/>
        <v>302.59481222418219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1.7053025658242404E-13</v>
      </c>
      <c r="EK119" s="18">
        <f>EJ119*VLOOKUP('Données projet'!$B$15,Paramètres!$A$1:$I$89,3,0)*VLOOKUP('Données projet'!$B$15,Paramètres!$A$1:$I$89,5,0)</f>
        <v>1.1439169611549005E-13</v>
      </c>
      <c r="EL119" s="14">
        <f t="shared" si="99"/>
        <v>1.6918016515029816E-12</v>
      </c>
      <c r="EM119" s="22">
        <f t="shared" si="73"/>
        <v>3.1457867471021712E-12</v>
      </c>
      <c r="EN119" s="60">
        <f t="shared" si="74"/>
        <v>281.29424389472462</v>
      </c>
      <c r="EO119" s="60">
        <f ca="1">AVERAGE(OFFSET($EN$3,0,0,'Données projet'!$E$15+1,1))-AVERAGE(OFFSET($H$3,0,0,'Données projet'!$E$15+1,1))</f>
        <v>344.62096650402731</v>
      </c>
      <c r="EP119" s="60">
        <f t="shared" si="100"/>
        <v>277.30931495079346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3.4106051316484809E-13</v>
      </c>
      <c r="FF119" s="18">
        <f>FE119*VLOOKUP('Données projet'!$B$16,Paramètres!$A$1:$I$89,3,0)*VLOOKUP('Données projet'!$B$16,Paramètres!$A$1:$I$89,5,0)</f>
        <v>2.9795046430081134E-13</v>
      </c>
      <c r="FG119" s="14">
        <f t="shared" si="101"/>
        <v>3.9419014464513778E-12</v>
      </c>
      <c r="FH119" s="22">
        <f t="shared" si="76"/>
        <v>7.384408744560063E-12</v>
      </c>
      <c r="FI119" s="60">
        <f t="shared" si="77"/>
        <v>281.29424389472888</v>
      </c>
      <c r="FJ119" s="60">
        <f ca="1">AVERAGE(OFFSET($FI$3,0,0,'Données projet'!$E$16+1,1))-AVERAGE(OFFSET($H$3,0,0,'Données projet'!$E$16+1,1))</f>
        <v>363.28611056308665</v>
      </c>
      <c r="FK119" s="60">
        <f t="shared" si="102"/>
        <v>389.43647559455974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3.7</v>
      </c>
      <c r="FZ119" s="13">
        <f>IF('Données projet'!$A$244&gt;35,FZ118+FY119-GH118,IF(A119&lt;'Données projet'!$A$244,$FW$205^A119,IF(A119='Données projet'!$A$244,'Données projet'!$B$244,FZ118+FY119-GH118)))</f>
        <v>288.19999999999953</v>
      </c>
      <c r="GA119" s="18">
        <f>FZ119*VLOOKUP('Données projet'!$B$17,Paramètres!$A$1:$I$89,3,0)*VLOOKUP('Données projet'!$B$17,Paramètres!$A$1:$I$89,5,0)</f>
        <v>310.21847999999949</v>
      </c>
      <c r="GB119" s="14">
        <f t="shared" si="103"/>
        <v>73.314455620479848</v>
      </c>
      <c r="GC119" s="22">
        <f t="shared" si="79"/>
        <v>667.98652953900148</v>
      </c>
      <c r="GD119" s="60">
        <f t="shared" si="80"/>
        <v>949.28077343372297</v>
      </c>
      <c r="GE119" s="60">
        <f ca="1">AVERAGE(OFFSET($GD$3,0,0,'Données projet'!$E$17+1,1))-AVERAGE(OFFSET($H$3,0,0,'Données projet'!$E$17+1,1))</f>
        <v>542.90832990875208</v>
      </c>
      <c r="GF119" s="60">
        <f t="shared" si="104"/>
        <v>304.94365539329362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2.7134774427395314E-13</v>
      </c>
      <c r="P120" s="14">
        <f t="shared" si="87"/>
        <v>3.6292411711343559E-12</v>
      </c>
      <c r="Q120" s="22">
        <f t="shared" si="107"/>
        <v>6.7935256943361388E-12</v>
      </c>
      <c r="R120" s="60">
        <f t="shared" si="55"/>
        <v>281.50309518111646</v>
      </c>
      <c r="S120" s="60">
        <f ca="1">AVERAGE(OFFSET($R$3,0,0,'Données projet'!$E$9+1,1))-AVERAGE(OFFSET($H$3,0,0,'Données projet'!$E$9+1,1))</f>
        <v>336.25341821407534</v>
      </c>
      <c r="T120" s="60">
        <f t="shared" si="88"/>
        <v>360.3246221345039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919.51224387103366</v>
      </c>
      <c r="AN120" s="60">
        <f ca="1">AVERAGE(OFFSET($AM$3,0,0,'Données projet'!$E$10+1,1))-AVERAGE(OFFSET($H$3,0,0,'Données projet'!$E$10+1,1))</f>
        <v>516.30971934066179</v>
      </c>
      <c r="AO120" s="60">
        <f t="shared" si="90"/>
        <v>290.84286505723571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0">
        <f t="shared" si="62"/>
        <v>281.50309518111646</v>
      </c>
      <c r="BI120" s="60">
        <f ca="1">AVERAGE(OFFSET($BH$3,0,0,'Données projet'!$E$11+1,1))-AVERAGE(OFFSET($H$3,0,0,'Données projet'!$E$11+1,1))</f>
        <v>336.25341821407534</v>
      </c>
      <c r="BJ120" s="60">
        <f t="shared" si="92"/>
        <v>360.3246221345039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2.884615384615381</v>
      </c>
      <c r="BY120" s="13">
        <f>IF('Données projet'!$A$114&gt;35,BY119+BX120-CG119,IF(A120&lt;'Données projet'!$A$114,$BV$205^A120,IF(A120='Données projet'!$A$114,'Données projet'!$B$114,BY119+BX120-CG119)))</f>
        <v>250.96153846153859</v>
      </c>
      <c r="BZ120" s="14">
        <f>BY120*VLOOKUP('Données projet'!$B$12,Paramètres!$A$1:$I$89,3,0)*VLOOKUP('Données projet'!$B$12,Paramètres!$A$1:$I$89,5,0)</f>
        <v>238.81500000000014</v>
      </c>
      <c r="CA120" s="14">
        <f t="shared" si="93"/>
        <v>58.184498559125089</v>
      </c>
      <c r="CB120" s="22">
        <f t="shared" si="64"/>
        <v>517.27412665714303</v>
      </c>
      <c r="CC120" s="60">
        <f t="shared" si="65"/>
        <v>798.77722183825267</v>
      </c>
      <c r="CD120" s="60">
        <f ca="1">AVERAGE(OFFSET($CC$3,0,0,'Données projet'!$E$12+1,1))-AVERAGE(OFFSET($H$3,0,0,'Données projet'!$E$12+1,1))</f>
        <v>398.29746143975166</v>
      </c>
      <c r="CE120" s="60">
        <f t="shared" si="94"/>
        <v>300.63705521148802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282.32567999999952</v>
      </c>
      <c r="CV120" s="14">
        <f t="shared" si="95"/>
        <v>67.458255064229917</v>
      </c>
      <c r="CW120" s="22">
        <f t="shared" si="67"/>
        <v>609.20702023686624</v>
      </c>
      <c r="CX120" s="60">
        <f t="shared" si="68"/>
        <v>890.71011541797589</v>
      </c>
      <c r="CY120" s="60">
        <f ca="1">AVERAGE(OFFSET($CX$3,0,0,'Données projet'!$E$13+1,1))-AVERAGE(OFFSET($H$3,0,0,'Données projet'!$E$13+1,1))</f>
        <v>496.33873798282525</v>
      </c>
      <c r="CZ120" s="60">
        <f t="shared" si="96"/>
        <v>280.25465074992246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8.8675733422860506E-14</v>
      </c>
      <c r="DQ120" s="14">
        <f t="shared" si="97"/>
        <v>1.3509285393066301E-12</v>
      </c>
      <c r="DR120" s="22">
        <f t="shared" si="70"/>
        <v>2.5073107750038623E-12</v>
      </c>
      <c r="DS120" s="60">
        <f t="shared" si="71"/>
        <v>281.50309518111214</v>
      </c>
      <c r="DT120" s="60">
        <f ca="1">AVERAGE(OFFSET($DS$3,0,0,'Données projet'!$E$14+1,1))-AVERAGE(OFFSET($H$3,0,0,'Données projet'!$E$14+1,1))</f>
        <v>312.59632808777332</v>
      </c>
      <c r="DU120" s="60">
        <f t="shared" si="98"/>
        <v>302.59481222418219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1.7053025658242404E-13</v>
      </c>
      <c r="EK120" s="18">
        <f>EJ120*VLOOKUP('Données projet'!$B$15,Paramètres!$A$1:$I$89,3,0)*VLOOKUP('Données projet'!$B$15,Paramètres!$A$1:$I$89,5,0)</f>
        <v>1.1439169611549005E-13</v>
      </c>
      <c r="EL120" s="14">
        <f t="shared" si="99"/>
        <v>1.6918016515029816E-12</v>
      </c>
      <c r="EM120" s="22">
        <f t="shared" si="73"/>
        <v>3.1457867471021712E-12</v>
      </c>
      <c r="EN120" s="60">
        <f t="shared" si="74"/>
        <v>281.50309518111277</v>
      </c>
      <c r="EO120" s="60">
        <f ca="1">AVERAGE(OFFSET($EN$3,0,0,'Données projet'!$E$15+1,1))-AVERAGE(OFFSET($H$3,0,0,'Données projet'!$E$15+1,1))</f>
        <v>344.62096650402731</v>
      </c>
      <c r="EP120" s="60">
        <f t="shared" si="100"/>
        <v>277.30931495079346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3.4106051316484809E-13</v>
      </c>
      <c r="FF120" s="18">
        <f>FE120*VLOOKUP('Données projet'!$B$16,Paramètres!$A$1:$I$89,3,0)*VLOOKUP('Données projet'!$B$16,Paramètres!$A$1:$I$89,5,0)</f>
        <v>2.9795046430081134E-13</v>
      </c>
      <c r="FG120" s="14">
        <f t="shared" si="101"/>
        <v>3.9419014464513778E-12</v>
      </c>
      <c r="FH120" s="22">
        <f t="shared" si="76"/>
        <v>7.384408744560063E-12</v>
      </c>
      <c r="FI120" s="60">
        <f t="shared" si="77"/>
        <v>281.50309518111703</v>
      </c>
      <c r="FJ120" s="60">
        <f ca="1">AVERAGE(OFFSET($FI$3,0,0,'Données projet'!$E$16+1,1))-AVERAGE(OFFSET($H$3,0,0,'Données projet'!$E$16+1,1))</f>
        <v>363.28611056308665</v>
      </c>
      <c r="FK120" s="60">
        <f t="shared" si="102"/>
        <v>389.43647559455974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3.7</v>
      </c>
      <c r="FZ120" s="13">
        <f>IF('Données projet'!$A$244&gt;35,FZ119+FY120-GH119,IF(A120&lt;'Données projet'!$A$244,$FW$205^A120,IF(A120='Données projet'!$A$244,'Données projet'!$B$244,FZ119+FY120-GH119)))</f>
        <v>291.89999999999952</v>
      </c>
      <c r="GA120" s="18">
        <f>FZ120*VLOOKUP('Données projet'!$B$17,Paramètres!$A$1:$I$89,3,0)*VLOOKUP('Données projet'!$B$17,Paramètres!$A$1:$I$89,5,0)</f>
        <v>314.2011599999995</v>
      </c>
      <c r="GB120" s="14">
        <f t="shared" si="103"/>
        <v>74.145511044675771</v>
      </c>
      <c r="GC120" s="22">
        <f t="shared" si="79"/>
        <v>676.37045206947607</v>
      </c>
      <c r="GD120" s="60">
        <f t="shared" si="80"/>
        <v>957.87354725058572</v>
      </c>
      <c r="GE120" s="60">
        <f ca="1">AVERAGE(OFFSET($GD$3,0,0,'Données projet'!$E$17+1,1))-AVERAGE(OFFSET($H$3,0,0,'Données projet'!$E$17+1,1))</f>
        <v>542.90832990875208</v>
      </c>
      <c r="GF120" s="60">
        <f t="shared" si="104"/>
        <v>304.94365539329362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2.7134774427395314E-13</v>
      </c>
      <c r="P121" s="14">
        <f t="shared" si="87"/>
        <v>3.6292411711343559E-12</v>
      </c>
      <c r="Q121" s="22">
        <f t="shared" si="107"/>
        <v>6.7935256943361388E-12</v>
      </c>
      <c r="R121" s="60">
        <f t="shared" si="55"/>
        <v>281.70832336460722</v>
      </c>
      <c r="S121" s="60">
        <f ca="1">AVERAGE(OFFSET($R$3,0,0,'Données projet'!$E$9+1,1))-AVERAGE(OFFSET($H$3,0,0,'Données projet'!$E$9+1,1))</f>
        <v>336.25341821407534</v>
      </c>
      <c r="T121" s="60">
        <f t="shared" si="88"/>
        <v>360.3246221345039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927.62285694984485</v>
      </c>
      <c r="AN121" s="60">
        <f ca="1">AVERAGE(OFFSET($AM$3,0,0,'Données projet'!$E$10+1,1))-AVERAGE(OFFSET($H$3,0,0,'Données projet'!$E$10+1,1))</f>
        <v>516.30971934066179</v>
      </c>
      <c r="AO121" s="60">
        <f t="shared" si="90"/>
        <v>290.84286505723571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0">
        <f t="shared" si="62"/>
        <v>281.70832336460722</v>
      </c>
      <c r="BI121" s="60">
        <f ca="1">AVERAGE(OFFSET($BH$3,0,0,'Données projet'!$E$11+1,1))-AVERAGE(OFFSET($H$3,0,0,'Données projet'!$E$11+1,1))</f>
        <v>336.25341821407534</v>
      </c>
      <c r="BJ121" s="60">
        <f t="shared" si="92"/>
        <v>360.3246221345039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2.884615384615381</v>
      </c>
      <c r="BY121" s="13">
        <f>IF('Données projet'!$A$114&gt;35,BY120+BX121-CG120,IF(A121&lt;'Données projet'!$A$114,$BV$205^A121,IF(A121='Données projet'!$A$114,'Données projet'!$B$114,BY120+BX121-CG120)))</f>
        <v>253.84615384615398</v>
      </c>
      <c r="BZ121" s="14">
        <f>BY121*VLOOKUP('Données projet'!$B$12,Paramètres!$A$1:$I$89,3,0)*VLOOKUP('Données projet'!$B$12,Paramètres!$A$1:$I$89,5,0)</f>
        <v>241.56000000000014</v>
      </c>
      <c r="CA121" s="14">
        <f t="shared" si="93"/>
        <v>58.775045414448314</v>
      </c>
      <c r="CB121" s="22">
        <f t="shared" si="64"/>
        <v>523.08353743016437</v>
      </c>
      <c r="CC121" s="60">
        <f t="shared" si="65"/>
        <v>804.79186079476472</v>
      </c>
      <c r="CD121" s="60">
        <f ca="1">AVERAGE(OFFSET($CC$3,0,0,'Données projet'!$E$12+1,1))-AVERAGE(OFFSET($H$3,0,0,'Données projet'!$E$12+1,1))</f>
        <v>398.29746143975166</v>
      </c>
      <c r="CE121" s="60">
        <f t="shared" si="94"/>
        <v>300.63705521148802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285.90431999999953</v>
      </c>
      <c r="CV121" s="14">
        <f t="shared" si="95"/>
        <v>68.213241999614453</v>
      </c>
      <c r="CW121" s="22">
        <f t="shared" si="67"/>
        <v>616.75475381599438</v>
      </c>
      <c r="CX121" s="60">
        <f t="shared" si="68"/>
        <v>898.46307718059484</v>
      </c>
      <c r="CY121" s="60">
        <f ca="1">AVERAGE(OFFSET($CX$3,0,0,'Données projet'!$E$13+1,1))-AVERAGE(OFFSET($H$3,0,0,'Données projet'!$E$13+1,1))</f>
        <v>496.33873798282525</v>
      </c>
      <c r="CZ121" s="60">
        <f t="shared" si="96"/>
        <v>280.25465074992246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8.8675733422860506E-14</v>
      </c>
      <c r="DQ121" s="14">
        <f t="shared" si="97"/>
        <v>1.3509285393066301E-12</v>
      </c>
      <c r="DR121" s="22">
        <f t="shared" si="70"/>
        <v>2.5073107750038623E-12</v>
      </c>
      <c r="DS121" s="60">
        <f t="shared" si="71"/>
        <v>281.7083233646029</v>
      </c>
      <c r="DT121" s="60">
        <f ca="1">AVERAGE(OFFSET($DS$3,0,0,'Données projet'!$E$14+1,1))-AVERAGE(OFFSET($H$3,0,0,'Données projet'!$E$14+1,1))</f>
        <v>312.59632808777332</v>
      </c>
      <c r="DU121" s="60">
        <f t="shared" si="98"/>
        <v>302.59481222418219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1.7053025658242404E-13</v>
      </c>
      <c r="EK121" s="18">
        <f>EJ121*VLOOKUP('Données projet'!$B$15,Paramètres!$A$1:$I$89,3,0)*VLOOKUP('Données projet'!$B$15,Paramètres!$A$1:$I$89,5,0)</f>
        <v>1.1439169611549005E-13</v>
      </c>
      <c r="EL121" s="14">
        <f t="shared" si="99"/>
        <v>1.6918016515029816E-12</v>
      </c>
      <c r="EM121" s="22">
        <f t="shared" si="73"/>
        <v>3.1457867471021712E-12</v>
      </c>
      <c r="EN121" s="60">
        <f t="shared" si="74"/>
        <v>281.70832336460353</v>
      </c>
      <c r="EO121" s="60">
        <f ca="1">AVERAGE(OFFSET($EN$3,0,0,'Données projet'!$E$15+1,1))-AVERAGE(OFFSET($H$3,0,0,'Données projet'!$E$15+1,1))</f>
        <v>344.62096650402731</v>
      </c>
      <c r="EP121" s="60">
        <f t="shared" si="100"/>
        <v>277.30931495079346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3.4106051316484809E-13</v>
      </c>
      <c r="FF121" s="18">
        <f>FE121*VLOOKUP('Données projet'!$B$16,Paramètres!$A$1:$I$89,3,0)*VLOOKUP('Données projet'!$B$16,Paramètres!$A$1:$I$89,5,0)</f>
        <v>2.9795046430081134E-13</v>
      </c>
      <c r="FG121" s="14">
        <f t="shared" si="101"/>
        <v>3.9419014464513778E-12</v>
      </c>
      <c r="FH121" s="22">
        <f t="shared" si="76"/>
        <v>7.384408744560063E-12</v>
      </c>
      <c r="FI121" s="60">
        <f t="shared" si="77"/>
        <v>281.70832336460779</v>
      </c>
      <c r="FJ121" s="60">
        <f ca="1">AVERAGE(OFFSET($FI$3,0,0,'Données projet'!$E$16+1,1))-AVERAGE(OFFSET($H$3,0,0,'Données projet'!$E$16+1,1))</f>
        <v>363.28611056308665</v>
      </c>
      <c r="FK121" s="60">
        <f t="shared" si="102"/>
        <v>389.43647559455974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3.7</v>
      </c>
      <c r="FZ121" s="13">
        <f>IF('Données projet'!$A$244&gt;35,FZ120+FY121-GH120,IF(A121&lt;'Données projet'!$A$244,$FW$205^A121,IF(A121='Données projet'!$A$244,'Données projet'!$B$244,FZ120+FY121-GH120)))</f>
        <v>295.59999999999951</v>
      </c>
      <c r="GA121" s="18">
        <f>FZ121*VLOOKUP('Données projet'!$B$17,Paramètres!$A$1:$I$89,3,0)*VLOOKUP('Données projet'!$B$17,Paramètres!$A$1:$I$89,5,0)</f>
        <v>318.18383999999946</v>
      </c>
      <c r="GB121" s="14">
        <f t="shared" si="103"/>
        <v>74.975341168547786</v>
      </c>
      <c r="GC121" s="22">
        <f t="shared" si="79"/>
        <v>684.75224053521981</v>
      </c>
      <c r="GD121" s="60">
        <f t="shared" si="80"/>
        <v>966.46056389982027</v>
      </c>
      <c r="GE121" s="60">
        <f ca="1">AVERAGE(OFFSET($GD$3,0,0,'Données projet'!$E$17+1,1))-AVERAGE(OFFSET($H$3,0,0,'Données projet'!$E$17+1,1))</f>
        <v>542.90832990875208</v>
      </c>
      <c r="GF121" s="60">
        <f t="shared" si="104"/>
        <v>304.94365539329362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2.7134774427395314E-13</v>
      </c>
      <c r="P122" s="14">
        <f t="shared" si="87"/>
        <v>3.6292411711343559E-12</v>
      </c>
      <c r="Q122" s="22">
        <f t="shared" si="107"/>
        <v>6.7935256943361388E-12</v>
      </c>
      <c r="R122" s="60">
        <f t="shared" si="55"/>
        <v>281.90999129793596</v>
      </c>
      <c r="S122" s="60">
        <f ca="1">AVERAGE(OFFSET($R$3,0,0,'Données projet'!$E$9+1,1))-AVERAGE(OFFSET($H$3,0,0,'Données projet'!$E$9+1,1))</f>
        <v>336.25341821407534</v>
      </c>
      <c r="T122" s="60">
        <f t="shared" si="88"/>
        <v>360.3246221345039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935.72791367364243</v>
      </c>
      <c r="AN122" s="60">
        <f ca="1">AVERAGE(OFFSET($AM$3,0,0,'Données projet'!$E$10+1,1))-AVERAGE(OFFSET($H$3,0,0,'Données projet'!$E$10+1,1))</f>
        <v>516.30971934066179</v>
      </c>
      <c r="AO122" s="60">
        <f t="shared" si="90"/>
        <v>290.84286505723571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0">
        <f t="shared" si="62"/>
        <v>281.90999129793596</v>
      </c>
      <c r="BI122" s="60">
        <f ca="1">AVERAGE(OFFSET($BH$3,0,0,'Données projet'!$E$11+1,1))-AVERAGE(OFFSET($H$3,0,0,'Données projet'!$E$11+1,1))</f>
        <v>336.25341821407534</v>
      </c>
      <c r="BJ122" s="60">
        <f t="shared" si="92"/>
        <v>360.3246221345039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2.884615384615381</v>
      </c>
      <c r="BY122" s="13">
        <f>IF('Données projet'!$A$114&gt;35,BY121+BX122-CG121,IF(A122&lt;'Données projet'!$A$114,$BV$205^A122,IF(A122='Données projet'!$A$114,'Données projet'!$B$114,BY121+BX122-CG121)))</f>
        <v>256.73076923076934</v>
      </c>
      <c r="BZ122" s="14">
        <f>BY122*VLOOKUP('Données projet'!$B$12,Paramètres!$A$1:$I$89,3,0)*VLOOKUP('Données projet'!$B$12,Paramètres!$A$1:$I$89,5,0)</f>
        <v>244.30500000000009</v>
      </c>
      <c r="CA122" s="14">
        <f t="shared" si="93"/>
        <v>59.364811635957629</v>
      </c>
      <c r="CB122" s="22">
        <f t="shared" si="64"/>
        <v>528.89158859929296</v>
      </c>
      <c r="CC122" s="60">
        <f t="shared" si="65"/>
        <v>810.80157989722215</v>
      </c>
      <c r="CD122" s="60">
        <f ca="1">AVERAGE(OFFSET($CC$3,0,0,'Données projet'!$E$12+1,1))-AVERAGE(OFFSET($H$3,0,0,'Données projet'!$E$12+1,1))</f>
        <v>398.29746143975166</v>
      </c>
      <c r="CE122" s="60">
        <f t="shared" si="94"/>
        <v>300.63705521148802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289.48295999999954</v>
      </c>
      <c r="CV122" s="14">
        <f t="shared" si="95"/>
        <v>68.967129713117401</v>
      </c>
      <c r="CW122" s="22">
        <f t="shared" si="67"/>
        <v>624.300572917012</v>
      </c>
      <c r="CX122" s="60">
        <f t="shared" si="68"/>
        <v>906.21056421494109</v>
      </c>
      <c r="CY122" s="60">
        <f ca="1">AVERAGE(OFFSET($CX$3,0,0,'Données projet'!$E$13+1,1))-AVERAGE(OFFSET($H$3,0,0,'Données projet'!$E$13+1,1))</f>
        <v>496.33873798282525</v>
      </c>
      <c r="CZ122" s="60">
        <f t="shared" si="96"/>
        <v>280.25465074992246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8.8675733422860506E-14</v>
      </c>
      <c r="DQ122" s="14">
        <f t="shared" si="97"/>
        <v>1.3509285393066301E-12</v>
      </c>
      <c r="DR122" s="22">
        <f t="shared" si="70"/>
        <v>2.5073107750038623E-12</v>
      </c>
      <c r="DS122" s="60">
        <f t="shared" si="71"/>
        <v>281.90999129793164</v>
      </c>
      <c r="DT122" s="60">
        <f ca="1">AVERAGE(OFFSET($DS$3,0,0,'Données projet'!$E$14+1,1))-AVERAGE(OFFSET($H$3,0,0,'Données projet'!$E$14+1,1))</f>
        <v>312.59632808777332</v>
      </c>
      <c r="DU122" s="60">
        <f t="shared" si="98"/>
        <v>302.59481222418219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1.7053025658242404E-13</v>
      </c>
      <c r="EK122" s="18">
        <f>EJ122*VLOOKUP('Données projet'!$B$15,Paramètres!$A$1:$I$89,3,0)*VLOOKUP('Données projet'!$B$15,Paramètres!$A$1:$I$89,5,0)</f>
        <v>1.1439169611549005E-13</v>
      </c>
      <c r="EL122" s="14">
        <f t="shared" si="99"/>
        <v>1.6918016515029816E-12</v>
      </c>
      <c r="EM122" s="22">
        <f t="shared" si="73"/>
        <v>3.1457867471021712E-12</v>
      </c>
      <c r="EN122" s="60">
        <f t="shared" si="74"/>
        <v>281.90999129793227</v>
      </c>
      <c r="EO122" s="60">
        <f ca="1">AVERAGE(OFFSET($EN$3,0,0,'Données projet'!$E$15+1,1))-AVERAGE(OFFSET($H$3,0,0,'Données projet'!$E$15+1,1))</f>
        <v>344.62096650402731</v>
      </c>
      <c r="EP122" s="60">
        <f t="shared" si="100"/>
        <v>277.30931495079346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3.4106051316484809E-13</v>
      </c>
      <c r="FF122" s="18">
        <f>FE122*VLOOKUP('Données projet'!$B$16,Paramètres!$A$1:$I$89,3,0)*VLOOKUP('Données projet'!$B$16,Paramètres!$A$1:$I$89,5,0)</f>
        <v>2.9795046430081134E-13</v>
      </c>
      <c r="FG122" s="14">
        <f t="shared" si="101"/>
        <v>3.9419014464513778E-12</v>
      </c>
      <c r="FH122" s="22">
        <f t="shared" si="76"/>
        <v>7.384408744560063E-12</v>
      </c>
      <c r="FI122" s="60">
        <f t="shared" si="77"/>
        <v>281.90999129793653</v>
      </c>
      <c r="FJ122" s="60">
        <f ca="1">AVERAGE(OFFSET($FI$3,0,0,'Données projet'!$E$16+1,1))-AVERAGE(OFFSET($H$3,0,0,'Données projet'!$E$16+1,1))</f>
        <v>363.28611056308665</v>
      </c>
      <c r="FK122" s="60">
        <f t="shared" si="102"/>
        <v>389.43647559455974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3.7</v>
      </c>
      <c r="FZ122" s="13">
        <f>IF('Données projet'!$A$244&gt;35,FZ121+FY122-GH121,IF(A122&lt;'Données projet'!$A$244,$FW$205^A122,IF(A122='Données projet'!$A$244,'Données projet'!$B$244,FZ121+FY122-GH121)))</f>
        <v>299.2999999999995</v>
      </c>
      <c r="GA122" s="18">
        <f>FZ122*VLOOKUP('Données projet'!$B$17,Paramètres!$A$1:$I$89,3,0)*VLOOKUP('Données projet'!$B$17,Paramètres!$A$1:$I$89,5,0)</f>
        <v>322.16651999999942</v>
      </c>
      <c r="GB122" s="14">
        <f t="shared" si="103"/>
        <v>75.803963102731529</v>
      </c>
      <c r="GC122" s="22">
        <f t="shared" si="79"/>
        <v>693.13192473725633</v>
      </c>
      <c r="GD122" s="60">
        <f t="shared" si="80"/>
        <v>975.04191603518552</v>
      </c>
      <c r="GE122" s="60">
        <f ca="1">AVERAGE(OFFSET($GD$3,0,0,'Données projet'!$E$17+1,1))-AVERAGE(OFFSET($H$3,0,0,'Données projet'!$E$17+1,1))</f>
        <v>542.90832990875208</v>
      </c>
      <c r="GF122" s="60">
        <f t="shared" si="104"/>
        <v>304.94365539329362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2.7134774427395314E-13</v>
      </c>
      <c r="P123" s="14">
        <f t="shared" si="87"/>
        <v>3.6292411711343559E-12</v>
      </c>
      <c r="Q123" s="22">
        <f t="shared" si="107"/>
        <v>6.7935256943361388E-12</v>
      </c>
      <c r="R123" s="60">
        <f t="shared" si="55"/>
        <v>282.10816074348344</v>
      </c>
      <c r="S123" s="60">
        <f ca="1">AVERAGE(OFFSET($R$3,0,0,'Données projet'!$E$9+1,1))-AVERAGE(OFFSET($H$3,0,0,'Données projet'!$E$9+1,1))</f>
        <v>336.25341821407534</v>
      </c>
      <c r="T123" s="60">
        <f t="shared" si="88"/>
        <v>360.3246221345039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943.82750333492095</v>
      </c>
      <c r="AN123" s="60">
        <f ca="1">AVERAGE(OFFSET($AM$3,0,0,'Données projet'!$E$10+1,1))-AVERAGE(OFFSET($H$3,0,0,'Données projet'!$E$10+1,1))</f>
        <v>516.30971934066179</v>
      </c>
      <c r="AO123" s="60">
        <f t="shared" si="90"/>
        <v>290.84286505723571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0">
        <f t="shared" si="62"/>
        <v>282.10816074348344</v>
      </c>
      <c r="BI123" s="60">
        <f ca="1">AVERAGE(OFFSET($BH$3,0,0,'Données projet'!$E$11+1,1))-AVERAGE(OFFSET($H$3,0,0,'Données projet'!$E$11+1,1))</f>
        <v>336.25341821407534</v>
      </c>
      <c r="BJ123" s="60">
        <f t="shared" si="92"/>
        <v>360.3246221345039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259.61538461538458</v>
      </c>
      <c r="BW123" s="13">
        <f>VLOOKUP(A123,'Données projet'!$A$113:$I$133,9,0)</f>
        <v>2.884615384615381</v>
      </c>
      <c r="BX123" s="13">
        <f t="array" ref="BX123">INDEX(BW:BW,MIN(IF(ISNUMBER(BW123:BW319),ROW(BW123:BW319),"")))</f>
        <v>2.884615384615381</v>
      </c>
      <c r="BY123" s="13">
        <f>IF('Données projet'!$A$114&gt;35,BY122+BX123-CG122,IF(A123&lt;'Données projet'!$A$114,$BV$205^A123,IF(A123='Données projet'!$A$114,'Données projet'!$B$114,BY122+BX123-CG122)))</f>
        <v>259.6153846153847</v>
      </c>
      <c r="BZ123" s="14">
        <f>BY123*VLOOKUP('Données projet'!$B$12,Paramètres!$A$1:$I$89,3,0)*VLOOKUP('Données projet'!$B$12,Paramètres!$A$1:$I$89,5,0)</f>
        <v>247.0500000000001</v>
      </c>
      <c r="CA123" s="14">
        <f t="shared" si="93"/>
        <v>59.953807009796499</v>
      </c>
      <c r="CB123" s="22">
        <f t="shared" si="64"/>
        <v>534.69829720872906</v>
      </c>
      <c r="CC123" s="60">
        <f t="shared" si="65"/>
        <v>816.80645795220562</v>
      </c>
      <c r="CD123" s="60">
        <f ca="1">AVERAGE(OFFSET($CC$3,0,0,'Données projet'!$E$12+1,1))-AVERAGE(OFFSET($H$3,0,0,'Données projet'!$E$12+1,1))</f>
        <v>398.29746143975166</v>
      </c>
      <c r="CE123" s="60">
        <f t="shared" si="94"/>
        <v>300.63705521148802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259.61538461538458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293.06159999999949</v>
      </c>
      <c r="CV123" s="14">
        <f t="shared" si="95"/>
        <v>69.719933365116432</v>
      </c>
      <c r="CW123" s="22">
        <f t="shared" si="67"/>
        <v>631.84450394424357</v>
      </c>
      <c r="CX123" s="60">
        <f t="shared" si="68"/>
        <v>913.95266468772024</v>
      </c>
      <c r="CY123" s="60">
        <f ca="1">AVERAGE(OFFSET($CX$3,0,0,'Données projet'!$E$13+1,1))-AVERAGE(OFFSET($H$3,0,0,'Données projet'!$E$13+1,1))</f>
        <v>496.33873798282525</v>
      </c>
      <c r="CZ123" s="60">
        <f t="shared" si="96"/>
        <v>280.25465074992246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8.8675733422860506E-14</v>
      </c>
      <c r="DQ123" s="14">
        <f t="shared" si="97"/>
        <v>1.3509285393066301E-12</v>
      </c>
      <c r="DR123" s="22">
        <f t="shared" si="70"/>
        <v>2.5073107750038623E-12</v>
      </c>
      <c r="DS123" s="60">
        <f t="shared" si="71"/>
        <v>282.10816074347912</v>
      </c>
      <c r="DT123" s="60">
        <f ca="1">AVERAGE(OFFSET($DS$3,0,0,'Données projet'!$E$14+1,1))-AVERAGE(OFFSET($H$3,0,0,'Données projet'!$E$14+1,1))</f>
        <v>312.59632808777332</v>
      </c>
      <c r="DU123" s="60">
        <f t="shared" si="98"/>
        <v>302.59481222418219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1.7053025658242404E-13</v>
      </c>
      <c r="EK123" s="18">
        <f>EJ123*VLOOKUP('Données projet'!$B$15,Paramètres!$A$1:$I$89,3,0)*VLOOKUP('Données projet'!$B$15,Paramètres!$A$1:$I$89,5,0)</f>
        <v>1.1439169611549005E-13</v>
      </c>
      <c r="EL123" s="14">
        <f t="shared" si="99"/>
        <v>1.6918016515029816E-12</v>
      </c>
      <c r="EM123" s="22">
        <f t="shared" si="73"/>
        <v>3.1457867471021712E-12</v>
      </c>
      <c r="EN123" s="60">
        <f t="shared" si="74"/>
        <v>282.10816074347974</v>
      </c>
      <c r="EO123" s="60">
        <f ca="1">AVERAGE(OFFSET($EN$3,0,0,'Données projet'!$E$15+1,1))-AVERAGE(OFFSET($H$3,0,0,'Données projet'!$E$15+1,1))</f>
        <v>344.62096650402731</v>
      </c>
      <c r="EP123" s="60">
        <f t="shared" si="100"/>
        <v>277.30931495079346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3.4106051316484809E-13</v>
      </c>
      <c r="FF123" s="18">
        <f>FE123*VLOOKUP('Données projet'!$B$16,Paramètres!$A$1:$I$89,3,0)*VLOOKUP('Données projet'!$B$16,Paramètres!$A$1:$I$89,5,0)</f>
        <v>2.9795046430081134E-13</v>
      </c>
      <c r="FG123" s="14">
        <f t="shared" si="101"/>
        <v>3.9419014464513778E-12</v>
      </c>
      <c r="FH123" s="22">
        <f t="shared" si="76"/>
        <v>7.384408744560063E-12</v>
      </c>
      <c r="FI123" s="60">
        <f t="shared" si="77"/>
        <v>282.10816074348401</v>
      </c>
      <c r="FJ123" s="60">
        <f ca="1">AVERAGE(OFFSET($FI$3,0,0,'Données projet'!$E$16+1,1))-AVERAGE(OFFSET($H$3,0,0,'Données projet'!$E$16+1,1))</f>
        <v>363.28611056308665</v>
      </c>
      <c r="FK123" s="60">
        <f t="shared" si="102"/>
        <v>389.43647559455974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303</v>
      </c>
      <c r="FX123" s="13">
        <f>VLOOKUP(A123,'Données projet'!$A$243:$I$263,9,0)</f>
        <v>3.7</v>
      </c>
      <c r="FY123" s="13">
        <f t="array" ref="FY123">INDEX(FX:FX,MIN(IF(ISNUMBER(FX123:FX319),ROW(FX123:FX319),"")))</f>
        <v>3.7</v>
      </c>
      <c r="FZ123" s="13">
        <f>IF('Données projet'!$A$244&gt;35,FZ122+FY123-GH122,IF(A123&lt;'Données projet'!$A$244,$FW$205^A123,IF(A123='Données projet'!$A$244,'Données projet'!$B$244,FZ122+FY123-GH122)))</f>
        <v>302.99999999999949</v>
      </c>
      <c r="GA123" s="18">
        <f>FZ123*VLOOKUP('Données projet'!$B$17,Paramètres!$A$1:$I$89,3,0)*VLOOKUP('Données projet'!$B$17,Paramètres!$A$1:$I$89,5,0)</f>
        <v>326.14919999999944</v>
      </c>
      <c r="GB123" s="14">
        <f t="shared" si="103"/>
        <v>76.631393510479555</v>
      </c>
      <c r="GC123" s="22">
        <f t="shared" si="79"/>
        <v>701.50953369741762</v>
      </c>
      <c r="GD123" s="60">
        <f t="shared" si="80"/>
        <v>983.61769444089418</v>
      </c>
      <c r="GE123" s="60">
        <f ca="1">AVERAGE(OFFSET($GD$3,0,0,'Données projet'!$E$17+1,1))-AVERAGE(OFFSET($H$3,0,0,'Données projet'!$E$17+1,1))</f>
        <v>542.90832990875208</v>
      </c>
      <c r="GF123" s="60">
        <f t="shared" si="104"/>
        <v>304.94365539329362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35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2.7134774427395314E-13</v>
      </c>
      <c r="P124" s="14">
        <f t="shared" si="87"/>
        <v>3.6292411711343559E-12</v>
      </c>
      <c r="Q124" s="22">
        <f t="shared" si="107"/>
        <v>6.7935256943361388E-12</v>
      </c>
      <c r="R124" s="60">
        <f t="shared" si="55"/>
        <v>282.30289239219121</v>
      </c>
      <c r="S124" s="60">
        <f ca="1">AVERAGE(OFFSET($R$3,0,0,'Données projet'!$E$9+1,1))-AVERAGE(OFFSET($H$3,0,0,'Données projet'!$E$9+1,1))</f>
        <v>336.25341821407534</v>
      </c>
      <c r="T124" s="60">
        <f t="shared" si="88"/>
        <v>360.3246221345039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876.0464326285271</v>
      </c>
      <c r="AN124" s="60">
        <f ca="1">AVERAGE(OFFSET($AM$3,0,0,'Données projet'!$E$10+1,1))-AVERAGE(OFFSET($H$3,0,0,'Données projet'!$E$10+1,1))</f>
        <v>516.30971934066179</v>
      </c>
      <c r="AO124" s="60">
        <f t="shared" si="90"/>
        <v>290.84286505723571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0">
        <f t="shared" si="62"/>
        <v>282.30289239219121</v>
      </c>
      <c r="BI124" s="60">
        <f ca="1">AVERAGE(OFFSET($BH$3,0,0,'Données projet'!$E$11+1,1))-AVERAGE(OFFSET($H$3,0,0,'Données projet'!$E$11+1,1))</f>
        <v>336.25341821407534</v>
      </c>
      <c r="BJ124" s="60">
        <f t="shared" si="92"/>
        <v>360.3246221345039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1.0818439477588981E-13</v>
      </c>
      <c r="CA124" s="14">
        <f t="shared" si="93"/>
        <v>1.6104228458716316E-12</v>
      </c>
      <c r="CB124" s="22">
        <f t="shared" si="64"/>
        <v>2.9932409441277661E-12</v>
      </c>
      <c r="CC124" s="60">
        <f t="shared" si="65"/>
        <v>282.3028923921874</v>
      </c>
      <c r="CD124" s="60">
        <f ca="1">AVERAGE(OFFSET($CC$3,0,0,'Données projet'!$E$12+1,1))-AVERAGE(OFFSET($H$3,0,0,'Données projet'!$E$12+1,1))</f>
        <v>398.29746143975166</v>
      </c>
      <c r="CE124" s="60">
        <f t="shared" si="94"/>
        <v>300.63705521148802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262.30463999999949</v>
      </c>
      <c r="CV124" s="14">
        <f t="shared" si="95"/>
        <v>63.213381472055985</v>
      </c>
      <c r="CW124" s="22">
        <f t="shared" si="67"/>
        <v>566.94388739716328</v>
      </c>
      <c r="CX124" s="60">
        <f t="shared" si="68"/>
        <v>849.24677978934767</v>
      </c>
      <c r="CY124" s="60">
        <f ca="1">AVERAGE(OFFSET($CX$3,0,0,'Données projet'!$E$13+1,1))-AVERAGE(OFFSET($H$3,0,0,'Données projet'!$E$13+1,1))</f>
        <v>496.33873798282525</v>
      </c>
      <c r="CZ124" s="60">
        <f t="shared" si="96"/>
        <v>280.25465074992246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8.8675733422860506E-14</v>
      </c>
      <c r="DQ124" s="14">
        <f t="shared" si="97"/>
        <v>1.3509285393066301E-12</v>
      </c>
      <c r="DR124" s="22">
        <f t="shared" si="70"/>
        <v>2.5073107750038623E-12</v>
      </c>
      <c r="DS124" s="60">
        <f t="shared" si="71"/>
        <v>282.30289239218689</v>
      </c>
      <c r="DT124" s="60">
        <f ca="1">AVERAGE(OFFSET($DS$3,0,0,'Données projet'!$E$14+1,1))-AVERAGE(OFFSET($H$3,0,0,'Données projet'!$E$14+1,1))</f>
        <v>312.59632808777332</v>
      </c>
      <c r="DU124" s="60">
        <f t="shared" si="98"/>
        <v>302.59481222418219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1.7053025658242404E-13</v>
      </c>
      <c r="EK124" s="18">
        <f>EJ124*VLOOKUP('Données projet'!$B$15,Paramètres!$A$1:$I$89,3,0)*VLOOKUP('Données projet'!$B$15,Paramètres!$A$1:$I$89,5,0)</f>
        <v>1.1439169611549005E-13</v>
      </c>
      <c r="EL124" s="14">
        <f t="shared" si="99"/>
        <v>1.6918016515029816E-12</v>
      </c>
      <c r="EM124" s="22">
        <f t="shared" si="73"/>
        <v>3.1457867471021712E-12</v>
      </c>
      <c r="EN124" s="60">
        <f t="shared" si="74"/>
        <v>282.30289239218752</v>
      </c>
      <c r="EO124" s="60">
        <f ca="1">AVERAGE(OFFSET($EN$3,0,0,'Données projet'!$E$15+1,1))-AVERAGE(OFFSET($H$3,0,0,'Données projet'!$E$15+1,1))</f>
        <v>344.62096650402731</v>
      </c>
      <c r="EP124" s="60">
        <f t="shared" si="100"/>
        <v>277.30931495079346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3.4106051316484809E-13</v>
      </c>
      <c r="FF124" s="18">
        <f>FE124*VLOOKUP('Données projet'!$B$16,Paramètres!$A$1:$I$89,3,0)*VLOOKUP('Données projet'!$B$16,Paramètres!$A$1:$I$89,5,0)</f>
        <v>2.9795046430081134E-13</v>
      </c>
      <c r="FG124" s="14">
        <f t="shared" si="101"/>
        <v>3.9419014464513778E-12</v>
      </c>
      <c r="FH124" s="22">
        <f t="shared" si="76"/>
        <v>7.384408744560063E-12</v>
      </c>
      <c r="FI124" s="60">
        <f t="shared" si="77"/>
        <v>282.30289239219178</v>
      </c>
      <c r="FJ124" s="60">
        <f ca="1">AVERAGE(OFFSET($FI$3,0,0,'Données projet'!$E$16+1,1))-AVERAGE(OFFSET($H$3,0,0,'Données projet'!$E$16+1,1))</f>
        <v>363.28611056308665</v>
      </c>
      <c r="FK124" s="60">
        <f t="shared" si="102"/>
        <v>389.43647559455974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3.2</v>
      </c>
      <c r="FZ124" s="13">
        <f>IF('Données projet'!$A$244&gt;35,FZ123+FY124-GH123,IF(A124&lt;'Données projet'!$A$244,$FW$205^A124,IF(A124='Données projet'!$A$244,'Données projet'!$B$244,FZ123+FY124-GH123)))</f>
        <v>271.19999999999948</v>
      </c>
      <c r="GA124" s="18">
        <f>FZ124*VLOOKUP('Données projet'!$B$17,Paramètres!$A$1:$I$89,3,0)*VLOOKUP('Données projet'!$B$17,Paramètres!$A$1:$I$89,5,0)</f>
        <v>291.9196799999994</v>
      </c>
      <c r="GB124" s="14">
        <f t="shared" si="103"/>
        <v>69.47983563531173</v>
      </c>
      <c r="GC124" s="22">
        <f t="shared" si="79"/>
        <v>629.43748973150025</v>
      </c>
      <c r="GD124" s="60">
        <f t="shared" si="80"/>
        <v>911.74038212368464</v>
      </c>
      <c r="GE124" s="60">
        <f ca="1">AVERAGE(OFFSET($GD$3,0,0,'Données projet'!$E$17+1,1))-AVERAGE(OFFSET($H$3,0,0,'Données projet'!$E$17+1,1))</f>
        <v>542.90832990875208</v>
      </c>
      <c r="GF124" s="60">
        <f t="shared" si="104"/>
        <v>304.94365539329362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2.7134774427395314E-13</v>
      </c>
      <c r="P125" s="14">
        <f t="shared" si="87"/>
        <v>3.6292411711343559E-12</v>
      </c>
      <c r="Q125" s="22">
        <f t="shared" si="107"/>
        <v>6.7935256943361388E-12</v>
      </c>
      <c r="R125" s="60">
        <f t="shared" si="55"/>
        <v>282.49424588214862</v>
      </c>
      <c r="S125" s="60">
        <f ca="1">AVERAGE(OFFSET($R$3,0,0,'Données projet'!$E$9+1,1))-AVERAGE(OFFSET($H$3,0,0,'Données projet'!$E$9+1,1))</f>
        <v>336.25341821407534</v>
      </c>
      <c r="T125" s="60">
        <f t="shared" si="88"/>
        <v>360.3246221345039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883.08513176308429</v>
      </c>
      <c r="AN125" s="60">
        <f ca="1">AVERAGE(OFFSET($AM$3,0,0,'Données projet'!$E$10+1,1))-AVERAGE(OFFSET($H$3,0,0,'Données projet'!$E$10+1,1))</f>
        <v>516.30971934066179</v>
      </c>
      <c r="AO125" s="60">
        <f t="shared" si="90"/>
        <v>290.84286505723571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0">
        <f t="shared" si="62"/>
        <v>282.49424588214862</v>
      </c>
      <c r="BI125" s="60">
        <f ca="1">AVERAGE(OFFSET($BH$3,0,0,'Données projet'!$E$11+1,1))-AVERAGE(OFFSET($H$3,0,0,'Données projet'!$E$11+1,1))</f>
        <v>336.25341821407534</v>
      </c>
      <c r="BJ125" s="60">
        <f t="shared" si="92"/>
        <v>360.3246221345039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1.0818439477588981E-13</v>
      </c>
      <c r="CA125" s="14">
        <f t="shared" si="93"/>
        <v>1.6104228458716316E-12</v>
      </c>
      <c r="CB125" s="22">
        <f t="shared" si="64"/>
        <v>2.9932409441277661E-12</v>
      </c>
      <c r="CC125" s="60">
        <f t="shared" si="65"/>
        <v>282.49424588214481</v>
      </c>
      <c r="CD125" s="60">
        <f ca="1">AVERAGE(OFFSET($CC$3,0,0,'Données projet'!$E$12+1,1))-AVERAGE(OFFSET($H$3,0,0,'Données projet'!$E$12+1,1))</f>
        <v>398.29746143975166</v>
      </c>
      <c r="CE125" s="60">
        <f t="shared" si="94"/>
        <v>300.63705521148802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265.39967999999948</v>
      </c>
      <c r="CV125" s="14">
        <f t="shared" si="95"/>
        <v>63.87199095821434</v>
      </c>
      <c r="CW125" s="22">
        <f t="shared" si="67"/>
        <v>573.48149358555565</v>
      </c>
      <c r="CX125" s="60">
        <f t="shared" si="68"/>
        <v>855.97573946769739</v>
      </c>
      <c r="CY125" s="60">
        <f ca="1">AVERAGE(OFFSET($CX$3,0,0,'Données projet'!$E$13+1,1))-AVERAGE(OFFSET($H$3,0,0,'Données projet'!$E$13+1,1))</f>
        <v>496.33873798282525</v>
      </c>
      <c r="CZ125" s="60">
        <f t="shared" si="96"/>
        <v>280.25465074992246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8.8675733422860506E-14</v>
      </c>
      <c r="DQ125" s="14">
        <f t="shared" si="97"/>
        <v>1.3509285393066301E-12</v>
      </c>
      <c r="DR125" s="22">
        <f t="shared" si="70"/>
        <v>2.5073107750038623E-12</v>
      </c>
      <c r="DS125" s="60">
        <f t="shared" si="71"/>
        <v>282.4942458821443</v>
      </c>
      <c r="DT125" s="60">
        <f ca="1">AVERAGE(OFFSET($DS$3,0,0,'Données projet'!$E$14+1,1))-AVERAGE(OFFSET($H$3,0,0,'Données projet'!$E$14+1,1))</f>
        <v>312.59632808777332</v>
      </c>
      <c r="DU125" s="60">
        <f t="shared" si="98"/>
        <v>302.59481222418219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1.7053025658242404E-13</v>
      </c>
      <c r="EK125" s="18">
        <f>EJ125*VLOOKUP('Données projet'!$B$15,Paramètres!$A$1:$I$89,3,0)*VLOOKUP('Données projet'!$B$15,Paramètres!$A$1:$I$89,5,0)</f>
        <v>1.1439169611549005E-13</v>
      </c>
      <c r="EL125" s="14">
        <f t="shared" si="99"/>
        <v>1.6918016515029816E-12</v>
      </c>
      <c r="EM125" s="22">
        <f t="shared" si="73"/>
        <v>3.1457867471021712E-12</v>
      </c>
      <c r="EN125" s="60">
        <f t="shared" si="74"/>
        <v>282.49424588214492</v>
      </c>
      <c r="EO125" s="60">
        <f ca="1">AVERAGE(OFFSET($EN$3,0,0,'Données projet'!$E$15+1,1))-AVERAGE(OFFSET($H$3,0,0,'Données projet'!$E$15+1,1))</f>
        <v>344.62096650402731</v>
      </c>
      <c r="EP125" s="60">
        <f t="shared" si="100"/>
        <v>277.30931495079346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3.4106051316484809E-13</v>
      </c>
      <c r="FF125" s="18">
        <f>FE125*VLOOKUP('Données projet'!$B$16,Paramètres!$A$1:$I$89,3,0)*VLOOKUP('Données projet'!$B$16,Paramètres!$A$1:$I$89,5,0)</f>
        <v>2.9795046430081134E-13</v>
      </c>
      <c r="FG125" s="14">
        <f t="shared" si="101"/>
        <v>3.9419014464513778E-12</v>
      </c>
      <c r="FH125" s="22">
        <f t="shared" si="76"/>
        <v>7.384408744560063E-12</v>
      </c>
      <c r="FI125" s="60">
        <f t="shared" si="77"/>
        <v>282.49424588214919</v>
      </c>
      <c r="FJ125" s="60">
        <f ca="1">AVERAGE(OFFSET($FI$3,0,0,'Données projet'!$E$16+1,1))-AVERAGE(OFFSET($H$3,0,0,'Données projet'!$E$16+1,1))</f>
        <v>363.28611056308665</v>
      </c>
      <c r="FK125" s="60">
        <f t="shared" si="102"/>
        <v>389.43647559455974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3.2</v>
      </c>
      <c r="FZ125" s="13">
        <f>IF('Données projet'!$A$244&gt;35,FZ124+FY125-GH124,IF(A125&lt;'Données projet'!$A$244,$FW$205^A125,IF(A125='Données projet'!$A$244,'Données projet'!$B$244,FZ124+FY125-GH124)))</f>
        <v>274.39999999999947</v>
      </c>
      <c r="GA125" s="18">
        <f>FZ125*VLOOKUP('Données projet'!$B$17,Paramètres!$A$1:$I$89,3,0)*VLOOKUP('Données projet'!$B$17,Paramètres!$A$1:$I$89,5,0)</f>
        <v>295.3641599999994</v>
      </c>
      <c r="GB125" s="14">
        <f t="shared" si="103"/>
        <v>70.203734243178047</v>
      </c>
      <c r="GC125" s="22">
        <f t="shared" si="79"/>
        <v>636.6974158068673</v>
      </c>
      <c r="GD125" s="60">
        <f t="shared" si="80"/>
        <v>919.19166168900915</v>
      </c>
      <c r="GE125" s="60">
        <f ca="1">AVERAGE(OFFSET($GD$3,0,0,'Données projet'!$E$17+1,1))-AVERAGE(OFFSET($H$3,0,0,'Données projet'!$E$17+1,1))</f>
        <v>542.90832990875208</v>
      </c>
      <c r="GF125" s="60">
        <f t="shared" si="104"/>
        <v>304.94365539329362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2.7134774427395314E-13</v>
      </c>
      <c r="P126" s="14">
        <f t="shared" si="87"/>
        <v>3.6292411711343559E-12</v>
      </c>
      <c r="Q126" s="22">
        <f t="shared" si="107"/>
        <v>6.7935256943361388E-12</v>
      </c>
      <c r="R126" s="60">
        <f t="shared" si="55"/>
        <v>282.68227981685749</v>
      </c>
      <c r="S126" s="60">
        <f ca="1">AVERAGE(OFFSET($R$3,0,0,'Données projet'!$E$9+1,1))-AVERAGE(OFFSET($H$3,0,0,'Données projet'!$E$9+1,1))</f>
        <v>336.25341821407534</v>
      </c>
      <c r="T126" s="60">
        <f t="shared" si="88"/>
        <v>360.3246221345039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890.1188889328248</v>
      </c>
      <c r="AN126" s="60">
        <f ca="1">AVERAGE(OFFSET($AM$3,0,0,'Données projet'!$E$10+1,1))-AVERAGE(OFFSET($H$3,0,0,'Données projet'!$E$10+1,1))</f>
        <v>516.30971934066179</v>
      </c>
      <c r="AO126" s="60">
        <f t="shared" si="90"/>
        <v>290.84286505723571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0">
        <f t="shared" si="62"/>
        <v>282.68227981685749</v>
      </c>
      <c r="BI126" s="60">
        <f ca="1">AVERAGE(OFFSET($BH$3,0,0,'Données projet'!$E$11+1,1))-AVERAGE(OFFSET($H$3,0,0,'Données projet'!$E$11+1,1))</f>
        <v>336.25341821407534</v>
      </c>
      <c r="BJ126" s="60">
        <f t="shared" si="92"/>
        <v>360.3246221345039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1.0818439477588981E-13</v>
      </c>
      <c r="CA126" s="14">
        <f t="shared" si="93"/>
        <v>1.6104228458716316E-12</v>
      </c>
      <c r="CB126" s="22">
        <f t="shared" si="64"/>
        <v>2.9932409441277661E-12</v>
      </c>
      <c r="CC126" s="60">
        <f t="shared" si="65"/>
        <v>282.68227981685368</v>
      </c>
      <c r="CD126" s="60">
        <f ca="1">AVERAGE(OFFSET($CC$3,0,0,'Données projet'!$E$12+1,1))-AVERAGE(OFFSET($H$3,0,0,'Données projet'!$E$12+1,1))</f>
        <v>398.29746143975166</v>
      </c>
      <c r="CE126" s="60">
        <f t="shared" si="94"/>
        <v>300.63705521148802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268.49471999999946</v>
      </c>
      <c r="CV126" s="14">
        <f t="shared" si="95"/>
        <v>64.529707010294615</v>
      </c>
      <c r="CW126" s="22">
        <f t="shared" si="67"/>
        <v>580.01754370959543</v>
      </c>
      <c r="CX126" s="60">
        <f t="shared" si="68"/>
        <v>862.69982352644615</v>
      </c>
      <c r="CY126" s="60">
        <f ca="1">AVERAGE(OFFSET($CX$3,0,0,'Données projet'!$E$13+1,1))-AVERAGE(OFFSET($H$3,0,0,'Données projet'!$E$13+1,1))</f>
        <v>496.33873798282525</v>
      </c>
      <c r="CZ126" s="60">
        <f t="shared" si="96"/>
        <v>280.25465074992246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8.8675733422860506E-14</v>
      </c>
      <c r="DQ126" s="14">
        <f t="shared" si="97"/>
        <v>1.3509285393066301E-12</v>
      </c>
      <c r="DR126" s="22">
        <f t="shared" si="70"/>
        <v>2.5073107750038623E-12</v>
      </c>
      <c r="DS126" s="60">
        <f t="shared" si="71"/>
        <v>282.68227981685317</v>
      </c>
      <c r="DT126" s="60">
        <f ca="1">AVERAGE(OFFSET($DS$3,0,0,'Données projet'!$E$14+1,1))-AVERAGE(OFFSET($H$3,0,0,'Données projet'!$E$14+1,1))</f>
        <v>312.59632808777332</v>
      </c>
      <c r="DU126" s="60">
        <f t="shared" si="98"/>
        <v>302.59481222418219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1.7053025658242404E-13</v>
      </c>
      <c r="EK126" s="18">
        <f>EJ126*VLOOKUP('Données projet'!$B$15,Paramètres!$A$1:$I$89,3,0)*VLOOKUP('Données projet'!$B$15,Paramètres!$A$1:$I$89,5,0)</f>
        <v>1.1439169611549005E-13</v>
      </c>
      <c r="EL126" s="14">
        <f t="shared" si="99"/>
        <v>1.6918016515029816E-12</v>
      </c>
      <c r="EM126" s="22">
        <f t="shared" si="73"/>
        <v>3.1457867471021712E-12</v>
      </c>
      <c r="EN126" s="60">
        <f t="shared" si="74"/>
        <v>282.68227981685379</v>
      </c>
      <c r="EO126" s="60">
        <f ca="1">AVERAGE(OFFSET($EN$3,0,0,'Données projet'!$E$15+1,1))-AVERAGE(OFFSET($H$3,0,0,'Données projet'!$E$15+1,1))</f>
        <v>344.62096650402731</v>
      </c>
      <c r="EP126" s="60">
        <f t="shared" si="100"/>
        <v>277.30931495079346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3.4106051316484809E-13</v>
      </c>
      <c r="FF126" s="18">
        <f>FE126*VLOOKUP('Données projet'!$B$16,Paramètres!$A$1:$I$89,3,0)*VLOOKUP('Données projet'!$B$16,Paramètres!$A$1:$I$89,5,0)</f>
        <v>2.9795046430081134E-13</v>
      </c>
      <c r="FG126" s="14">
        <f t="shared" si="101"/>
        <v>3.9419014464513778E-12</v>
      </c>
      <c r="FH126" s="22">
        <f t="shared" si="76"/>
        <v>7.384408744560063E-12</v>
      </c>
      <c r="FI126" s="60">
        <f t="shared" si="77"/>
        <v>282.68227981685806</v>
      </c>
      <c r="FJ126" s="60">
        <f ca="1">AVERAGE(OFFSET($FI$3,0,0,'Données projet'!$E$16+1,1))-AVERAGE(OFFSET($H$3,0,0,'Données projet'!$E$16+1,1))</f>
        <v>363.28611056308665</v>
      </c>
      <c r="FK126" s="60">
        <f t="shared" si="102"/>
        <v>389.43647559455974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3.2</v>
      </c>
      <c r="FZ126" s="13">
        <f>IF('Données projet'!$A$244&gt;35,FZ125+FY126-GH125,IF(A126&lt;'Données projet'!$A$244,$FW$205^A126,IF(A126='Données projet'!$A$244,'Données projet'!$B$244,FZ125+FY126-GH125)))</f>
        <v>277.59999999999945</v>
      </c>
      <c r="GA126" s="18">
        <f>FZ126*VLOOKUP('Données projet'!$B$17,Paramètres!$A$1:$I$89,3,0)*VLOOKUP('Données projet'!$B$17,Paramètres!$A$1:$I$89,5,0)</f>
        <v>298.8086399999994</v>
      </c>
      <c r="GB126" s="14">
        <f t="shared" si="103"/>
        <v>70.926650849267929</v>
      </c>
      <c r="GC126" s="22">
        <f t="shared" si="79"/>
        <v>643.95563156247397</v>
      </c>
      <c r="GD126" s="60">
        <f t="shared" si="80"/>
        <v>926.63791137932458</v>
      </c>
      <c r="GE126" s="60">
        <f ca="1">AVERAGE(OFFSET($GD$3,0,0,'Données projet'!$E$17+1,1))-AVERAGE(OFFSET($H$3,0,0,'Données projet'!$E$17+1,1))</f>
        <v>542.90832990875208</v>
      </c>
      <c r="GF126" s="60">
        <f t="shared" si="104"/>
        <v>304.94365539329362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2.7134774427395314E-13</v>
      </c>
      <c r="P127" s="14">
        <f t="shared" si="87"/>
        <v>3.6292411711343559E-12</v>
      </c>
      <c r="Q127" s="22">
        <f t="shared" si="107"/>
        <v>6.7935256943361388E-12</v>
      </c>
      <c r="R127" s="60">
        <f t="shared" si="55"/>
        <v>282.86705178318016</v>
      </c>
      <c r="S127" s="60">
        <f ca="1">AVERAGE(OFFSET($R$3,0,0,'Données projet'!$E$9+1,1))-AVERAGE(OFFSET($H$3,0,0,'Données projet'!$E$9+1,1))</f>
        <v>336.25341821407534</v>
      </c>
      <c r="T127" s="60">
        <f t="shared" si="88"/>
        <v>360.3246221345039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897.14778259059415</v>
      </c>
      <c r="AN127" s="60">
        <f ca="1">AVERAGE(OFFSET($AM$3,0,0,'Données projet'!$E$10+1,1))-AVERAGE(OFFSET($H$3,0,0,'Données projet'!$E$10+1,1))</f>
        <v>516.30971934066179</v>
      </c>
      <c r="AO127" s="60">
        <f t="shared" si="90"/>
        <v>290.84286505723571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0">
        <f t="shared" si="62"/>
        <v>282.86705178318016</v>
      </c>
      <c r="BI127" s="60">
        <f ca="1">AVERAGE(OFFSET($BH$3,0,0,'Données projet'!$E$11+1,1))-AVERAGE(OFFSET($H$3,0,0,'Données projet'!$E$11+1,1))</f>
        <v>336.25341821407534</v>
      </c>
      <c r="BJ127" s="60">
        <f t="shared" si="92"/>
        <v>360.3246221345039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1.0818439477588981E-13</v>
      </c>
      <c r="CA127" s="14">
        <f t="shared" si="93"/>
        <v>1.6104228458716316E-12</v>
      </c>
      <c r="CB127" s="22">
        <f t="shared" si="64"/>
        <v>2.9932409441277661E-12</v>
      </c>
      <c r="CC127" s="60">
        <f t="shared" si="65"/>
        <v>282.86705178317635</v>
      </c>
      <c r="CD127" s="60">
        <f ca="1">AVERAGE(OFFSET($CC$3,0,0,'Données projet'!$E$12+1,1))-AVERAGE(OFFSET($H$3,0,0,'Données projet'!$E$12+1,1))</f>
        <v>398.29746143975166</v>
      </c>
      <c r="CE127" s="60">
        <f t="shared" si="94"/>
        <v>300.63705521148802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271.5897599999995</v>
      </c>
      <c r="CV127" s="14">
        <f t="shared" si="95"/>
        <v>65.186541118848012</v>
      </c>
      <c r="CW127" s="22">
        <f t="shared" si="67"/>
        <v>586.55205778199274</v>
      </c>
      <c r="CX127" s="60">
        <f t="shared" si="68"/>
        <v>869.41910956516608</v>
      </c>
      <c r="CY127" s="60">
        <f ca="1">AVERAGE(OFFSET($CX$3,0,0,'Données projet'!$E$13+1,1))-AVERAGE(OFFSET($H$3,0,0,'Données projet'!$E$13+1,1))</f>
        <v>496.33873798282525</v>
      </c>
      <c r="CZ127" s="60">
        <f t="shared" si="96"/>
        <v>280.25465074992246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8.8675733422860506E-14</v>
      </c>
      <c r="DQ127" s="14">
        <f t="shared" si="97"/>
        <v>1.3509285393066301E-12</v>
      </c>
      <c r="DR127" s="22">
        <f t="shared" si="70"/>
        <v>2.5073107750038623E-12</v>
      </c>
      <c r="DS127" s="60">
        <f t="shared" si="71"/>
        <v>282.86705178317584</v>
      </c>
      <c r="DT127" s="60">
        <f ca="1">AVERAGE(OFFSET($DS$3,0,0,'Données projet'!$E$14+1,1))-AVERAGE(OFFSET($H$3,0,0,'Données projet'!$E$14+1,1))</f>
        <v>312.59632808777332</v>
      </c>
      <c r="DU127" s="60">
        <f t="shared" si="98"/>
        <v>302.59481222418219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1.7053025658242404E-13</v>
      </c>
      <c r="EK127" s="18">
        <f>EJ127*VLOOKUP('Données projet'!$B$15,Paramètres!$A$1:$I$89,3,0)*VLOOKUP('Données projet'!$B$15,Paramètres!$A$1:$I$89,5,0)</f>
        <v>1.1439169611549005E-13</v>
      </c>
      <c r="EL127" s="14">
        <f t="shared" si="99"/>
        <v>1.6918016515029816E-12</v>
      </c>
      <c r="EM127" s="22">
        <f t="shared" si="73"/>
        <v>3.1457867471021712E-12</v>
      </c>
      <c r="EN127" s="60">
        <f t="shared" si="74"/>
        <v>282.86705178317646</v>
      </c>
      <c r="EO127" s="60">
        <f ca="1">AVERAGE(OFFSET($EN$3,0,0,'Données projet'!$E$15+1,1))-AVERAGE(OFFSET($H$3,0,0,'Données projet'!$E$15+1,1))</f>
        <v>344.62096650402731</v>
      </c>
      <c r="EP127" s="60">
        <f t="shared" si="100"/>
        <v>277.30931495079346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3.4106051316484809E-13</v>
      </c>
      <c r="FF127" s="18">
        <f>FE127*VLOOKUP('Données projet'!$B$16,Paramètres!$A$1:$I$89,3,0)*VLOOKUP('Données projet'!$B$16,Paramètres!$A$1:$I$89,5,0)</f>
        <v>2.9795046430081134E-13</v>
      </c>
      <c r="FG127" s="14">
        <f t="shared" si="101"/>
        <v>3.9419014464513778E-12</v>
      </c>
      <c r="FH127" s="22">
        <f t="shared" si="76"/>
        <v>7.384408744560063E-12</v>
      </c>
      <c r="FI127" s="60">
        <f t="shared" si="77"/>
        <v>282.86705178318073</v>
      </c>
      <c r="FJ127" s="60">
        <f ca="1">AVERAGE(OFFSET($FI$3,0,0,'Données projet'!$E$16+1,1))-AVERAGE(OFFSET($H$3,0,0,'Données projet'!$E$16+1,1))</f>
        <v>363.28611056308665</v>
      </c>
      <c r="FK127" s="60">
        <f t="shared" si="102"/>
        <v>389.43647559455974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3.2</v>
      </c>
      <c r="FZ127" s="13">
        <f>IF('Données projet'!$A$244&gt;35,FZ126+FY127-GH126,IF(A127&lt;'Données projet'!$A$244,$FW$205^A127,IF(A127='Données projet'!$A$244,'Données projet'!$B$244,FZ126+FY127-GH126)))</f>
        <v>280.79999999999944</v>
      </c>
      <c r="GA127" s="18">
        <f>FZ127*VLOOKUP('Données projet'!$B$17,Paramètres!$A$1:$I$89,3,0)*VLOOKUP('Données projet'!$B$17,Paramètres!$A$1:$I$89,5,0)</f>
        <v>302.2531199999994</v>
      </c>
      <c r="GB127" s="14">
        <f t="shared" si="103"/>
        <v>71.648598083211283</v>
      </c>
      <c r="GC127" s="22">
        <f t="shared" si="79"/>
        <v>651.21215899492529</v>
      </c>
      <c r="GD127" s="60">
        <f t="shared" si="80"/>
        <v>934.07921077809863</v>
      </c>
      <c r="GE127" s="60">
        <f ca="1">AVERAGE(OFFSET($GD$3,0,0,'Données projet'!$E$17+1,1))-AVERAGE(OFFSET($H$3,0,0,'Données projet'!$E$17+1,1))</f>
        <v>542.90832990875208</v>
      </c>
      <c r="GF127" s="60">
        <f t="shared" si="104"/>
        <v>304.94365539329362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2.7134774427395314E-13</v>
      </c>
      <c r="P128" s="14">
        <f t="shared" si="87"/>
        <v>3.6292411711343559E-12</v>
      </c>
      <c r="Q128" s="22">
        <f t="shared" si="107"/>
        <v>6.7935256943361388E-12</v>
      </c>
      <c r="R128" s="60">
        <f t="shared" si="55"/>
        <v>283.04861836897533</v>
      </c>
      <c r="S128" s="60">
        <f ca="1">AVERAGE(OFFSET($R$3,0,0,'Données projet'!$E$9+1,1))-AVERAGE(OFFSET($H$3,0,0,'Données projet'!$E$9+1,1))</f>
        <v>336.25341821407534</v>
      </c>
      <c r="T128" s="60">
        <f t="shared" si="88"/>
        <v>360.3246221345039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904.17188968727896</v>
      </c>
      <c r="AN128" s="60">
        <f ca="1">AVERAGE(OFFSET($AM$3,0,0,'Données projet'!$E$10+1,1))-AVERAGE(OFFSET($H$3,0,0,'Données projet'!$E$10+1,1))</f>
        <v>516.30971934066179</v>
      </c>
      <c r="AO128" s="60">
        <f t="shared" si="90"/>
        <v>290.84286505723571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0">
        <f t="shared" si="62"/>
        <v>283.04861836897533</v>
      </c>
      <c r="BI128" s="60">
        <f ca="1">AVERAGE(OFFSET($BH$3,0,0,'Données projet'!$E$11+1,1))-AVERAGE(OFFSET($H$3,0,0,'Données projet'!$E$11+1,1))</f>
        <v>336.25341821407534</v>
      </c>
      <c r="BJ128" s="60">
        <f t="shared" si="92"/>
        <v>360.3246221345039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1.0818439477588981E-13</v>
      </c>
      <c r="CA128" s="14">
        <f t="shared" si="93"/>
        <v>1.6104228458716316E-12</v>
      </c>
      <c r="CB128" s="22">
        <f t="shared" si="64"/>
        <v>2.9932409441277661E-12</v>
      </c>
      <c r="CC128" s="60">
        <f t="shared" si="65"/>
        <v>283.04861836897152</v>
      </c>
      <c r="CD128" s="60">
        <f ca="1">AVERAGE(OFFSET($CC$3,0,0,'Données projet'!$E$12+1,1))-AVERAGE(OFFSET($H$3,0,0,'Données projet'!$E$12+1,1))</f>
        <v>398.29746143975166</v>
      </c>
      <c r="CE128" s="60">
        <f t="shared" si="94"/>
        <v>300.63705521148802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274.68479999999943</v>
      </c>
      <c r="CV128" s="14">
        <f t="shared" si="95"/>
        <v>65.842504497456545</v>
      </c>
      <c r="CW128" s="22">
        <f t="shared" si="67"/>
        <v>593.08505533306914</v>
      </c>
      <c r="CX128" s="60">
        <f t="shared" si="68"/>
        <v>876.13367370203764</v>
      </c>
      <c r="CY128" s="60">
        <f ca="1">AVERAGE(OFFSET($CX$3,0,0,'Données projet'!$E$13+1,1))-AVERAGE(OFFSET($H$3,0,0,'Données projet'!$E$13+1,1))</f>
        <v>496.33873798282525</v>
      </c>
      <c r="CZ128" s="60">
        <f t="shared" si="96"/>
        <v>280.25465074992246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8.8675733422860506E-14</v>
      </c>
      <c r="DQ128" s="14">
        <f t="shared" si="97"/>
        <v>1.3509285393066301E-12</v>
      </c>
      <c r="DR128" s="22">
        <f t="shared" si="70"/>
        <v>2.5073107750038623E-12</v>
      </c>
      <c r="DS128" s="60">
        <f t="shared" si="71"/>
        <v>283.04861836897101</v>
      </c>
      <c r="DT128" s="60">
        <f ca="1">AVERAGE(OFFSET($DS$3,0,0,'Données projet'!$E$14+1,1))-AVERAGE(OFFSET($H$3,0,0,'Données projet'!$E$14+1,1))</f>
        <v>312.59632808777332</v>
      </c>
      <c r="DU128" s="60">
        <f t="shared" si="98"/>
        <v>302.59481222418219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1.7053025658242404E-13</v>
      </c>
      <c r="EK128" s="18">
        <f>EJ128*VLOOKUP('Données projet'!$B$15,Paramètres!$A$1:$I$89,3,0)*VLOOKUP('Données projet'!$B$15,Paramètres!$A$1:$I$89,5,0)</f>
        <v>1.1439169611549005E-13</v>
      </c>
      <c r="EL128" s="14">
        <f t="shared" si="99"/>
        <v>1.6918016515029816E-12</v>
      </c>
      <c r="EM128" s="22">
        <f t="shared" si="73"/>
        <v>3.1457867471021712E-12</v>
      </c>
      <c r="EN128" s="60">
        <f t="shared" si="74"/>
        <v>283.04861836897163</v>
      </c>
      <c r="EO128" s="60">
        <f ca="1">AVERAGE(OFFSET($EN$3,0,0,'Données projet'!$E$15+1,1))-AVERAGE(OFFSET($H$3,0,0,'Données projet'!$E$15+1,1))</f>
        <v>344.62096650402731</v>
      </c>
      <c r="EP128" s="60">
        <f t="shared" si="100"/>
        <v>277.30931495079346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3.4106051316484809E-13</v>
      </c>
      <c r="FF128" s="18">
        <f>FE128*VLOOKUP('Données projet'!$B$16,Paramètres!$A$1:$I$89,3,0)*VLOOKUP('Données projet'!$B$16,Paramètres!$A$1:$I$89,5,0)</f>
        <v>2.9795046430081134E-13</v>
      </c>
      <c r="FG128" s="14">
        <f t="shared" si="101"/>
        <v>3.9419014464513778E-12</v>
      </c>
      <c r="FH128" s="22">
        <f t="shared" si="76"/>
        <v>7.384408744560063E-12</v>
      </c>
      <c r="FI128" s="60">
        <f t="shared" si="77"/>
        <v>283.04861836897589</v>
      </c>
      <c r="FJ128" s="60">
        <f ca="1">AVERAGE(OFFSET($FI$3,0,0,'Données projet'!$E$16+1,1))-AVERAGE(OFFSET($H$3,0,0,'Données projet'!$E$16+1,1))</f>
        <v>363.28611056308665</v>
      </c>
      <c r="FK128" s="60">
        <f t="shared" si="102"/>
        <v>389.43647559455974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3.2</v>
      </c>
      <c r="FZ128" s="13">
        <f>IF('Données projet'!$A$244&gt;35,FZ127+FY128-GH127,IF(A128&lt;'Données projet'!$A$244,$FW$205^A128,IF(A128='Données projet'!$A$244,'Données projet'!$B$244,FZ127+FY128-GH127)))</f>
        <v>283.99999999999943</v>
      </c>
      <c r="GA128" s="18">
        <f>FZ128*VLOOKUP('Données projet'!$B$17,Paramètres!$A$1:$I$89,3,0)*VLOOKUP('Données projet'!$B$17,Paramètres!$A$1:$I$89,5,0)</f>
        <v>305.69759999999934</v>
      </c>
      <c r="GB128" s="14">
        <f t="shared" si="103"/>
        <v>72.369588270212233</v>
      </c>
      <c r="GC128" s="22">
        <f t="shared" si="79"/>
        <v>658.46701957061839</v>
      </c>
      <c r="GD128" s="60">
        <f t="shared" si="80"/>
        <v>941.5156379395869</v>
      </c>
      <c r="GE128" s="60">
        <f ca="1">AVERAGE(OFFSET($GD$3,0,0,'Données projet'!$E$17+1,1))-AVERAGE(OFFSET($H$3,0,0,'Données projet'!$E$17+1,1))</f>
        <v>542.90832990875208</v>
      </c>
      <c r="GF128" s="60">
        <f t="shared" si="104"/>
        <v>304.94365539329362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2.7134774427395314E-13</v>
      </c>
      <c r="P129" s="14">
        <f t="shared" si="87"/>
        <v>3.6292411711343559E-12</v>
      </c>
      <c r="Q129" s="22">
        <f t="shared" si="107"/>
        <v>6.7935256943361388E-12</v>
      </c>
      <c r="R129" s="60">
        <f t="shared" si="55"/>
        <v>283.22703518042903</v>
      </c>
      <c r="S129" s="60">
        <f ca="1">AVERAGE(OFFSET($R$3,0,0,'Données projet'!$E$9+1,1))-AVERAGE(OFFSET($H$3,0,0,'Données projet'!$E$9+1,1))</f>
        <v>336.25341821407534</v>
      </c>
      <c r="T129" s="60">
        <f t="shared" si="88"/>
        <v>360.3246221345039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911.19128570678799</v>
      </c>
      <c r="AN129" s="60">
        <f ca="1">AVERAGE(OFFSET($AM$3,0,0,'Données projet'!$E$10+1,1))-AVERAGE(OFFSET($H$3,0,0,'Données projet'!$E$10+1,1))</f>
        <v>516.30971934066179</v>
      </c>
      <c r="AO129" s="60">
        <f t="shared" si="90"/>
        <v>290.84286505723571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0">
        <f t="shared" si="62"/>
        <v>283.22703518042903</v>
      </c>
      <c r="BI129" s="60">
        <f ca="1">AVERAGE(OFFSET($BH$3,0,0,'Données projet'!$E$11+1,1))-AVERAGE(OFFSET($H$3,0,0,'Données projet'!$E$11+1,1))</f>
        <v>336.25341821407534</v>
      </c>
      <c r="BJ129" s="60">
        <f t="shared" si="92"/>
        <v>360.3246221345039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1.0818439477588981E-13</v>
      </c>
      <c r="CA129" s="14">
        <f t="shared" si="93"/>
        <v>1.6104228458716316E-12</v>
      </c>
      <c r="CB129" s="22">
        <f t="shared" si="64"/>
        <v>2.9932409441277661E-12</v>
      </c>
      <c r="CC129" s="60">
        <f t="shared" si="65"/>
        <v>283.22703518042522</v>
      </c>
      <c r="CD129" s="60">
        <f ca="1">AVERAGE(OFFSET($CC$3,0,0,'Données projet'!$E$12+1,1))-AVERAGE(OFFSET($H$3,0,0,'Données projet'!$E$12+1,1))</f>
        <v>398.29746143975166</v>
      </c>
      <c r="CE129" s="60">
        <f t="shared" si="94"/>
        <v>300.63705521148802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277.77983999999947</v>
      </c>
      <c r="CV129" s="14">
        <f t="shared" si="95"/>
        <v>66.497608092453063</v>
      </c>
      <c r="CW129" s="22">
        <f t="shared" si="67"/>
        <v>599.61655542768813</v>
      </c>
      <c r="CX129" s="60">
        <f t="shared" si="68"/>
        <v>882.84359060811039</v>
      </c>
      <c r="CY129" s="60">
        <f ca="1">AVERAGE(OFFSET($CX$3,0,0,'Données projet'!$E$13+1,1))-AVERAGE(OFFSET($H$3,0,0,'Données projet'!$E$13+1,1))</f>
        <v>496.33873798282525</v>
      </c>
      <c r="CZ129" s="60">
        <f t="shared" si="96"/>
        <v>280.25465074992246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8.8675733422860506E-14</v>
      </c>
      <c r="DQ129" s="14">
        <f t="shared" si="97"/>
        <v>1.3509285393066301E-12</v>
      </c>
      <c r="DR129" s="22">
        <f t="shared" si="70"/>
        <v>2.5073107750038623E-12</v>
      </c>
      <c r="DS129" s="60">
        <f t="shared" si="71"/>
        <v>283.22703518042471</v>
      </c>
      <c r="DT129" s="60">
        <f ca="1">AVERAGE(OFFSET($DS$3,0,0,'Données projet'!$E$14+1,1))-AVERAGE(OFFSET($H$3,0,0,'Données projet'!$E$14+1,1))</f>
        <v>312.59632808777332</v>
      </c>
      <c r="DU129" s="60">
        <f t="shared" si="98"/>
        <v>302.59481222418219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1.7053025658242404E-13</v>
      </c>
      <c r="EK129" s="18">
        <f>EJ129*VLOOKUP('Données projet'!$B$15,Paramètres!$A$1:$I$89,3,0)*VLOOKUP('Données projet'!$B$15,Paramètres!$A$1:$I$89,5,0)</f>
        <v>1.1439169611549005E-13</v>
      </c>
      <c r="EL129" s="14">
        <f t="shared" si="99"/>
        <v>1.6918016515029816E-12</v>
      </c>
      <c r="EM129" s="22">
        <f t="shared" si="73"/>
        <v>3.1457867471021712E-12</v>
      </c>
      <c r="EN129" s="60">
        <f t="shared" si="74"/>
        <v>283.22703518042533</v>
      </c>
      <c r="EO129" s="60">
        <f ca="1">AVERAGE(OFFSET($EN$3,0,0,'Données projet'!$E$15+1,1))-AVERAGE(OFFSET($H$3,0,0,'Données projet'!$E$15+1,1))</f>
        <v>344.62096650402731</v>
      </c>
      <c r="EP129" s="60">
        <f t="shared" si="100"/>
        <v>277.30931495079346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3.4106051316484809E-13</v>
      </c>
      <c r="FF129" s="18">
        <f>FE129*VLOOKUP('Données projet'!$B$16,Paramètres!$A$1:$I$89,3,0)*VLOOKUP('Données projet'!$B$16,Paramètres!$A$1:$I$89,5,0)</f>
        <v>2.9795046430081134E-13</v>
      </c>
      <c r="FG129" s="14">
        <f t="shared" si="101"/>
        <v>3.9419014464513778E-12</v>
      </c>
      <c r="FH129" s="22">
        <f t="shared" si="76"/>
        <v>7.384408744560063E-12</v>
      </c>
      <c r="FI129" s="60">
        <f t="shared" si="77"/>
        <v>283.2270351804296</v>
      </c>
      <c r="FJ129" s="60">
        <f ca="1">AVERAGE(OFFSET($FI$3,0,0,'Données projet'!$E$16+1,1))-AVERAGE(OFFSET($H$3,0,0,'Données projet'!$E$16+1,1))</f>
        <v>363.28611056308665</v>
      </c>
      <c r="FK129" s="60">
        <f t="shared" si="102"/>
        <v>389.43647559455974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3.2</v>
      </c>
      <c r="FZ129" s="13">
        <f>IF('Données projet'!$A$244&gt;35,FZ128+FY129-GH128,IF(A129&lt;'Données projet'!$A$244,$FW$205^A129,IF(A129='Données projet'!$A$244,'Données projet'!$B$244,FZ128+FY129-GH128)))</f>
        <v>287.19999999999942</v>
      </c>
      <c r="GA129" s="18">
        <f>FZ129*VLOOKUP('Données projet'!$B$17,Paramètres!$A$1:$I$89,3,0)*VLOOKUP('Données projet'!$B$17,Paramètres!$A$1:$I$89,5,0)</f>
        <v>309.14207999999934</v>
      </c>
      <c r="GB129" s="14">
        <f t="shared" si="103"/>
        <v>73.089633441733085</v>
      </c>
      <c r="GC129" s="22">
        <f t="shared" si="79"/>
        <v>665.72023424435065</v>
      </c>
      <c r="GD129" s="60">
        <f t="shared" si="80"/>
        <v>948.94726942477291</v>
      </c>
      <c r="GE129" s="60">
        <f ca="1">AVERAGE(OFFSET($GD$3,0,0,'Données projet'!$E$17+1,1))-AVERAGE(OFFSET($H$3,0,0,'Données projet'!$E$17+1,1))</f>
        <v>542.90832990875208</v>
      </c>
      <c r="GF129" s="60">
        <f t="shared" si="104"/>
        <v>304.94365539329362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2.7134774427395314E-13</v>
      </c>
      <c r="P130" s="14">
        <f t="shared" si="87"/>
        <v>3.6292411711343559E-12</v>
      </c>
      <c r="Q130" s="22">
        <f t="shared" si="107"/>
        <v>6.7935256943361388E-12</v>
      </c>
      <c r="R130" s="60">
        <f t="shared" si="55"/>
        <v>283.40235685908425</v>
      </c>
      <c r="S130" s="60">
        <f ca="1">AVERAGE(OFFSET($R$3,0,0,'Données projet'!$E$9+1,1))-AVERAGE(OFFSET($H$3,0,0,'Données projet'!$E$9+1,1))</f>
        <v>336.25341821407534</v>
      </c>
      <c r="T130" s="60">
        <f t="shared" si="88"/>
        <v>360.3246221345039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918.2060446999244</v>
      </c>
      <c r="AN130" s="60">
        <f ca="1">AVERAGE(OFFSET($AM$3,0,0,'Données projet'!$E$10+1,1))-AVERAGE(OFFSET($H$3,0,0,'Données projet'!$E$10+1,1))</f>
        <v>516.30971934066179</v>
      </c>
      <c r="AO130" s="60">
        <f t="shared" si="90"/>
        <v>290.84286505723571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0">
        <f t="shared" si="62"/>
        <v>283.40235685908425</v>
      </c>
      <c r="BI130" s="60">
        <f ca="1">AVERAGE(OFFSET($BH$3,0,0,'Données projet'!$E$11+1,1))-AVERAGE(OFFSET($H$3,0,0,'Données projet'!$E$11+1,1))</f>
        <v>336.25341821407534</v>
      </c>
      <c r="BJ130" s="60">
        <f t="shared" si="92"/>
        <v>360.3246221345039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1.0818439477588981E-13</v>
      </c>
      <c r="CA130" s="14">
        <f t="shared" si="93"/>
        <v>1.6104228458716316E-12</v>
      </c>
      <c r="CB130" s="22">
        <f t="shared" si="64"/>
        <v>2.9932409441277661E-12</v>
      </c>
      <c r="CC130" s="60">
        <f t="shared" si="65"/>
        <v>283.40235685908044</v>
      </c>
      <c r="CD130" s="60">
        <f ca="1">AVERAGE(OFFSET($CC$3,0,0,'Données projet'!$E$12+1,1))-AVERAGE(OFFSET($H$3,0,0,'Données projet'!$E$12+1,1))</f>
        <v>398.29746143975166</v>
      </c>
      <c r="CE130" s="60">
        <f t="shared" si="94"/>
        <v>300.63705521148802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280.87487999999945</v>
      </c>
      <c r="CV130" s="14">
        <f t="shared" si="95"/>
        <v>67.151862592195727</v>
      </c>
      <c r="CW130" s="22">
        <f t="shared" si="67"/>
        <v>606.1465766814066</v>
      </c>
      <c r="CX130" s="60">
        <f t="shared" si="68"/>
        <v>889.54893354048409</v>
      </c>
      <c r="CY130" s="60">
        <f ca="1">AVERAGE(OFFSET($CX$3,0,0,'Données projet'!$E$13+1,1))-AVERAGE(OFFSET($H$3,0,0,'Données projet'!$E$13+1,1))</f>
        <v>496.33873798282525</v>
      </c>
      <c r="CZ130" s="60">
        <f t="shared" si="96"/>
        <v>280.25465074992246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8.8675733422860506E-14</v>
      </c>
      <c r="DQ130" s="14">
        <f t="shared" si="97"/>
        <v>1.3509285393066301E-12</v>
      </c>
      <c r="DR130" s="22">
        <f t="shared" si="70"/>
        <v>2.5073107750038623E-12</v>
      </c>
      <c r="DS130" s="60">
        <f t="shared" si="71"/>
        <v>283.40235685907993</v>
      </c>
      <c r="DT130" s="60">
        <f ca="1">AVERAGE(OFFSET($DS$3,0,0,'Données projet'!$E$14+1,1))-AVERAGE(OFFSET($H$3,0,0,'Données projet'!$E$14+1,1))</f>
        <v>312.59632808777332</v>
      </c>
      <c r="DU130" s="60">
        <f t="shared" si="98"/>
        <v>302.59481222418219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1.7053025658242404E-13</v>
      </c>
      <c r="EK130" s="18">
        <f>EJ130*VLOOKUP('Données projet'!$B$15,Paramètres!$A$1:$I$89,3,0)*VLOOKUP('Données projet'!$B$15,Paramètres!$A$1:$I$89,5,0)</f>
        <v>1.1439169611549005E-13</v>
      </c>
      <c r="EL130" s="14">
        <f t="shared" si="99"/>
        <v>1.6918016515029816E-12</v>
      </c>
      <c r="EM130" s="22">
        <f t="shared" si="73"/>
        <v>3.1457867471021712E-12</v>
      </c>
      <c r="EN130" s="60">
        <f t="shared" si="74"/>
        <v>283.40235685908056</v>
      </c>
      <c r="EO130" s="60">
        <f ca="1">AVERAGE(OFFSET($EN$3,0,0,'Données projet'!$E$15+1,1))-AVERAGE(OFFSET($H$3,0,0,'Données projet'!$E$15+1,1))</f>
        <v>344.62096650402731</v>
      </c>
      <c r="EP130" s="60">
        <f t="shared" si="100"/>
        <v>277.30931495079346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3.4106051316484809E-13</v>
      </c>
      <c r="FF130" s="18">
        <f>FE130*VLOOKUP('Données projet'!$B$16,Paramètres!$A$1:$I$89,3,0)*VLOOKUP('Données projet'!$B$16,Paramètres!$A$1:$I$89,5,0)</f>
        <v>2.9795046430081134E-13</v>
      </c>
      <c r="FG130" s="14">
        <f t="shared" si="101"/>
        <v>3.9419014464513778E-12</v>
      </c>
      <c r="FH130" s="22">
        <f t="shared" si="76"/>
        <v>7.384408744560063E-12</v>
      </c>
      <c r="FI130" s="60">
        <f t="shared" si="77"/>
        <v>283.40235685908482</v>
      </c>
      <c r="FJ130" s="60">
        <f ca="1">AVERAGE(OFFSET($FI$3,0,0,'Données projet'!$E$16+1,1))-AVERAGE(OFFSET($H$3,0,0,'Données projet'!$E$16+1,1))</f>
        <v>363.28611056308665</v>
      </c>
      <c r="FK130" s="60">
        <f t="shared" si="102"/>
        <v>389.43647559455974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3.2</v>
      </c>
      <c r="FZ130" s="13">
        <f>IF('Données projet'!$A$244&gt;35,FZ129+FY130-GH129,IF(A130&lt;'Données projet'!$A$244,$FW$205^A130,IF(A130='Données projet'!$A$244,'Données projet'!$B$244,FZ129+FY130-GH129)))</f>
        <v>290.39999999999941</v>
      </c>
      <c r="GA130" s="18">
        <f>FZ130*VLOOKUP('Données projet'!$B$17,Paramètres!$A$1:$I$89,3,0)*VLOOKUP('Données projet'!$B$17,Paramètres!$A$1:$I$89,5,0)</f>
        <v>312.58655999999934</v>
      </c>
      <c r="GB130" s="14">
        <f t="shared" si="103"/>
        <v>73.808745345687839</v>
      </c>
      <c r="GC130" s="22">
        <f t="shared" si="79"/>
        <v>672.97182347707178</v>
      </c>
      <c r="GD130" s="60">
        <f t="shared" si="80"/>
        <v>956.37418033614927</v>
      </c>
      <c r="GE130" s="60">
        <f ca="1">AVERAGE(OFFSET($GD$3,0,0,'Données projet'!$E$17+1,1))-AVERAGE(OFFSET($H$3,0,0,'Données projet'!$E$17+1,1))</f>
        <v>542.90832990875208</v>
      </c>
      <c r="GF130" s="60">
        <f t="shared" si="104"/>
        <v>304.94365539329362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2.7134774427395314E-13</v>
      </c>
      <c r="P131" s="14">
        <f t="shared" si="87"/>
        <v>3.6292411711343559E-12</v>
      </c>
      <c r="Q131" s="22">
        <f t="shared" ref="Q131:Q153" si="108">(O131+P131)*0.475*44/12</f>
        <v>6.7935256943361388E-12</v>
      </c>
      <c r="R131" s="60">
        <f t="shared" ref="R131:R194" si="109">Q131+(I131+J131)*44/12</f>
        <v>283.57463709857535</v>
      </c>
      <c r="S131" s="60">
        <f ca="1">AVERAGE(OFFSET($R$3,0,0,'Données projet'!$E$9+1,1))-AVERAGE(OFFSET($H$3,0,0,'Données projet'!$E$9+1,1))</f>
        <v>336.25341821407534</v>
      </c>
      <c r="T131" s="60">
        <f t="shared" si="88"/>
        <v>360.3246221345039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925.21623931719841</v>
      </c>
      <c r="AN131" s="60">
        <f ca="1">AVERAGE(OFFSET($AM$3,0,0,'Données projet'!$E$10+1,1))-AVERAGE(OFFSET($H$3,0,0,'Données projet'!$E$10+1,1))</f>
        <v>516.30971934066179</v>
      </c>
      <c r="AO131" s="60">
        <f t="shared" si="90"/>
        <v>290.84286505723571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0">
        <f t="shared" si="62"/>
        <v>283.57463709857535</v>
      </c>
      <c r="BI131" s="60">
        <f ca="1">AVERAGE(OFFSET($BH$3,0,0,'Données projet'!$E$11+1,1))-AVERAGE(OFFSET($H$3,0,0,'Données projet'!$E$11+1,1))</f>
        <v>336.25341821407534</v>
      </c>
      <c r="BJ131" s="60">
        <f t="shared" si="92"/>
        <v>360.3246221345039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1.0818439477588981E-13</v>
      </c>
      <c r="CA131" s="14">
        <f t="shared" si="93"/>
        <v>1.6104228458716316E-12</v>
      </c>
      <c r="CB131" s="22">
        <f t="shared" si="64"/>
        <v>2.9932409441277661E-12</v>
      </c>
      <c r="CC131" s="60">
        <f t="shared" si="65"/>
        <v>283.57463709857154</v>
      </c>
      <c r="CD131" s="60">
        <f ca="1">AVERAGE(OFFSET($CC$3,0,0,'Données projet'!$E$12+1,1))-AVERAGE(OFFSET($H$3,0,0,'Données projet'!$E$12+1,1))</f>
        <v>398.29746143975166</v>
      </c>
      <c r="CE131" s="60">
        <f t="shared" si="94"/>
        <v>300.63705521148802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283.96991999999943</v>
      </c>
      <c r="CV131" s="14">
        <f t="shared" si="95"/>
        <v>67.805278435922148</v>
      </c>
      <c r="CW131" s="22">
        <f t="shared" si="67"/>
        <v>612.67513727589676</v>
      </c>
      <c r="CX131" s="60">
        <f t="shared" si="68"/>
        <v>896.24977437446523</v>
      </c>
      <c r="CY131" s="60">
        <f ca="1">AVERAGE(OFFSET($CX$3,0,0,'Données projet'!$E$13+1,1))-AVERAGE(OFFSET($H$3,0,0,'Données projet'!$E$13+1,1))</f>
        <v>496.33873798282525</v>
      </c>
      <c r="CZ131" s="60">
        <f t="shared" si="96"/>
        <v>280.25465074992246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8.8675733422860506E-14</v>
      </c>
      <c r="DQ131" s="14">
        <f t="shared" si="97"/>
        <v>1.3509285393066301E-12</v>
      </c>
      <c r="DR131" s="22">
        <f t="shared" si="70"/>
        <v>2.5073107750038623E-12</v>
      </c>
      <c r="DS131" s="60">
        <f t="shared" si="71"/>
        <v>283.57463709857103</v>
      </c>
      <c r="DT131" s="60">
        <f ca="1">AVERAGE(OFFSET($DS$3,0,0,'Données projet'!$E$14+1,1))-AVERAGE(OFFSET($H$3,0,0,'Données projet'!$E$14+1,1))</f>
        <v>312.59632808777332</v>
      </c>
      <c r="DU131" s="60">
        <f t="shared" si="98"/>
        <v>302.59481222418219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1.7053025658242404E-13</v>
      </c>
      <c r="EK131" s="18">
        <f>EJ131*VLOOKUP('Données projet'!$B$15,Paramètres!$A$1:$I$89,3,0)*VLOOKUP('Données projet'!$B$15,Paramètres!$A$1:$I$89,5,0)</f>
        <v>1.1439169611549005E-13</v>
      </c>
      <c r="EL131" s="14">
        <f t="shared" si="99"/>
        <v>1.6918016515029816E-12</v>
      </c>
      <c r="EM131" s="22">
        <f t="shared" si="73"/>
        <v>3.1457867471021712E-12</v>
      </c>
      <c r="EN131" s="60">
        <f t="shared" si="74"/>
        <v>283.57463709857166</v>
      </c>
      <c r="EO131" s="60">
        <f ca="1">AVERAGE(OFFSET($EN$3,0,0,'Données projet'!$E$15+1,1))-AVERAGE(OFFSET($H$3,0,0,'Données projet'!$E$15+1,1))</f>
        <v>344.62096650402731</v>
      </c>
      <c r="EP131" s="60">
        <f t="shared" si="100"/>
        <v>277.30931495079346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3.4106051316484809E-13</v>
      </c>
      <c r="FF131" s="18">
        <f>FE131*VLOOKUP('Données projet'!$B$16,Paramètres!$A$1:$I$89,3,0)*VLOOKUP('Données projet'!$B$16,Paramètres!$A$1:$I$89,5,0)</f>
        <v>2.9795046430081134E-13</v>
      </c>
      <c r="FG131" s="14">
        <f t="shared" si="101"/>
        <v>3.9419014464513778E-12</v>
      </c>
      <c r="FH131" s="22">
        <f t="shared" si="76"/>
        <v>7.384408744560063E-12</v>
      </c>
      <c r="FI131" s="60">
        <f t="shared" si="77"/>
        <v>283.57463709857592</v>
      </c>
      <c r="FJ131" s="60">
        <f ca="1">AVERAGE(OFFSET($FI$3,0,0,'Données projet'!$E$16+1,1))-AVERAGE(OFFSET($H$3,0,0,'Données projet'!$E$16+1,1))</f>
        <v>363.28611056308665</v>
      </c>
      <c r="FK131" s="60">
        <f t="shared" si="102"/>
        <v>389.43647559455974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3.2</v>
      </c>
      <c r="FZ131" s="13">
        <f>IF('Données projet'!$A$244&gt;35,FZ130+FY131-GH130,IF(A131&lt;'Données projet'!$A$244,$FW$205^A131,IF(A131='Données projet'!$A$244,'Données projet'!$B$244,FZ130+FY131-GH130)))</f>
        <v>293.5999999999994</v>
      </c>
      <c r="GA131" s="18">
        <f>FZ131*VLOOKUP('Données projet'!$B$17,Paramètres!$A$1:$I$89,3,0)*VLOOKUP('Données projet'!$B$17,Paramètres!$A$1:$I$89,5,0)</f>
        <v>316.03103999999934</v>
      </c>
      <c r="GB131" s="14">
        <f t="shared" si="103"/>
        <v>74.526935456174002</v>
      </c>
      <c r="GC131" s="22">
        <f t="shared" si="79"/>
        <v>680.22180725283522</v>
      </c>
      <c r="GD131" s="60">
        <f t="shared" si="80"/>
        <v>963.79644435140381</v>
      </c>
      <c r="GE131" s="60">
        <f ca="1">AVERAGE(OFFSET($GD$3,0,0,'Données projet'!$E$17+1,1))-AVERAGE(OFFSET($H$3,0,0,'Données projet'!$E$17+1,1))</f>
        <v>542.90832990875208</v>
      </c>
      <c r="GF131" s="60">
        <f t="shared" si="104"/>
        <v>304.94365539329362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2.7134774427395314E-13</v>
      </c>
      <c r="P132" s="14">
        <f t="shared" si="87"/>
        <v>3.6292411711343559E-12</v>
      </c>
      <c r="Q132" s="22">
        <f t="shared" si="108"/>
        <v>6.7935256943361388E-12</v>
      </c>
      <c r="R132" s="60">
        <f t="shared" si="109"/>
        <v>283.74392866107218</v>
      </c>
      <c r="S132" s="60">
        <f ca="1">AVERAGE(OFFSET($R$3,0,0,'Données projet'!$E$9+1,1))-AVERAGE(OFFSET($H$3,0,0,'Données projet'!$E$9+1,1))</f>
        <v>336.25341821407534</v>
      </c>
      <c r="T132" s="60">
        <f t="shared" si="88"/>
        <v>360.3246221345039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932.22194084062903</v>
      </c>
      <c r="AN132" s="60">
        <f ca="1">AVERAGE(OFFSET($AM$3,0,0,'Données projet'!$E$10+1,1))-AVERAGE(OFFSET($H$3,0,0,'Données projet'!$E$10+1,1))</f>
        <v>516.30971934066179</v>
      </c>
      <c r="AO132" s="60">
        <f t="shared" si="90"/>
        <v>290.84286505723571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0">
        <f t="shared" ref="BH132:BH195" si="116">BG132+(AY132+AZ132)*44/12</f>
        <v>283.74392866107218</v>
      </c>
      <c r="BI132" s="60">
        <f ca="1">AVERAGE(OFFSET($BH$3,0,0,'Données projet'!$E$11+1,1))-AVERAGE(OFFSET($H$3,0,0,'Données projet'!$E$11+1,1))</f>
        <v>336.25341821407534</v>
      </c>
      <c r="BJ132" s="60">
        <f t="shared" si="92"/>
        <v>360.3246221345039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1.0818439477588981E-13</v>
      </c>
      <c r="CA132" s="14">
        <f t="shared" si="93"/>
        <v>1.6104228458716316E-12</v>
      </c>
      <c r="CB132" s="22">
        <f t="shared" ref="CB132:CB153" si="118">(BZ132+CA132)*0.475*44/12</f>
        <v>2.9932409441277661E-12</v>
      </c>
      <c r="CC132" s="60">
        <f t="shared" ref="CC132:CC195" si="119">CB132+(BT132+BU132)*44/12</f>
        <v>283.74392866106837</v>
      </c>
      <c r="CD132" s="60">
        <f ca="1">AVERAGE(OFFSET($CC$3,0,0,'Données projet'!$E$12+1,1))-AVERAGE(OFFSET($H$3,0,0,'Données projet'!$E$12+1,1))</f>
        <v>398.29746143975166</v>
      </c>
      <c r="CE132" s="60">
        <f t="shared" si="94"/>
        <v>300.63705521148802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287.06495999999942</v>
      </c>
      <c r="CV132" s="14">
        <f t="shared" si="95"/>
        <v>68.457865822206202</v>
      </c>
      <c r="CW132" s="22">
        <f t="shared" ref="CW132:CW153" si="121">(CU132+CV132)*0.475*44/12</f>
        <v>619.20225497367471</v>
      </c>
      <c r="CX132" s="60">
        <f t="shared" ref="CX132:CX195" si="122">CW132+(CO132+CP132)*44/12</f>
        <v>902.94618363474001</v>
      </c>
      <c r="CY132" s="60">
        <f ca="1">AVERAGE(OFFSET($CX$3,0,0,'Données projet'!$E$13+1,1))-AVERAGE(OFFSET($H$3,0,0,'Données projet'!$E$13+1,1))</f>
        <v>496.33873798282525</v>
      </c>
      <c r="CZ132" s="60">
        <f t="shared" si="96"/>
        <v>280.25465074992246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8.8675733422860506E-14</v>
      </c>
      <c r="DQ132" s="14">
        <f t="shared" si="97"/>
        <v>1.3509285393066301E-12</v>
      </c>
      <c r="DR132" s="22">
        <f t="shared" ref="DR132:DR153" si="124">(DP132+DQ132)*0.475*44/12</f>
        <v>2.5073107750038623E-12</v>
      </c>
      <c r="DS132" s="60">
        <f t="shared" ref="DS132:DS195" si="125">DR132+(DJ132+DK132)*44/12</f>
        <v>283.74392866106786</v>
      </c>
      <c r="DT132" s="60">
        <f ca="1">AVERAGE(OFFSET($DS$3,0,0,'Données projet'!$E$14+1,1))-AVERAGE(OFFSET($H$3,0,0,'Données projet'!$E$14+1,1))</f>
        <v>312.59632808777332</v>
      </c>
      <c r="DU132" s="60">
        <f t="shared" si="98"/>
        <v>302.59481222418219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1.7053025658242404E-13</v>
      </c>
      <c r="EK132" s="18">
        <f>EJ132*VLOOKUP('Données projet'!$B$15,Paramètres!$A$1:$I$89,3,0)*VLOOKUP('Données projet'!$B$15,Paramètres!$A$1:$I$89,5,0)</f>
        <v>1.1439169611549005E-13</v>
      </c>
      <c r="EL132" s="14">
        <f t="shared" si="99"/>
        <v>1.6918016515029816E-12</v>
      </c>
      <c r="EM132" s="22">
        <f t="shared" ref="EM132:EM153" si="127">(EK132+EL132)*0.475*44/12</f>
        <v>3.1457867471021712E-12</v>
      </c>
      <c r="EN132" s="60">
        <f t="shared" ref="EN132:EN195" si="128">EM132+(EE132+EF132)*44/12</f>
        <v>283.74392866106848</v>
      </c>
      <c r="EO132" s="60">
        <f ca="1">AVERAGE(OFFSET($EN$3,0,0,'Données projet'!$E$15+1,1))-AVERAGE(OFFSET($H$3,0,0,'Données projet'!$E$15+1,1))</f>
        <v>344.62096650402731</v>
      </c>
      <c r="EP132" s="60">
        <f t="shared" si="100"/>
        <v>277.30931495079346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3.4106051316484809E-13</v>
      </c>
      <c r="FF132" s="18">
        <f>FE132*VLOOKUP('Données projet'!$B$16,Paramètres!$A$1:$I$89,3,0)*VLOOKUP('Données projet'!$B$16,Paramètres!$A$1:$I$89,5,0)</f>
        <v>2.9795046430081134E-13</v>
      </c>
      <c r="FG132" s="14">
        <f t="shared" si="101"/>
        <v>3.9419014464513778E-12</v>
      </c>
      <c r="FH132" s="22">
        <f t="shared" ref="FH132:FH153" si="130">(FF132+FG132)*0.475*44/12</f>
        <v>7.384408744560063E-12</v>
      </c>
      <c r="FI132" s="60">
        <f t="shared" ref="FI132:FI195" si="131">FH132+(EZ132+FA132)*44/12</f>
        <v>283.74392866107274</v>
      </c>
      <c r="FJ132" s="60">
        <f ca="1">AVERAGE(OFFSET($FI$3,0,0,'Données projet'!$E$16+1,1))-AVERAGE(OFFSET($H$3,0,0,'Données projet'!$E$16+1,1))</f>
        <v>363.28611056308665</v>
      </c>
      <c r="FK132" s="60">
        <f t="shared" si="102"/>
        <v>389.43647559455974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3.2</v>
      </c>
      <c r="FZ132" s="13">
        <f>IF('Données projet'!$A$244&gt;35,FZ131+FY132-GH131,IF(A132&lt;'Données projet'!$A$244,$FW$205^A132,IF(A132='Données projet'!$A$244,'Données projet'!$B$244,FZ131+FY132-GH131)))</f>
        <v>296.79999999999939</v>
      </c>
      <c r="GA132" s="18">
        <f>FZ132*VLOOKUP('Données projet'!$B$17,Paramètres!$A$1:$I$89,3,0)*VLOOKUP('Données projet'!$B$17,Paramètres!$A$1:$I$89,5,0)</f>
        <v>319.47551999999928</v>
      </c>
      <c r="GB132" s="14">
        <f t="shared" si="103"/>
        <v>75.244214982768113</v>
      </c>
      <c r="GC132" s="22">
        <f t="shared" ref="GC132:GC153" si="133">(GA132+GB132)*0.475*44/12</f>
        <v>687.47020509498645</v>
      </c>
      <c r="GD132" s="60">
        <f t="shared" ref="GD132:GD195" si="134">GC132+(FU132+FV132)*44/12</f>
        <v>971.21413375605175</v>
      </c>
      <c r="GE132" s="60">
        <f ca="1">AVERAGE(OFFSET($GD$3,0,0,'Données projet'!$E$17+1,1))-AVERAGE(OFFSET($H$3,0,0,'Données projet'!$E$17+1,1))</f>
        <v>542.90832990875208</v>
      </c>
      <c r="GF132" s="60">
        <f t="shared" si="104"/>
        <v>304.94365539329362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2.7134774427395314E-13</v>
      </c>
      <c r="P133" s="14">
        <f t="shared" ref="P133:P196" si="141">EXP(-1.0587+0.8836*LN(O133)+0.284)</f>
        <v>3.6292411711343559E-12</v>
      </c>
      <c r="Q133" s="22">
        <f t="shared" si="108"/>
        <v>6.7935256943361388E-12</v>
      </c>
      <c r="R133" s="60">
        <f t="shared" si="109"/>
        <v>283.91028339343893</v>
      </c>
      <c r="S133" s="60">
        <f ca="1">AVERAGE(OFFSET($R$3,0,0,'Données projet'!$E$9+1,1))-AVERAGE(OFFSET($H$3,0,0,'Données projet'!$E$9+1,1))</f>
        <v>336.25341821407534</v>
      </c>
      <c r="T133" s="60">
        <f t="shared" ref="T133:T196" si="142">$T$3</f>
        <v>360.3246221345039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939.22321921457694</v>
      </c>
      <c r="AN133" s="60">
        <f ca="1">AVERAGE(OFFSET($AM$3,0,0,'Données projet'!$E$10+1,1))-AVERAGE(OFFSET($H$3,0,0,'Données projet'!$E$10+1,1))</f>
        <v>516.30971934066179</v>
      </c>
      <c r="AO133" s="60">
        <f t="shared" ref="AO133:AO196" si="144">$AO$3</f>
        <v>290.84286505723571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0">
        <f t="shared" si="116"/>
        <v>283.91028339343893</v>
      </c>
      <c r="BI133" s="60">
        <f ca="1">AVERAGE(OFFSET($BH$3,0,0,'Données projet'!$E$11+1,1))-AVERAGE(OFFSET($H$3,0,0,'Données projet'!$E$11+1,1))</f>
        <v>336.25341821407534</v>
      </c>
      <c r="BJ133" s="60">
        <f t="shared" ref="BJ133:BJ196" si="146">$BJ$3</f>
        <v>360.3246221345039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1.0818439477588981E-13</v>
      </c>
      <c r="CA133" s="14">
        <f t="shared" ref="CA133:CA153" si="147">EXP(-1.0587+0.8836*LN(BZ133)+0.284)</f>
        <v>1.6104228458716316E-12</v>
      </c>
      <c r="CB133" s="22">
        <f t="shared" si="118"/>
        <v>2.9932409441277661E-12</v>
      </c>
      <c r="CC133" s="60">
        <f t="shared" si="119"/>
        <v>283.91028339343512</v>
      </c>
      <c r="CD133" s="60">
        <f ca="1">AVERAGE(OFFSET($CC$3,0,0,'Données projet'!$E$12+1,1))-AVERAGE(OFFSET($H$3,0,0,'Données projet'!$E$12+1,1))</f>
        <v>398.29746143975166</v>
      </c>
      <c r="CE133" s="60">
        <f t="shared" ref="CE133:CE196" si="148">$CE$3</f>
        <v>300.63705521148802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290.1599999999994</v>
      </c>
      <c r="CV133" s="14">
        <f t="shared" ref="CV133:CV153" si="149">EXP(-1.0587+0.8836*LN(CU133)+0.284)</f>
        <v>69.10963471703981</v>
      </c>
      <c r="CW133" s="22">
        <f t="shared" si="121"/>
        <v>625.72794713217661</v>
      </c>
      <c r="CX133" s="60">
        <f t="shared" si="122"/>
        <v>909.63823052560872</v>
      </c>
      <c r="CY133" s="60">
        <f ca="1">AVERAGE(OFFSET($CX$3,0,0,'Données projet'!$E$13+1,1))-AVERAGE(OFFSET($H$3,0,0,'Données projet'!$E$13+1,1))</f>
        <v>496.33873798282525</v>
      </c>
      <c r="CZ133" s="60">
        <f t="shared" ref="CZ133:CZ196" si="150">$CZ$3</f>
        <v>280.25465074992246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8.8675733422860506E-14</v>
      </c>
      <c r="DQ133" s="14">
        <f t="shared" ref="DQ133:DQ153" si="151">EXP(-1.0587+0.8836*LN(DP133)+0.284)</f>
        <v>1.3509285393066301E-12</v>
      </c>
      <c r="DR133" s="22">
        <f t="shared" si="124"/>
        <v>2.5073107750038623E-12</v>
      </c>
      <c r="DS133" s="60">
        <f t="shared" si="125"/>
        <v>283.91028339343461</v>
      </c>
      <c r="DT133" s="60">
        <f ca="1">AVERAGE(OFFSET($DS$3,0,0,'Données projet'!$E$14+1,1))-AVERAGE(OFFSET($H$3,0,0,'Données projet'!$E$14+1,1))</f>
        <v>312.59632808777332</v>
      </c>
      <c r="DU133" s="60">
        <f t="shared" ref="DU133:DU196" si="152">$DU$3</f>
        <v>302.59481222418219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1.7053025658242404E-13</v>
      </c>
      <c r="EK133" s="18">
        <f>EJ133*VLOOKUP('Données projet'!$B$15,Paramètres!$A$1:$I$89,3,0)*VLOOKUP('Données projet'!$B$15,Paramètres!$A$1:$I$89,5,0)</f>
        <v>1.1439169611549005E-13</v>
      </c>
      <c r="EL133" s="14">
        <f t="shared" ref="EL133:EL153" si="153">EXP(-1.0587+0.8836*LN(EK133)+0.284)</f>
        <v>1.6918016515029816E-12</v>
      </c>
      <c r="EM133" s="22">
        <f t="shared" si="127"/>
        <v>3.1457867471021712E-12</v>
      </c>
      <c r="EN133" s="60">
        <f t="shared" si="128"/>
        <v>283.91028339343524</v>
      </c>
      <c r="EO133" s="60">
        <f ca="1">AVERAGE(OFFSET($EN$3,0,0,'Données projet'!$E$15+1,1))-AVERAGE(OFFSET($H$3,0,0,'Données projet'!$E$15+1,1))</f>
        <v>344.62096650402731</v>
      </c>
      <c r="EP133" s="60">
        <f t="shared" ref="EP133:EP196" si="154">$EP$3</f>
        <v>277.30931495079346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3.4106051316484809E-13</v>
      </c>
      <c r="FF133" s="18">
        <f>FE133*VLOOKUP('Données projet'!$B$16,Paramètres!$A$1:$I$89,3,0)*VLOOKUP('Données projet'!$B$16,Paramètres!$A$1:$I$89,5,0)</f>
        <v>2.9795046430081134E-13</v>
      </c>
      <c r="FG133" s="14">
        <f t="shared" ref="FG133:FG153" si="155">EXP(-1.0587+0.8836*LN(FF133)+0.284)</f>
        <v>3.9419014464513778E-12</v>
      </c>
      <c r="FH133" s="22">
        <f t="shared" si="130"/>
        <v>7.384408744560063E-12</v>
      </c>
      <c r="FI133" s="60">
        <f t="shared" si="131"/>
        <v>283.9102833934395</v>
      </c>
      <c r="FJ133" s="60">
        <f ca="1">AVERAGE(OFFSET($FI$3,0,0,'Données projet'!$E$16+1,1))-AVERAGE(OFFSET($H$3,0,0,'Données projet'!$E$16+1,1))</f>
        <v>363.28611056308665</v>
      </c>
      <c r="FK133" s="60">
        <f t="shared" ref="FK133:FK196" si="156">$FK$3</f>
        <v>389.43647559455974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300</v>
      </c>
      <c r="FX133" s="13">
        <f>VLOOKUP(A133,'Données projet'!$A$243:$I$263,9,0)</f>
        <v>3.2</v>
      </c>
      <c r="FY133" s="13">
        <f t="array" ref="FY133">INDEX(FX:FX,MIN(IF(ISNUMBER(FX133:FX329),ROW(FX133:FX329),"")))</f>
        <v>3.2</v>
      </c>
      <c r="FZ133" s="13">
        <f>IF('Données projet'!$A$244&gt;35,FZ132+FY133-GH132,IF(A133&lt;'Données projet'!$A$244,$FW$205^A133,IF(A133='Données projet'!$A$244,'Données projet'!$B$244,FZ132+FY133-GH132)))</f>
        <v>299.99999999999937</v>
      </c>
      <c r="GA133" s="18">
        <f>FZ133*VLOOKUP('Données projet'!$B$17,Paramètres!$A$1:$I$89,3,0)*VLOOKUP('Données projet'!$B$17,Paramètres!$A$1:$I$89,5,0)</f>
        <v>322.91999999999928</v>
      </c>
      <c r="GB133" s="14">
        <f t="shared" ref="GB133:GB153" si="157">EXP(-1.0587+0.8836*LN(GA133)+0.284)</f>
        <v>75.960594879408617</v>
      </c>
      <c r="GC133" s="22">
        <f t="shared" si="133"/>
        <v>694.71703608163534</v>
      </c>
      <c r="GD133" s="60">
        <f t="shared" si="134"/>
        <v>978.62731947506745</v>
      </c>
      <c r="GE133" s="60">
        <f ca="1">AVERAGE(OFFSET($GD$3,0,0,'Données projet'!$E$17+1,1))-AVERAGE(OFFSET($H$3,0,0,'Données projet'!$E$17+1,1))</f>
        <v>542.90832990875208</v>
      </c>
      <c r="GF133" s="60">
        <f t="shared" ref="GF133:GF196" si="158">$GF$3</f>
        <v>304.94365539329362</v>
      </c>
      <c r="GG133" s="16">
        <f>IF(ISNA(VLOOKUP(A133,'Données projet'!$A$243:$I$263,3,0)),0,VLOOKUP(A133,'Données projet'!$A$243:$I$263,3,0))</f>
        <v>11</v>
      </c>
      <c r="GH133" s="16">
        <f>IF(ISNA(VLOOKUP(A133,'Données projet'!$A$243:$I$263,4,0)),0,VLOOKUP(A133,'Données projet'!$A$243:$I$263,4,0))</f>
        <v>31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2.7134774427395314E-13</v>
      </c>
      <c r="P134" s="14">
        <f t="shared" si="141"/>
        <v>3.6292411711343559E-12</v>
      </c>
      <c r="Q134" s="22">
        <f t="shared" si="108"/>
        <v>6.7935256943361388E-12</v>
      </c>
      <c r="R134" s="60">
        <f t="shared" si="109"/>
        <v>284.07375224311255</v>
      </c>
      <c r="S134" s="60">
        <f ca="1">AVERAGE(OFFSET($R$3,0,0,'Données projet'!$E$9+1,1))-AVERAGE(OFFSET($H$3,0,0,'Données projet'!$E$9+1,1))</f>
        <v>336.25341821407534</v>
      </c>
      <c r="T134" s="60">
        <f t="shared" si="142"/>
        <v>360.3246221345039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878.8872980425765</v>
      </c>
      <c r="AN134" s="60">
        <f ca="1">AVERAGE(OFFSET($AM$3,0,0,'Données projet'!$E$10+1,1))-AVERAGE(OFFSET($H$3,0,0,'Données projet'!$E$10+1,1))</f>
        <v>516.30971934066179</v>
      </c>
      <c r="AO134" s="60">
        <f t="shared" si="144"/>
        <v>290.84286505723571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0">
        <f t="shared" si="116"/>
        <v>284.07375224311255</v>
      </c>
      <c r="BI134" s="60">
        <f ca="1">AVERAGE(OFFSET($BH$3,0,0,'Données projet'!$E$11+1,1))-AVERAGE(OFFSET($H$3,0,0,'Données projet'!$E$11+1,1))</f>
        <v>336.25341821407534</v>
      </c>
      <c r="BJ134" s="60">
        <f t="shared" si="146"/>
        <v>360.3246221345039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1.0818439477588981E-13</v>
      </c>
      <c r="CA134" s="14">
        <f t="shared" si="147"/>
        <v>1.6104228458716316E-12</v>
      </c>
      <c r="CB134" s="22">
        <f t="shared" si="118"/>
        <v>2.9932409441277661E-12</v>
      </c>
      <c r="CC134" s="60">
        <f t="shared" si="119"/>
        <v>284.07375224310874</v>
      </c>
      <c r="CD134" s="60">
        <f ca="1">AVERAGE(OFFSET($CC$3,0,0,'Données projet'!$E$12+1,1))-AVERAGE(OFFSET($H$3,0,0,'Données projet'!$E$12+1,1))</f>
        <v>398.29746143975166</v>
      </c>
      <c r="CE134" s="60">
        <f t="shared" si="148"/>
        <v>300.63705521148802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262.7882399999994</v>
      </c>
      <c r="CV134" s="14">
        <f t="shared" si="149"/>
        <v>63.316348571334714</v>
      </c>
      <c r="CW134" s="22">
        <f t="shared" si="121"/>
        <v>567.96549176174028</v>
      </c>
      <c r="CX134" s="60">
        <f t="shared" si="122"/>
        <v>852.03924400484607</v>
      </c>
      <c r="CY134" s="60">
        <f ca="1">AVERAGE(OFFSET($CX$3,0,0,'Données projet'!$E$13+1,1))-AVERAGE(OFFSET($H$3,0,0,'Données projet'!$E$13+1,1))</f>
        <v>496.33873798282525</v>
      </c>
      <c r="CZ134" s="60">
        <f t="shared" si="150"/>
        <v>280.25465074992246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8.8675733422860506E-14</v>
      </c>
      <c r="DQ134" s="14">
        <f t="shared" si="151"/>
        <v>1.3509285393066301E-12</v>
      </c>
      <c r="DR134" s="22">
        <f t="shared" si="124"/>
        <v>2.5073107750038623E-12</v>
      </c>
      <c r="DS134" s="60">
        <f t="shared" si="125"/>
        <v>284.07375224310823</v>
      </c>
      <c r="DT134" s="60">
        <f ca="1">AVERAGE(OFFSET($DS$3,0,0,'Données projet'!$E$14+1,1))-AVERAGE(OFFSET($H$3,0,0,'Données projet'!$E$14+1,1))</f>
        <v>312.59632808777332</v>
      </c>
      <c r="DU134" s="60">
        <f t="shared" si="152"/>
        <v>302.59481222418219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1.7053025658242404E-13</v>
      </c>
      <c r="EK134" s="18">
        <f>EJ134*VLOOKUP('Données projet'!$B$15,Paramètres!$A$1:$I$89,3,0)*VLOOKUP('Données projet'!$B$15,Paramètres!$A$1:$I$89,5,0)</f>
        <v>1.1439169611549005E-13</v>
      </c>
      <c r="EL134" s="14">
        <f t="shared" si="153"/>
        <v>1.6918016515029816E-12</v>
      </c>
      <c r="EM134" s="22">
        <f t="shared" si="127"/>
        <v>3.1457867471021712E-12</v>
      </c>
      <c r="EN134" s="60">
        <f t="shared" si="128"/>
        <v>284.07375224310886</v>
      </c>
      <c r="EO134" s="60">
        <f ca="1">AVERAGE(OFFSET($EN$3,0,0,'Données projet'!$E$15+1,1))-AVERAGE(OFFSET($H$3,0,0,'Données projet'!$E$15+1,1))</f>
        <v>344.62096650402731</v>
      </c>
      <c r="EP134" s="60">
        <f t="shared" si="154"/>
        <v>277.30931495079346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3.4106051316484809E-13</v>
      </c>
      <c r="FF134" s="18">
        <f>FE134*VLOOKUP('Données projet'!$B$16,Paramètres!$A$1:$I$89,3,0)*VLOOKUP('Données projet'!$B$16,Paramètres!$A$1:$I$89,5,0)</f>
        <v>2.9795046430081134E-13</v>
      </c>
      <c r="FG134" s="14">
        <f t="shared" si="155"/>
        <v>3.9419014464513778E-12</v>
      </c>
      <c r="FH134" s="22">
        <f t="shared" si="130"/>
        <v>7.384408744560063E-12</v>
      </c>
      <c r="FI134" s="60">
        <f t="shared" si="131"/>
        <v>284.07375224311312</v>
      </c>
      <c r="FJ134" s="60">
        <f ca="1">AVERAGE(OFFSET($FI$3,0,0,'Données projet'!$E$16+1,1))-AVERAGE(OFFSET($H$3,0,0,'Données projet'!$E$16+1,1))</f>
        <v>363.28611056308665</v>
      </c>
      <c r="FK134" s="60">
        <f t="shared" si="156"/>
        <v>389.43647559455974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2.7</v>
      </c>
      <c r="FZ134" s="13">
        <f>IF('Données projet'!$A$244&gt;35,FZ133+FY134-GH133,IF(A134&lt;'Données projet'!$A$244,$FW$205^A134,IF(A134='Données projet'!$A$244,'Données projet'!$B$244,FZ133+FY134-GH133)))</f>
        <v>271.69999999999936</v>
      </c>
      <c r="GA134" s="18">
        <f>FZ134*VLOOKUP('Données projet'!$B$17,Paramètres!$A$1:$I$89,3,0)*VLOOKUP('Données projet'!$B$17,Paramètres!$A$1:$I$89,5,0)</f>
        <v>292.45787999999931</v>
      </c>
      <c r="GB134" s="14">
        <f t="shared" si="157"/>
        <v>69.59301004501954</v>
      </c>
      <c r="GC134" s="22">
        <f t="shared" si="133"/>
        <v>630.57196682840777</v>
      </c>
      <c r="GD134" s="60">
        <f t="shared" si="134"/>
        <v>914.64571907151344</v>
      </c>
      <c r="GE134" s="60">
        <f ca="1">AVERAGE(OFFSET($GD$3,0,0,'Données projet'!$E$17+1,1))-AVERAGE(OFFSET($H$3,0,0,'Données projet'!$E$17+1,1))</f>
        <v>542.90832990875208</v>
      </c>
      <c r="GF134" s="60">
        <f t="shared" si="158"/>
        <v>304.94365539329362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2.7134774427395314E-13</v>
      </c>
      <c r="P135" s="14">
        <f t="shared" si="141"/>
        <v>3.6292411711343559E-12</v>
      </c>
      <c r="Q135" s="22">
        <f t="shared" si="108"/>
        <v>6.7935256943361388E-12</v>
      </c>
      <c r="R135" s="60">
        <f t="shared" si="109"/>
        <v>284.23438527370598</v>
      </c>
      <c r="S135" s="60">
        <f ca="1">AVERAGE(OFFSET($R$3,0,0,'Données projet'!$E$9+1,1))-AVERAGE(OFFSET($H$3,0,0,'Données projet'!$E$9+1,1))</f>
        <v>336.25341821407534</v>
      </c>
      <c r="T135" s="60">
        <f t="shared" si="142"/>
        <v>360.3246221345039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884.82527115464109</v>
      </c>
      <c r="AN135" s="60">
        <f ca="1">AVERAGE(OFFSET($AM$3,0,0,'Données projet'!$E$10+1,1))-AVERAGE(OFFSET($H$3,0,0,'Données projet'!$E$10+1,1))</f>
        <v>516.30971934066179</v>
      </c>
      <c r="AO135" s="60">
        <f t="shared" si="144"/>
        <v>290.84286505723571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0">
        <f t="shared" si="116"/>
        <v>284.23438527370598</v>
      </c>
      <c r="BI135" s="60">
        <f ca="1">AVERAGE(OFFSET($BH$3,0,0,'Données projet'!$E$11+1,1))-AVERAGE(OFFSET($H$3,0,0,'Données projet'!$E$11+1,1))</f>
        <v>336.25341821407534</v>
      </c>
      <c r="BJ135" s="60">
        <f t="shared" si="146"/>
        <v>360.3246221345039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1.0818439477588981E-13</v>
      </c>
      <c r="CA135" s="14">
        <f t="shared" si="147"/>
        <v>1.6104228458716316E-12</v>
      </c>
      <c r="CB135" s="22">
        <f t="shared" si="118"/>
        <v>2.9932409441277661E-12</v>
      </c>
      <c r="CC135" s="60">
        <f t="shared" si="119"/>
        <v>284.23438527370217</v>
      </c>
      <c r="CD135" s="60">
        <f ca="1">AVERAGE(OFFSET($CC$3,0,0,'Données projet'!$E$12+1,1))-AVERAGE(OFFSET($H$3,0,0,'Données projet'!$E$12+1,1))</f>
        <v>398.29746143975166</v>
      </c>
      <c r="CE135" s="60">
        <f t="shared" si="148"/>
        <v>300.63705521148802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265.39967999999936</v>
      </c>
      <c r="CV135" s="14">
        <f t="shared" si="149"/>
        <v>63.87199095821434</v>
      </c>
      <c r="CW135" s="22">
        <f t="shared" si="121"/>
        <v>573.48149358555554</v>
      </c>
      <c r="CX135" s="60">
        <f t="shared" si="122"/>
        <v>857.71587885925464</v>
      </c>
      <c r="CY135" s="60">
        <f ca="1">AVERAGE(OFFSET($CX$3,0,0,'Données projet'!$E$13+1,1))-AVERAGE(OFFSET($H$3,0,0,'Données projet'!$E$13+1,1))</f>
        <v>496.33873798282525</v>
      </c>
      <c r="CZ135" s="60">
        <f t="shared" si="150"/>
        <v>280.25465074992246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8.8675733422860506E-14</v>
      </c>
      <c r="DQ135" s="14">
        <f t="shared" si="151"/>
        <v>1.3509285393066301E-12</v>
      </c>
      <c r="DR135" s="22">
        <f t="shared" si="124"/>
        <v>2.5073107750038623E-12</v>
      </c>
      <c r="DS135" s="60">
        <f t="shared" si="125"/>
        <v>284.23438527370166</v>
      </c>
      <c r="DT135" s="60">
        <f ca="1">AVERAGE(OFFSET($DS$3,0,0,'Données projet'!$E$14+1,1))-AVERAGE(OFFSET($H$3,0,0,'Données projet'!$E$14+1,1))</f>
        <v>312.59632808777332</v>
      </c>
      <c r="DU135" s="60">
        <f t="shared" si="152"/>
        <v>302.59481222418219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1.7053025658242404E-13</v>
      </c>
      <c r="EK135" s="18">
        <f>EJ135*VLOOKUP('Données projet'!$B$15,Paramètres!$A$1:$I$89,3,0)*VLOOKUP('Données projet'!$B$15,Paramètres!$A$1:$I$89,5,0)</f>
        <v>1.1439169611549005E-13</v>
      </c>
      <c r="EL135" s="14">
        <f t="shared" si="153"/>
        <v>1.6918016515029816E-12</v>
      </c>
      <c r="EM135" s="22">
        <f t="shared" si="127"/>
        <v>3.1457867471021712E-12</v>
      </c>
      <c r="EN135" s="60">
        <f t="shared" si="128"/>
        <v>284.23438527370229</v>
      </c>
      <c r="EO135" s="60">
        <f ca="1">AVERAGE(OFFSET($EN$3,0,0,'Données projet'!$E$15+1,1))-AVERAGE(OFFSET($H$3,0,0,'Données projet'!$E$15+1,1))</f>
        <v>344.62096650402731</v>
      </c>
      <c r="EP135" s="60">
        <f t="shared" si="154"/>
        <v>277.30931495079346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3.4106051316484809E-13</v>
      </c>
      <c r="FF135" s="18">
        <f>FE135*VLOOKUP('Données projet'!$B$16,Paramètres!$A$1:$I$89,3,0)*VLOOKUP('Données projet'!$B$16,Paramètres!$A$1:$I$89,5,0)</f>
        <v>2.9795046430081134E-13</v>
      </c>
      <c r="FG135" s="14">
        <f t="shared" si="155"/>
        <v>3.9419014464513778E-12</v>
      </c>
      <c r="FH135" s="22">
        <f t="shared" si="130"/>
        <v>7.384408744560063E-12</v>
      </c>
      <c r="FI135" s="60">
        <f t="shared" si="131"/>
        <v>284.23438527370655</v>
      </c>
      <c r="FJ135" s="60">
        <f ca="1">AVERAGE(OFFSET($FI$3,0,0,'Données projet'!$E$16+1,1))-AVERAGE(OFFSET($H$3,0,0,'Données projet'!$E$16+1,1))</f>
        <v>363.28611056308665</v>
      </c>
      <c r="FK135" s="60">
        <f t="shared" si="156"/>
        <v>389.43647559455974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2.7</v>
      </c>
      <c r="FZ135" s="13">
        <f>IF('Données projet'!$A$244&gt;35,FZ134+FY135-GH134,IF(A135&lt;'Données projet'!$A$244,$FW$205^A135,IF(A135='Données projet'!$A$244,'Données projet'!$B$244,FZ134+FY135-GH134)))</f>
        <v>274.39999999999935</v>
      </c>
      <c r="GA135" s="18">
        <f>FZ135*VLOOKUP('Données projet'!$B$17,Paramètres!$A$1:$I$89,3,0)*VLOOKUP('Données projet'!$B$17,Paramètres!$A$1:$I$89,5,0)</f>
        <v>295.36415999999929</v>
      </c>
      <c r="GB135" s="14">
        <f t="shared" si="157"/>
        <v>70.203734243177976</v>
      </c>
      <c r="GC135" s="22">
        <f t="shared" si="133"/>
        <v>636.69741580686696</v>
      </c>
      <c r="GD135" s="60">
        <f t="shared" si="134"/>
        <v>920.93180108056617</v>
      </c>
      <c r="GE135" s="60">
        <f ca="1">AVERAGE(OFFSET($GD$3,0,0,'Données projet'!$E$17+1,1))-AVERAGE(OFFSET($H$3,0,0,'Données projet'!$E$17+1,1))</f>
        <v>542.90832990875208</v>
      </c>
      <c r="GF135" s="60">
        <f t="shared" si="158"/>
        <v>304.94365539329362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2.7134774427395314E-13</v>
      </c>
      <c r="P136" s="14">
        <f t="shared" si="141"/>
        <v>3.6292411711343559E-12</v>
      </c>
      <c r="Q136" s="22">
        <f t="shared" si="108"/>
        <v>6.7935256943361388E-12</v>
      </c>
      <c r="R136" s="60">
        <f t="shared" si="109"/>
        <v>284.39223168034022</v>
      </c>
      <c r="S136" s="60">
        <f ca="1">AVERAGE(OFFSET($R$3,0,0,'Données projet'!$E$9+1,1))-AVERAGE(OFFSET($H$3,0,0,'Données projet'!$E$9+1,1))</f>
        <v>336.25341821407534</v>
      </c>
      <c r="T136" s="60">
        <f t="shared" si="142"/>
        <v>360.3246221345039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890.75930263547093</v>
      </c>
      <c r="AN136" s="60">
        <f ca="1">AVERAGE(OFFSET($AM$3,0,0,'Données projet'!$E$10+1,1))-AVERAGE(OFFSET($H$3,0,0,'Données projet'!$E$10+1,1))</f>
        <v>516.30971934066179</v>
      </c>
      <c r="AO136" s="60">
        <f t="shared" si="144"/>
        <v>290.84286505723571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0">
        <f t="shared" si="116"/>
        <v>284.39223168034022</v>
      </c>
      <c r="BI136" s="60">
        <f ca="1">AVERAGE(OFFSET($BH$3,0,0,'Données projet'!$E$11+1,1))-AVERAGE(OFFSET($H$3,0,0,'Données projet'!$E$11+1,1))</f>
        <v>336.25341821407534</v>
      </c>
      <c r="BJ136" s="60">
        <f t="shared" si="146"/>
        <v>360.3246221345039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1.0818439477588981E-13</v>
      </c>
      <c r="CA136" s="14">
        <f t="shared" si="147"/>
        <v>1.6104228458716316E-12</v>
      </c>
      <c r="CB136" s="22">
        <f t="shared" si="118"/>
        <v>2.9932409441277661E-12</v>
      </c>
      <c r="CC136" s="60">
        <f t="shared" si="119"/>
        <v>284.39223168033641</v>
      </c>
      <c r="CD136" s="60">
        <f ca="1">AVERAGE(OFFSET($CC$3,0,0,'Données projet'!$E$12+1,1))-AVERAGE(OFFSET($H$3,0,0,'Données projet'!$E$12+1,1))</f>
        <v>398.29746143975166</v>
      </c>
      <c r="CE136" s="60">
        <f t="shared" si="148"/>
        <v>300.63705521148802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268.01111999999938</v>
      </c>
      <c r="CV136" s="14">
        <f t="shared" si="149"/>
        <v>64.426997301716739</v>
      </c>
      <c r="CW136" s="22">
        <f t="shared" si="121"/>
        <v>578.99638763382234</v>
      </c>
      <c r="CX136" s="60">
        <f t="shared" si="122"/>
        <v>863.38861931415568</v>
      </c>
      <c r="CY136" s="60">
        <f ca="1">AVERAGE(OFFSET($CX$3,0,0,'Données projet'!$E$13+1,1))-AVERAGE(OFFSET($H$3,0,0,'Données projet'!$E$13+1,1))</f>
        <v>496.33873798282525</v>
      </c>
      <c r="CZ136" s="60">
        <f t="shared" si="150"/>
        <v>280.25465074992246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8.8675733422860506E-14</v>
      </c>
      <c r="DQ136" s="14">
        <f t="shared" si="151"/>
        <v>1.3509285393066301E-12</v>
      </c>
      <c r="DR136" s="22">
        <f t="shared" si="124"/>
        <v>2.5073107750038623E-12</v>
      </c>
      <c r="DS136" s="60">
        <f t="shared" si="125"/>
        <v>284.3922316803359</v>
      </c>
      <c r="DT136" s="60">
        <f ca="1">AVERAGE(OFFSET($DS$3,0,0,'Données projet'!$E$14+1,1))-AVERAGE(OFFSET($H$3,0,0,'Données projet'!$E$14+1,1))</f>
        <v>312.59632808777332</v>
      </c>
      <c r="DU136" s="60">
        <f t="shared" si="152"/>
        <v>302.59481222418219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1.7053025658242404E-13</v>
      </c>
      <c r="EK136" s="18">
        <f>EJ136*VLOOKUP('Données projet'!$B$15,Paramètres!$A$1:$I$89,3,0)*VLOOKUP('Données projet'!$B$15,Paramètres!$A$1:$I$89,5,0)</f>
        <v>1.1439169611549005E-13</v>
      </c>
      <c r="EL136" s="14">
        <f t="shared" si="153"/>
        <v>1.6918016515029816E-12</v>
      </c>
      <c r="EM136" s="22">
        <f t="shared" si="127"/>
        <v>3.1457867471021712E-12</v>
      </c>
      <c r="EN136" s="60">
        <f t="shared" si="128"/>
        <v>284.39223168033652</v>
      </c>
      <c r="EO136" s="60">
        <f ca="1">AVERAGE(OFFSET($EN$3,0,0,'Données projet'!$E$15+1,1))-AVERAGE(OFFSET($H$3,0,0,'Données projet'!$E$15+1,1))</f>
        <v>344.62096650402731</v>
      </c>
      <c r="EP136" s="60">
        <f t="shared" si="154"/>
        <v>277.30931495079346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3.4106051316484809E-13</v>
      </c>
      <c r="FF136" s="18">
        <f>FE136*VLOOKUP('Données projet'!$B$16,Paramètres!$A$1:$I$89,3,0)*VLOOKUP('Données projet'!$B$16,Paramètres!$A$1:$I$89,5,0)</f>
        <v>2.9795046430081134E-13</v>
      </c>
      <c r="FG136" s="14">
        <f t="shared" si="155"/>
        <v>3.9419014464513778E-12</v>
      </c>
      <c r="FH136" s="22">
        <f t="shared" si="130"/>
        <v>7.384408744560063E-12</v>
      </c>
      <c r="FI136" s="60">
        <f t="shared" si="131"/>
        <v>284.39223168034079</v>
      </c>
      <c r="FJ136" s="60">
        <f ca="1">AVERAGE(OFFSET($FI$3,0,0,'Données projet'!$E$16+1,1))-AVERAGE(OFFSET($H$3,0,0,'Données projet'!$E$16+1,1))</f>
        <v>363.28611056308665</v>
      </c>
      <c r="FK136" s="60">
        <f t="shared" si="156"/>
        <v>389.43647559455974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2.7</v>
      </c>
      <c r="FZ136" s="13">
        <f>IF('Données projet'!$A$244&gt;35,FZ135+FY136-GH135,IF(A136&lt;'Données projet'!$A$244,$FW$205^A136,IF(A136='Données projet'!$A$244,'Données projet'!$B$244,FZ135+FY136-GH135)))</f>
        <v>277.09999999999934</v>
      </c>
      <c r="GA136" s="18">
        <f>FZ136*VLOOKUP('Données projet'!$B$17,Paramètres!$A$1:$I$89,3,0)*VLOOKUP('Données projet'!$B$17,Paramètres!$A$1:$I$89,5,0)</f>
        <v>298.27043999999927</v>
      </c>
      <c r="GB136" s="14">
        <f t="shared" si="157"/>
        <v>70.813759345855843</v>
      </c>
      <c r="GC136" s="22">
        <f t="shared" si="133"/>
        <v>642.8216471940309</v>
      </c>
      <c r="GD136" s="60">
        <f t="shared" si="134"/>
        <v>927.21387887436435</v>
      </c>
      <c r="GE136" s="60">
        <f ca="1">AVERAGE(OFFSET($GD$3,0,0,'Données projet'!$E$17+1,1))-AVERAGE(OFFSET($H$3,0,0,'Données projet'!$E$17+1,1))</f>
        <v>542.90832990875208</v>
      </c>
      <c r="GF136" s="60">
        <f t="shared" si="158"/>
        <v>304.94365539329362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2.7134774427395314E-13</v>
      </c>
      <c r="P137" s="14">
        <f t="shared" si="141"/>
        <v>3.6292411711343559E-12</v>
      </c>
      <c r="Q137" s="22">
        <f t="shared" si="108"/>
        <v>6.7935256943361388E-12</v>
      </c>
      <c r="R137" s="60">
        <f t="shared" si="109"/>
        <v>284.5473398047111</v>
      </c>
      <c r="S137" s="60">
        <f ca="1">AVERAGE(OFFSET($R$3,0,0,'Données projet'!$E$9+1,1))-AVERAGE(OFFSET($H$3,0,0,'Données projet'!$E$9+1,1))</f>
        <v>336.25341821407534</v>
      </c>
      <c r="T137" s="60">
        <f t="shared" si="142"/>
        <v>360.3246221345039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896.68945338415017</v>
      </c>
      <c r="AN137" s="60">
        <f ca="1">AVERAGE(OFFSET($AM$3,0,0,'Données projet'!$E$10+1,1))-AVERAGE(OFFSET($H$3,0,0,'Données projet'!$E$10+1,1))</f>
        <v>516.30971934066179</v>
      </c>
      <c r="AO137" s="60">
        <f t="shared" si="144"/>
        <v>290.84286505723571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0">
        <f t="shared" si="116"/>
        <v>284.5473398047111</v>
      </c>
      <c r="BI137" s="60">
        <f ca="1">AVERAGE(OFFSET($BH$3,0,0,'Données projet'!$E$11+1,1))-AVERAGE(OFFSET($H$3,0,0,'Données projet'!$E$11+1,1))</f>
        <v>336.25341821407534</v>
      </c>
      <c r="BJ137" s="60">
        <f t="shared" si="146"/>
        <v>360.3246221345039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1.0818439477588981E-13</v>
      </c>
      <c r="CA137" s="14">
        <f t="shared" si="147"/>
        <v>1.6104228458716316E-12</v>
      </c>
      <c r="CB137" s="22">
        <f t="shared" si="118"/>
        <v>2.9932409441277661E-12</v>
      </c>
      <c r="CC137" s="60">
        <f t="shared" si="119"/>
        <v>284.54733980470729</v>
      </c>
      <c r="CD137" s="60">
        <f ca="1">AVERAGE(OFFSET($CC$3,0,0,'Données projet'!$E$12+1,1))-AVERAGE(OFFSET($H$3,0,0,'Données projet'!$E$12+1,1))</f>
        <v>398.29746143975166</v>
      </c>
      <c r="CE137" s="60">
        <f t="shared" si="148"/>
        <v>300.63705521148802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270.62255999999934</v>
      </c>
      <c r="CV137" s="14">
        <f t="shared" si="149"/>
        <v>64.981374516987898</v>
      </c>
      <c r="CW137" s="22">
        <f t="shared" si="121"/>
        <v>584.51018595041944</v>
      </c>
      <c r="CX137" s="60">
        <f t="shared" si="122"/>
        <v>869.05752575512372</v>
      </c>
      <c r="CY137" s="60">
        <f ca="1">AVERAGE(OFFSET($CX$3,0,0,'Données projet'!$E$13+1,1))-AVERAGE(OFFSET($H$3,0,0,'Données projet'!$E$13+1,1))</f>
        <v>496.33873798282525</v>
      </c>
      <c r="CZ137" s="60">
        <f t="shared" si="150"/>
        <v>280.25465074992246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8.8675733422860506E-14</v>
      </c>
      <c r="DQ137" s="14">
        <f t="shared" si="151"/>
        <v>1.3509285393066301E-12</v>
      </c>
      <c r="DR137" s="22">
        <f t="shared" si="124"/>
        <v>2.5073107750038623E-12</v>
      </c>
      <c r="DS137" s="60">
        <f t="shared" si="125"/>
        <v>284.54733980470678</v>
      </c>
      <c r="DT137" s="60">
        <f ca="1">AVERAGE(OFFSET($DS$3,0,0,'Données projet'!$E$14+1,1))-AVERAGE(OFFSET($H$3,0,0,'Données projet'!$E$14+1,1))</f>
        <v>312.59632808777332</v>
      </c>
      <c r="DU137" s="60">
        <f t="shared" si="152"/>
        <v>302.59481222418219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1.7053025658242404E-13</v>
      </c>
      <c r="EK137" s="18">
        <f>EJ137*VLOOKUP('Données projet'!$B$15,Paramètres!$A$1:$I$89,3,0)*VLOOKUP('Données projet'!$B$15,Paramètres!$A$1:$I$89,5,0)</f>
        <v>1.1439169611549005E-13</v>
      </c>
      <c r="EL137" s="14">
        <f t="shared" si="153"/>
        <v>1.6918016515029816E-12</v>
      </c>
      <c r="EM137" s="22">
        <f t="shared" si="127"/>
        <v>3.1457867471021712E-12</v>
      </c>
      <c r="EN137" s="60">
        <f t="shared" si="128"/>
        <v>284.54733980470741</v>
      </c>
      <c r="EO137" s="60">
        <f ca="1">AVERAGE(OFFSET($EN$3,0,0,'Données projet'!$E$15+1,1))-AVERAGE(OFFSET($H$3,0,0,'Données projet'!$E$15+1,1))</f>
        <v>344.62096650402731</v>
      </c>
      <c r="EP137" s="60">
        <f t="shared" si="154"/>
        <v>277.30931495079346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3.4106051316484809E-13</v>
      </c>
      <c r="FF137" s="18">
        <f>FE137*VLOOKUP('Données projet'!$B$16,Paramètres!$A$1:$I$89,3,0)*VLOOKUP('Données projet'!$B$16,Paramètres!$A$1:$I$89,5,0)</f>
        <v>2.9795046430081134E-13</v>
      </c>
      <c r="FG137" s="14">
        <f t="shared" si="155"/>
        <v>3.9419014464513778E-12</v>
      </c>
      <c r="FH137" s="22">
        <f t="shared" si="130"/>
        <v>7.384408744560063E-12</v>
      </c>
      <c r="FI137" s="60">
        <f t="shared" si="131"/>
        <v>284.54733980471167</v>
      </c>
      <c r="FJ137" s="60">
        <f ca="1">AVERAGE(OFFSET($FI$3,0,0,'Données projet'!$E$16+1,1))-AVERAGE(OFFSET($H$3,0,0,'Données projet'!$E$16+1,1))</f>
        <v>363.28611056308665</v>
      </c>
      <c r="FK137" s="60">
        <f t="shared" si="156"/>
        <v>389.43647559455974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2.7</v>
      </c>
      <c r="FZ137" s="13">
        <f>IF('Données projet'!$A$244&gt;35,FZ136+FY137-GH136,IF(A137&lt;'Données projet'!$A$244,$FW$205^A137,IF(A137='Données projet'!$A$244,'Données projet'!$B$244,FZ136+FY137-GH136)))</f>
        <v>279.79999999999933</v>
      </c>
      <c r="GA137" s="18">
        <f>FZ137*VLOOKUP('Données projet'!$B$17,Paramètres!$A$1:$I$89,3,0)*VLOOKUP('Données projet'!$B$17,Paramètres!$A$1:$I$89,5,0)</f>
        <v>301.17671999999925</v>
      </c>
      <c r="GB137" s="14">
        <f t="shared" si="157"/>
        <v>71.423092953709514</v>
      </c>
      <c r="GC137" s="22">
        <f t="shared" si="133"/>
        <v>648.94467422770936</v>
      </c>
      <c r="GD137" s="60">
        <f t="shared" si="134"/>
        <v>933.49201403241364</v>
      </c>
      <c r="GE137" s="60">
        <f ca="1">AVERAGE(OFFSET($GD$3,0,0,'Données projet'!$E$17+1,1))-AVERAGE(OFFSET($H$3,0,0,'Données projet'!$E$17+1,1))</f>
        <v>542.90832990875208</v>
      </c>
      <c r="GF137" s="60">
        <f t="shared" si="158"/>
        <v>304.94365539329362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2.7134774427395314E-13</v>
      </c>
      <c r="P138" s="14">
        <f t="shared" si="141"/>
        <v>3.6292411711343559E-12</v>
      </c>
      <c r="Q138" s="22">
        <f t="shared" si="108"/>
        <v>6.7935256943361388E-12</v>
      </c>
      <c r="R138" s="60">
        <f t="shared" si="109"/>
        <v>284.69975714989397</v>
      </c>
      <c r="S138" s="60">
        <f ca="1">AVERAGE(OFFSET($R$3,0,0,'Données projet'!$E$9+1,1))-AVERAGE(OFFSET($H$3,0,0,'Données projet'!$E$9+1,1))</f>
        <v>336.25341821407534</v>
      </c>
      <c r="T138" s="60">
        <f t="shared" si="142"/>
        <v>360.3246221345039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902.61578320481863</v>
      </c>
      <c r="AN138" s="60">
        <f ca="1">AVERAGE(OFFSET($AM$3,0,0,'Données projet'!$E$10+1,1))-AVERAGE(OFFSET($H$3,0,0,'Données projet'!$E$10+1,1))</f>
        <v>516.30971934066179</v>
      </c>
      <c r="AO138" s="60">
        <f t="shared" si="144"/>
        <v>290.84286505723571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0">
        <f t="shared" si="116"/>
        <v>284.69975714989397</v>
      </c>
      <c r="BI138" s="60">
        <f ca="1">AVERAGE(OFFSET($BH$3,0,0,'Données projet'!$E$11+1,1))-AVERAGE(OFFSET($H$3,0,0,'Données projet'!$E$11+1,1))</f>
        <v>336.25341821407534</v>
      </c>
      <c r="BJ138" s="60">
        <f t="shared" si="146"/>
        <v>360.3246221345039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1.0818439477588981E-13</v>
      </c>
      <c r="CA138" s="14">
        <f t="shared" si="147"/>
        <v>1.6104228458716316E-12</v>
      </c>
      <c r="CB138" s="22">
        <f t="shared" si="118"/>
        <v>2.9932409441277661E-12</v>
      </c>
      <c r="CC138" s="60">
        <f t="shared" si="119"/>
        <v>284.69975714989016</v>
      </c>
      <c r="CD138" s="60">
        <f ca="1">AVERAGE(OFFSET($CC$3,0,0,'Données projet'!$E$12+1,1))-AVERAGE(OFFSET($H$3,0,0,'Données projet'!$E$12+1,1))</f>
        <v>398.29746143975166</v>
      </c>
      <c r="CE138" s="60">
        <f t="shared" si="148"/>
        <v>300.63705521148802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273.23399999999936</v>
      </c>
      <c r="CV138" s="14">
        <f t="shared" si="149"/>
        <v>65.535129378020301</v>
      </c>
      <c r="CW138" s="22">
        <f t="shared" si="121"/>
        <v>590.0229003333842</v>
      </c>
      <c r="CX138" s="60">
        <f t="shared" si="122"/>
        <v>874.7226574832714</v>
      </c>
      <c r="CY138" s="60">
        <f ca="1">AVERAGE(OFFSET($CX$3,0,0,'Données projet'!$E$13+1,1))-AVERAGE(OFFSET($H$3,0,0,'Données projet'!$E$13+1,1))</f>
        <v>496.33873798282525</v>
      </c>
      <c r="CZ138" s="60">
        <f t="shared" si="150"/>
        <v>280.25465074992246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8.8675733422860506E-14</v>
      </c>
      <c r="DQ138" s="14">
        <f t="shared" si="151"/>
        <v>1.3509285393066301E-12</v>
      </c>
      <c r="DR138" s="22">
        <f t="shared" si="124"/>
        <v>2.5073107750038623E-12</v>
      </c>
      <c r="DS138" s="60">
        <f t="shared" si="125"/>
        <v>284.69975714988965</v>
      </c>
      <c r="DT138" s="60">
        <f ca="1">AVERAGE(OFFSET($DS$3,0,0,'Données projet'!$E$14+1,1))-AVERAGE(OFFSET($H$3,0,0,'Données projet'!$E$14+1,1))</f>
        <v>312.59632808777332</v>
      </c>
      <c r="DU138" s="60">
        <f t="shared" si="152"/>
        <v>302.59481222418219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1.7053025658242404E-13</v>
      </c>
      <c r="EK138" s="18">
        <f>EJ138*VLOOKUP('Données projet'!$B$15,Paramètres!$A$1:$I$89,3,0)*VLOOKUP('Données projet'!$B$15,Paramètres!$A$1:$I$89,5,0)</f>
        <v>1.1439169611549005E-13</v>
      </c>
      <c r="EL138" s="14">
        <f t="shared" si="153"/>
        <v>1.6918016515029816E-12</v>
      </c>
      <c r="EM138" s="22">
        <f t="shared" si="127"/>
        <v>3.1457867471021712E-12</v>
      </c>
      <c r="EN138" s="60">
        <f t="shared" si="128"/>
        <v>284.69975714989027</v>
      </c>
      <c r="EO138" s="60">
        <f ca="1">AVERAGE(OFFSET($EN$3,0,0,'Données projet'!$E$15+1,1))-AVERAGE(OFFSET($H$3,0,0,'Données projet'!$E$15+1,1))</f>
        <v>344.62096650402731</v>
      </c>
      <c r="EP138" s="60">
        <f t="shared" si="154"/>
        <v>277.30931495079346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3.4106051316484809E-13</v>
      </c>
      <c r="FF138" s="18">
        <f>FE138*VLOOKUP('Données projet'!$B$16,Paramètres!$A$1:$I$89,3,0)*VLOOKUP('Données projet'!$B$16,Paramètres!$A$1:$I$89,5,0)</f>
        <v>2.9795046430081134E-13</v>
      </c>
      <c r="FG138" s="14">
        <f t="shared" si="155"/>
        <v>3.9419014464513778E-12</v>
      </c>
      <c r="FH138" s="22">
        <f t="shared" si="130"/>
        <v>7.384408744560063E-12</v>
      </c>
      <c r="FI138" s="60">
        <f t="shared" si="131"/>
        <v>284.69975714989454</v>
      </c>
      <c r="FJ138" s="60">
        <f ca="1">AVERAGE(OFFSET($FI$3,0,0,'Données projet'!$E$16+1,1))-AVERAGE(OFFSET($H$3,0,0,'Données projet'!$E$16+1,1))</f>
        <v>363.28611056308665</v>
      </c>
      <c r="FK138" s="60">
        <f t="shared" si="156"/>
        <v>389.43647559455974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2.7</v>
      </c>
      <c r="FZ138" s="13">
        <f>IF('Données projet'!$A$244&gt;35,FZ137+FY138-GH137,IF(A138&lt;'Données projet'!$A$244,$FW$205^A138,IF(A138='Données projet'!$A$244,'Données projet'!$B$244,FZ137+FY138-GH137)))</f>
        <v>282.49999999999932</v>
      </c>
      <c r="GA138" s="18">
        <f>FZ138*VLOOKUP('Données projet'!$B$17,Paramètres!$A$1:$I$89,3,0)*VLOOKUP('Données projet'!$B$17,Paramètres!$A$1:$I$89,5,0)</f>
        <v>304.08299999999929</v>
      </c>
      <c r="GB138" s="14">
        <f t="shared" si="157"/>
        <v>72.031742512249494</v>
      </c>
      <c r="GC138" s="22">
        <f t="shared" si="133"/>
        <v>655.06650987549995</v>
      </c>
      <c r="GD138" s="60">
        <f t="shared" si="134"/>
        <v>939.76626702538715</v>
      </c>
      <c r="GE138" s="60">
        <f ca="1">AVERAGE(OFFSET($GD$3,0,0,'Données projet'!$E$17+1,1))-AVERAGE(OFFSET($H$3,0,0,'Données projet'!$E$17+1,1))</f>
        <v>542.90832990875208</v>
      </c>
      <c r="GF138" s="60">
        <f t="shared" si="158"/>
        <v>304.94365539329362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2.7134774427395314E-13</v>
      </c>
      <c r="P139" s="14">
        <f t="shared" si="141"/>
        <v>3.6292411711343559E-12</v>
      </c>
      <c r="Q139" s="22">
        <f t="shared" si="108"/>
        <v>6.7935256943361388E-12</v>
      </c>
      <c r="R139" s="60">
        <f t="shared" si="109"/>
        <v>284.84953039489204</v>
      </c>
      <c r="S139" s="60">
        <f ca="1">AVERAGE(OFFSET($R$3,0,0,'Données projet'!$E$9+1,1))-AVERAGE(OFFSET($H$3,0,0,'Données projet'!$E$9+1,1))</f>
        <v>336.25341821407534</v>
      </c>
      <c r="T139" s="60">
        <f t="shared" si="142"/>
        <v>360.3246221345039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908.53835082885075</v>
      </c>
      <c r="AN139" s="60">
        <f ca="1">AVERAGE(OFFSET($AM$3,0,0,'Données projet'!$E$10+1,1))-AVERAGE(OFFSET($H$3,0,0,'Données projet'!$E$10+1,1))</f>
        <v>516.30971934066179</v>
      </c>
      <c r="AO139" s="60">
        <f t="shared" si="144"/>
        <v>290.84286505723571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0">
        <f t="shared" si="116"/>
        <v>284.84953039489204</v>
      </c>
      <c r="BI139" s="60">
        <f ca="1">AVERAGE(OFFSET($BH$3,0,0,'Données projet'!$E$11+1,1))-AVERAGE(OFFSET($H$3,0,0,'Données projet'!$E$11+1,1))</f>
        <v>336.25341821407534</v>
      </c>
      <c r="BJ139" s="60">
        <f t="shared" si="146"/>
        <v>360.3246221345039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1.0818439477588981E-13</v>
      </c>
      <c r="CA139" s="14">
        <f t="shared" si="147"/>
        <v>1.6104228458716316E-12</v>
      </c>
      <c r="CB139" s="22">
        <f t="shared" si="118"/>
        <v>2.9932409441277661E-12</v>
      </c>
      <c r="CC139" s="60">
        <f t="shared" si="119"/>
        <v>284.84953039488823</v>
      </c>
      <c r="CD139" s="60">
        <f ca="1">AVERAGE(OFFSET($CC$3,0,0,'Données projet'!$E$12+1,1))-AVERAGE(OFFSET($H$3,0,0,'Données projet'!$E$12+1,1))</f>
        <v>398.29746143975166</v>
      </c>
      <c r="CE139" s="60">
        <f t="shared" si="148"/>
        <v>300.63705521148802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275.84543999999931</v>
      </c>
      <c r="CV139" s="14">
        <f t="shared" si="149"/>
        <v>66.088268521855113</v>
      </c>
      <c r="CW139" s="22">
        <f t="shared" si="121"/>
        <v>595.53454234222977</v>
      </c>
      <c r="CX139" s="60">
        <f t="shared" si="122"/>
        <v>880.38407273711505</v>
      </c>
      <c r="CY139" s="60">
        <f ca="1">AVERAGE(OFFSET($CX$3,0,0,'Données projet'!$E$13+1,1))-AVERAGE(OFFSET($H$3,0,0,'Données projet'!$E$13+1,1))</f>
        <v>496.33873798282525</v>
      </c>
      <c r="CZ139" s="60">
        <f t="shared" si="150"/>
        <v>280.25465074992246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8.8675733422860506E-14</v>
      </c>
      <c r="DQ139" s="14">
        <f t="shared" si="151"/>
        <v>1.3509285393066301E-12</v>
      </c>
      <c r="DR139" s="22">
        <f t="shared" si="124"/>
        <v>2.5073107750038623E-12</v>
      </c>
      <c r="DS139" s="60">
        <f t="shared" si="125"/>
        <v>284.84953039488772</v>
      </c>
      <c r="DT139" s="60">
        <f ca="1">AVERAGE(OFFSET($DS$3,0,0,'Données projet'!$E$14+1,1))-AVERAGE(OFFSET($H$3,0,0,'Données projet'!$E$14+1,1))</f>
        <v>312.59632808777332</v>
      </c>
      <c r="DU139" s="60">
        <f t="shared" si="152"/>
        <v>302.59481222418219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1.7053025658242404E-13</v>
      </c>
      <c r="EK139" s="18">
        <f>EJ139*VLOOKUP('Données projet'!$B$15,Paramètres!$A$1:$I$89,3,0)*VLOOKUP('Données projet'!$B$15,Paramètres!$A$1:$I$89,5,0)</f>
        <v>1.1439169611549005E-13</v>
      </c>
      <c r="EL139" s="14">
        <f t="shared" si="153"/>
        <v>1.6918016515029816E-12</v>
      </c>
      <c r="EM139" s="22">
        <f t="shared" si="127"/>
        <v>3.1457867471021712E-12</v>
      </c>
      <c r="EN139" s="60">
        <f t="shared" si="128"/>
        <v>284.84953039488835</v>
      </c>
      <c r="EO139" s="60">
        <f ca="1">AVERAGE(OFFSET($EN$3,0,0,'Données projet'!$E$15+1,1))-AVERAGE(OFFSET($H$3,0,0,'Données projet'!$E$15+1,1))</f>
        <v>344.62096650402731</v>
      </c>
      <c r="EP139" s="60">
        <f t="shared" si="154"/>
        <v>277.30931495079346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3.4106051316484809E-13</v>
      </c>
      <c r="FF139" s="18">
        <f>FE139*VLOOKUP('Données projet'!$B$16,Paramètres!$A$1:$I$89,3,0)*VLOOKUP('Données projet'!$B$16,Paramètres!$A$1:$I$89,5,0)</f>
        <v>2.9795046430081134E-13</v>
      </c>
      <c r="FG139" s="14">
        <f t="shared" si="155"/>
        <v>3.9419014464513778E-12</v>
      </c>
      <c r="FH139" s="22">
        <f t="shared" si="130"/>
        <v>7.384408744560063E-12</v>
      </c>
      <c r="FI139" s="60">
        <f t="shared" si="131"/>
        <v>284.84953039489261</v>
      </c>
      <c r="FJ139" s="60">
        <f ca="1">AVERAGE(OFFSET($FI$3,0,0,'Données projet'!$E$16+1,1))-AVERAGE(OFFSET($H$3,0,0,'Données projet'!$E$16+1,1))</f>
        <v>363.28611056308665</v>
      </c>
      <c r="FK139" s="60">
        <f t="shared" si="156"/>
        <v>389.43647559455974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2.7</v>
      </c>
      <c r="FZ139" s="13">
        <f>IF('Données projet'!$A$244&gt;35,FZ138+FY139-GH138,IF(A139&lt;'Données projet'!$A$244,$FW$205^A139,IF(A139='Données projet'!$A$244,'Données projet'!$B$244,FZ138+FY139-GH138)))</f>
        <v>285.19999999999931</v>
      </c>
      <c r="GA139" s="18">
        <f>FZ139*VLOOKUP('Données projet'!$B$17,Paramètres!$A$1:$I$89,3,0)*VLOOKUP('Données projet'!$B$17,Paramètres!$A$1:$I$89,5,0)</f>
        <v>306.98927999999921</v>
      </c>
      <c r="GB139" s="14">
        <f t="shared" si="157"/>
        <v>72.639715316458506</v>
      </c>
      <c r="GC139" s="22">
        <f t="shared" si="133"/>
        <v>661.18716684283038</v>
      </c>
      <c r="GD139" s="60">
        <f t="shared" si="134"/>
        <v>946.03669723771554</v>
      </c>
      <c r="GE139" s="60">
        <f ca="1">AVERAGE(OFFSET($GD$3,0,0,'Données projet'!$E$17+1,1))-AVERAGE(OFFSET($H$3,0,0,'Données projet'!$E$17+1,1))</f>
        <v>542.90832990875208</v>
      </c>
      <c r="GF139" s="60">
        <f t="shared" si="158"/>
        <v>304.94365539329362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2.7134774427395314E-13</v>
      </c>
      <c r="P140" s="14">
        <f t="shared" si="141"/>
        <v>3.6292411711343559E-12</v>
      </c>
      <c r="Q140" s="22">
        <f t="shared" si="108"/>
        <v>6.7935256943361388E-12</v>
      </c>
      <c r="R140" s="60">
        <f t="shared" si="109"/>
        <v>284.9967054089322</v>
      </c>
      <c r="S140" s="60">
        <f ca="1">AVERAGE(OFFSET($R$3,0,0,'Données projet'!$E$9+1,1))-AVERAGE(OFFSET($H$3,0,0,'Données projet'!$E$9+1,1))</f>
        <v>336.25341821407534</v>
      </c>
      <c r="T140" s="60">
        <f t="shared" si="142"/>
        <v>360.3246221345039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914.45721393648523</v>
      </c>
      <c r="AN140" s="60">
        <f ca="1">AVERAGE(OFFSET($AM$3,0,0,'Données projet'!$E$10+1,1))-AVERAGE(OFFSET($H$3,0,0,'Données projet'!$E$10+1,1))</f>
        <v>516.30971934066179</v>
      </c>
      <c r="AO140" s="60">
        <f t="shared" si="144"/>
        <v>290.84286505723571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0">
        <f t="shared" si="116"/>
        <v>284.9967054089322</v>
      </c>
      <c r="BI140" s="60">
        <f ca="1">AVERAGE(OFFSET($BH$3,0,0,'Données projet'!$E$11+1,1))-AVERAGE(OFFSET($H$3,0,0,'Données projet'!$E$11+1,1))</f>
        <v>336.25341821407534</v>
      </c>
      <c r="BJ140" s="60">
        <f t="shared" si="146"/>
        <v>360.3246221345039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1.0818439477588981E-13</v>
      </c>
      <c r="CA140" s="14">
        <f t="shared" si="147"/>
        <v>1.6104228458716316E-12</v>
      </c>
      <c r="CB140" s="22">
        <f t="shared" si="118"/>
        <v>2.9932409441277661E-12</v>
      </c>
      <c r="CC140" s="60">
        <f t="shared" si="119"/>
        <v>284.99670540892839</v>
      </c>
      <c r="CD140" s="60">
        <f ca="1">AVERAGE(OFFSET($CC$3,0,0,'Données projet'!$E$12+1,1))-AVERAGE(OFFSET($H$3,0,0,'Données projet'!$E$12+1,1))</f>
        <v>398.29746143975166</v>
      </c>
      <c r="CE140" s="60">
        <f t="shared" si="148"/>
        <v>300.63705521148802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278.45687999999933</v>
      </c>
      <c r="CV140" s="14">
        <f t="shared" si="149"/>
        <v>66.640798452620999</v>
      </c>
      <c r="CW140" s="22">
        <f t="shared" si="121"/>
        <v>601.04512330498039</v>
      </c>
      <c r="CX140" s="60">
        <f t="shared" si="122"/>
        <v>886.04182871390572</v>
      </c>
      <c r="CY140" s="60">
        <f ca="1">AVERAGE(OFFSET($CX$3,0,0,'Données projet'!$E$13+1,1))-AVERAGE(OFFSET($H$3,0,0,'Données projet'!$E$13+1,1))</f>
        <v>496.33873798282525</v>
      </c>
      <c r="CZ140" s="60">
        <f t="shared" si="150"/>
        <v>280.25465074992246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8.8675733422860506E-14</v>
      </c>
      <c r="DQ140" s="14">
        <f t="shared" si="151"/>
        <v>1.3509285393066301E-12</v>
      </c>
      <c r="DR140" s="22">
        <f t="shared" si="124"/>
        <v>2.5073107750038623E-12</v>
      </c>
      <c r="DS140" s="60">
        <f t="shared" si="125"/>
        <v>284.99670540892788</v>
      </c>
      <c r="DT140" s="60">
        <f ca="1">AVERAGE(OFFSET($DS$3,0,0,'Données projet'!$E$14+1,1))-AVERAGE(OFFSET($H$3,0,0,'Données projet'!$E$14+1,1))</f>
        <v>312.59632808777332</v>
      </c>
      <c r="DU140" s="60">
        <f t="shared" si="152"/>
        <v>302.59481222418219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1.7053025658242404E-13</v>
      </c>
      <c r="EK140" s="18">
        <f>EJ140*VLOOKUP('Données projet'!$B$15,Paramètres!$A$1:$I$89,3,0)*VLOOKUP('Données projet'!$B$15,Paramètres!$A$1:$I$89,5,0)</f>
        <v>1.1439169611549005E-13</v>
      </c>
      <c r="EL140" s="14">
        <f t="shared" si="153"/>
        <v>1.6918016515029816E-12</v>
      </c>
      <c r="EM140" s="22">
        <f t="shared" si="127"/>
        <v>3.1457867471021712E-12</v>
      </c>
      <c r="EN140" s="60">
        <f t="shared" si="128"/>
        <v>284.99670540892851</v>
      </c>
      <c r="EO140" s="60">
        <f ca="1">AVERAGE(OFFSET($EN$3,0,0,'Données projet'!$E$15+1,1))-AVERAGE(OFFSET($H$3,0,0,'Données projet'!$E$15+1,1))</f>
        <v>344.62096650402731</v>
      </c>
      <c r="EP140" s="60">
        <f t="shared" si="154"/>
        <v>277.30931495079346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3.4106051316484809E-13</v>
      </c>
      <c r="FF140" s="18">
        <f>FE140*VLOOKUP('Données projet'!$B$16,Paramètres!$A$1:$I$89,3,0)*VLOOKUP('Données projet'!$B$16,Paramètres!$A$1:$I$89,5,0)</f>
        <v>2.9795046430081134E-13</v>
      </c>
      <c r="FG140" s="14">
        <f t="shared" si="155"/>
        <v>3.9419014464513778E-12</v>
      </c>
      <c r="FH140" s="22">
        <f t="shared" si="130"/>
        <v>7.384408744560063E-12</v>
      </c>
      <c r="FI140" s="60">
        <f t="shared" si="131"/>
        <v>284.99670540893277</v>
      </c>
      <c r="FJ140" s="60">
        <f ca="1">AVERAGE(OFFSET($FI$3,0,0,'Données projet'!$E$16+1,1))-AVERAGE(OFFSET($H$3,0,0,'Données projet'!$E$16+1,1))</f>
        <v>363.28611056308665</v>
      </c>
      <c r="FK140" s="60">
        <f t="shared" si="156"/>
        <v>389.43647559455974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2.7</v>
      </c>
      <c r="FZ140" s="13">
        <f>IF('Données projet'!$A$244&gt;35,FZ139+FY140-GH139,IF(A140&lt;'Données projet'!$A$244,$FW$205^A140,IF(A140='Données projet'!$A$244,'Données projet'!$B$244,FZ139+FY140-GH139)))</f>
        <v>287.8999999999993</v>
      </c>
      <c r="GA140" s="18">
        <f>FZ140*VLOOKUP('Données projet'!$B$17,Paramètres!$A$1:$I$89,3,0)*VLOOKUP('Données projet'!$B$17,Paramètres!$A$1:$I$89,5,0)</f>
        <v>309.89555999999925</v>
      </c>
      <c r="GB140" s="14">
        <f t="shared" si="157"/>
        <v>73.247018515231034</v>
      </c>
      <c r="GC140" s="22">
        <f t="shared" si="133"/>
        <v>667.30665758069279</v>
      </c>
      <c r="GD140" s="60">
        <f t="shared" si="134"/>
        <v>952.30336298961811</v>
      </c>
      <c r="GE140" s="60">
        <f ca="1">AVERAGE(OFFSET($GD$3,0,0,'Données projet'!$E$17+1,1))-AVERAGE(OFFSET($H$3,0,0,'Données projet'!$E$17+1,1))</f>
        <v>542.90832990875208</v>
      </c>
      <c r="GF140" s="60">
        <f t="shared" si="158"/>
        <v>304.94365539329362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2.7134774427395314E-13</v>
      </c>
      <c r="P141" s="14">
        <f t="shared" si="141"/>
        <v>3.6292411711343559E-12</v>
      </c>
      <c r="Q141" s="22">
        <f t="shared" si="108"/>
        <v>6.7935256943361388E-12</v>
      </c>
      <c r="R141" s="60">
        <f t="shared" si="109"/>
        <v>285.14132726551276</v>
      </c>
      <c r="S141" s="60">
        <f ca="1">AVERAGE(OFFSET($R$3,0,0,'Données projet'!$E$9+1,1))-AVERAGE(OFFSET($H$3,0,0,'Données projet'!$E$9+1,1))</f>
        <v>336.25341821407534</v>
      </c>
      <c r="T141" s="60">
        <f t="shared" si="142"/>
        <v>360.3246221345039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920.37242917792332</v>
      </c>
      <c r="AN141" s="60">
        <f ca="1">AVERAGE(OFFSET($AM$3,0,0,'Données projet'!$E$10+1,1))-AVERAGE(OFFSET($H$3,0,0,'Données projet'!$E$10+1,1))</f>
        <v>516.30971934066179</v>
      </c>
      <c r="AO141" s="60">
        <f t="shared" si="144"/>
        <v>290.84286505723571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0">
        <f t="shared" si="116"/>
        <v>285.14132726551276</v>
      </c>
      <c r="BI141" s="60">
        <f ca="1">AVERAGE(OFFSET($BH$3,0,0,'Données projet'!$E$11+1,1))-AVERAGE(OFFSET($H$3,0,0,'Données projet'!$E$11+1,1))</f>
        <v>336.25341821407534</v>
      </c>
      <c r="BJ141" s="60">
        <f t="shared" si="146"/>
        <v>360.3246221345039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1.0818439477588981E-13</v>
      </c>
      <c r="CA141" s="14">
        <f t="shared" si="147"/>
        <v>1.6104228458716316E-12</v>
      </c>
      <c r="CB141" s="22">
        <f t="shared" si="118"/>
        <v>2.9932409441277661E-12</v>
      </c>
      <c r="CC141" s="60">
        <f t="shared" si="119"/>
        <v>285.14132726550895</v>
      </c>
      <c r="CD141" s="60">
        <f ca="1">AVERAGE(OFFSET($CC$3,0,0,'Données projet'!$E$12+1,1))-AVERAGE(OFFSET($H$3,0,0,'Données projet'!$E$12+1,1))</f>
        <v>398.29746143975166</v>
      </c>
      <c r="CE141" s="60">
        <f t="shared" si="148"/>
        <v>300.63705521148802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281.06831999999929</v>
      </c>
      <c r="CV141" s="14">
        <f t="shared" si="149"/>
        <v>67.192725545416536</v>
      </c>
      <c r="CW141" s="22">
        <f t="shared" si="121"/>
        <v>606.55465432493247</v>
      </c>
      <c r="CX141" s="60">
        <f t="shared" si="122"/>
        <v>891.69598159043835</v>
      </c>
      <c r="CY141" s="60">
        <f ca="1">AVERAGE(OFFSET($CX$3,0,0,'Données projet'!$E$13+1,1))-AVERAGE(OFFSET($H$3,0,0,'Données projet'!$E$13+1,1))</f>
        <v>496.33873798282525</v>
      </c>
      <c r="CZ141" s="60">
        <f t="shared" si="150"/>
        <v>280.25465074992246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8.8675733422860506E-14</v>
      </c>
      <c r="DQ141" s="14">
        <f t="shared" si="151"/>
        <v>1.3509285393066301E-12</v>
      </c>
      <c r="DR141" s="22">
        <f t="shared" si="124"/>
        <v>2.5073107750038623E-12</v>
      </c>
      <c r="DS141" s="60">
        <f t="shared" si="125"/>
        <v>285.14132726550844</v>
      </c>
      <c r="DT141" s="60">
        <f ca="1">AVERAGE(OFFSET($DS$3,0,0,'Données projet'!$E$14+1,1))-AVERAGE(OFFSET($H$3,0,0,'Données projet'!$E$14+1,1))</f>
        <v>312.59632808777332</v>
      </c>
      <c r="DU141" s="60">
        <f t="shared" si="152"/>
        <v>302.59481222418219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1.7053025658242404E-13</v>
      </c>
      <c r="EK141" s="18">
        <f>EJ141*VLOOKUP('Données projet'!$B$15,Paramètres!$A$1:$I$89,3,0)*VLOOKUP('Données projet'!$B$15,Paramètres!$A$1:$I$89,5,0)</f>
        <v>1.1439169611549005E-13</v>
      </c>
      <c r="EL141" s="14">
        <f t="shared" si="153"/>
        <v>1.6918016515029816E-12</v>
      </c>
      <c r="EM141" s="22">
        <f t="shared" si="127"/>
        <v>3.1457867471021712E-12</v>
      </c>
      <c r="EN141" s="60">
        <f t="shared" si="128"/>
        <v>285.14132726550906</v>
      </c>
      <c r="EO141" s="60">
        <f ca="1">AVERAGE(OFFSET($EN$3,0,0,'Données projet'!$E$15+1,1))-AVERAGE(OFFSET($H$3,0,0,'Données projet'!$E$15+1,1))</f>
        <v>344.62096650402731</v>
      </c>
      <c r="EP141" s="60">
        <f t="shared" si="154"/>
        <v>277.30931495079346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3.4106051316484809E-13</v>
      </c>
      <c r="FF141" s="18">
        <f>FE141*VLOOKUP('Données projet'!$B$16,Paramètres!$A$1:$I$89,3,0)*VLOOKUP('Données projet'!$B$16,Paramètres!$A$1:$I$89,5,0)</f>
        <v>2.9795046430081134E-13</v>
      </c>
      <c r="FG141" s="14">
        <f t="shared" si="155"/>
        <v>3.9419014464513778E-12</v>
      </c>
      <c r="FH141" s="22">
        <f t="shared" si="130"/>
        <v>7.384408744560063E-12</v>
      </c>
      <c r="FI141" s="60">
        <f t="shared" si="131"/>
        <v>285.14132726551333</v>
      </c>
      <c r="FJ141" s="60">
        <f ca="1">AVERAGE(OFFSET($FI$3,0,0,'Données projet'!$E$16+1,1))-AVERAGE(OFFSET($H$3,0,0,'Données projet'!$E$16+1,1))</f>
        <v>363.28611056308665</v>
      </c>
      <c r="FK141" s="60">
        <f t="shared" si="156"/>
        <v>389.43647559455974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2.7</v>
      </c>
      <c r="FZ141" s="13">
        <f>IF('Données projet'!$A$244&gt;35,FZ140+FY141-GH140,IF(A141&lt;'Données projet'!$A$244,$FW$205^A141,IF(A141='Données projet'!$A$244,'Données projet'!$B$244,FZ140+FY141-GH140)))</f>
        <v>290.59999999999928</v>
      </c>
      <c r="GA141" s="18">
        <f>FZ141*VLOOKUP('Données projet'!$B$17,Paramètres!$A$1:$I$89,3,0)*VLOOKUP('Données projet'!$B$17,Paramètres!$A$1:$I$89,5,0)</f>
        <v>312.80183999999923</v>
      </c>
      <c r="GB141" s="14">
        <f t="shared" si="157"/>
        <v>73.853659115640255</v>
      </c>
      <c r="GC141" s="22">
        <f t="shared" si="133"/>
        <v>673.42499429307202</v>
      </c>
      <c r="GD141" s="60">
        <f t="shared" si="134"/>
        <v>958.56632155857801</v>
      </c>
      <c r="GE141" s="60">
        <f ca="1">AVERAGE(OFFSET($GD$3,0,0,'Données projet'!$E$17+1,1))-AVERAGE(OFFSET($H$3,0,0,'Données projet'!$E$17+1,1))</f>
        <v>542.90832990875208</v>
      </c>
      <c r="GF141" s="60">
        <f t="shared" si="158"/>
        <v>304.94365539329362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2.7134774427395314E-13</v>
      </c>
      <c r="P142" s="14">
        <f t="shared" si="141"/>
        <v>3.6292411711343559E-12</v>
      </c>
      <c r="Q142" s="22">
        <f t="shared" si="108"/>
        <v>6.7935256943361388E-12</v>
      </c>
      <c r="R142" s="60">
        <f t="shared" si="109"/>
        <v>285.28344025620771</v>
      </c>
      <c r="S142" s="60">
        <f ca="1">AVERAGE(OFFSET($R$3,0,0,'Données projet'!$E$9+1,1))-AVERAGE(OFFSET($H$3,0,0,'Données projet'!$E$9+1,1))</f>
        <v>336.25341821407534</v>
      </c>
      <c r="T142" s="60">
        <f t="shared" si="142"/>
        <v>360.3246221345039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926.28405219391425</v>
      </c>
      <c r="AN142" s="60">
        <f ca="1">AVERAGE(OFFSET($AM$3,0,0,'Données projet'!$E$10+1,1))-AVERAGE(OFFSET($H$3,0,0,'Données projet'!$E$10+1,1))</f>
        <v>516.30971934066179</v>
      </c>
      <c r="AO142" s="60">
        <f t="shared" si="144"/>
        <v>290.84286505723571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0">
        <f t="shared" si="116"/>
        <v>285.28344025620771</v>
      </c>
      <c r="BI142" s="60">
        <f ca="1">AVERAGE(OFFSET($BH$3,0,0,'Données projet'!$E$11+1,1))-AVERAGE(OFFSET($H$3,0,0,'Données projet'!$E$11+1,1))</f>
        <v>336.25341821407534</v>
      </c>
      <c r="BJ142" s="60">
        <f t="shared" si="146"/>
        <v>360.3246221345039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1.0818439477588981E-13</v>
      </c>
      <c r="CA142" s="14">
        <f t="shared" si="147"/>
        <v>1.6104228458716316E-12</v>
      </c>
      <c r="CB142" s="22">
        <f t="shared" si="118"/>
        <v>2.9932409441277661E-12</v>
      </c>
      <c r="CC142" s="60">
        <f t="shared" si="119"/>
        <v>285.2834402562039</v>
      </c>
      <c r="CD142" s="60">
        <f ca="1">AVERAGE(OFFSET($CC$3,0,0,'Données projet'!$E$12+1,1))-AVERAGE(OFFSET($H$3,0,0,'Données projet'!$E$12+1,1))</f>
        <v>398.29746143975166</v>
      </c>
      <c r="CE142" s="60">
        <f t="shared" si="148"/>
        <v>300.63705521148802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283.67975999999931</v>
      </c>
      <c r="CV142" s="14">
        <f t="shared" si="149"/>
        <v>67.74405605004435</v>
      </c>
      <c r="CW142" s="22">
        <f t="shared" si="121"/>
        <v>612.06314628715938</v>
      </c>
      <c r="CX142" s="60">
        <f t="shared" si="122"/>
        <v>897.34658654336022</v>
      </c>
      <c r="CY142" s="60">
        <f ca="1">AVERAGE(OFFSET($CX$3,0,0,'Données projet'!$E$13+1,1))-AVERAGE(OFFSET($H$3,0,0,'Données projet'!$E$13+1,1))</f>
        <v>496.33873798282525</v>
      </c>
      <c r="CZ142" s="60">
        <f t="shared" si="150"/>
        <v>280.25465074992246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8.8675733422860506E-14</v>
      </c>
      <c r="DQ142" s="14">
        <f t="shared" si="151"/>
        <v>1.3509285393066301E-12</v>
      </c>
      <c r="DR142" s="22">
        <f t="shared" si="124"/>
        <v>2.5073107750038623E-12</v>
      </c>
      <c r="DS142" s="60">
        <f t="shared" si="125"/>
        <v>285.28344025620339</v>
      </c>
      <c r="DT142" s="60">
        <f ca="1">AVERAGE(OFFSET($DS$3,0,0,'Données projet'!$E$14+1,1))-AVERAGE(OFFSET($H$3,0,0,'Données projet'!$E$14+1,1))</f>
        <v>312.59632808777332</v>
      </c>
      <c r="DU142" s="60">
        <f t="shared" si="152"/>
        <v>302.59481222418219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1.7053025658242404E-13</v>
      </c>
      <c r="EK142" s="18">
        <f>EJ142*VLOOKUP('Données projet'!$B$15,Paramètres!$A$1:$I$89,3,0)*VLOOKUP('Données projet'!$B$15,Paramètres!$A$1:$I$89,5,0)</f>
        <v>1.1439169611549005E-13</v>
      </c>
      <c r="EL142" s="14">
        <f t="shared" si="153"/>
        <v>1.6918016515029816E-12</v>
      </c>
      <c r="EM142" s="22">
        <f t="shared" si="127"/>
        <v>3.1457867471021712E-12</v>
      </c>
      <c r="EN142" s="60">
        <f t="shared" si="128"/>
        <v>285.28344025620402</v>
      </c>
      <c r="EO142" s="60">
        <f ca="1">AVERAGE(OFFSET($EN$3,0,0,'Données projet'!$E$15+1,1))-AVERAGE(OFFSET($H$3,0,0,'Données projet'!$E$15+1,1))</f>
        <v>344.62096650402731</v>
      </c>
      <c r="EP142" s="60">
        <f t="shared" si="154"/>
        <v>277.30931495079346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3.4106051316484809E-13</v>
      </c>
      <c r="FF142" s="18">
        <f>FE142*VLOOKUP('Données projet'!$B$16,Paramètres!$A$1:$I$89,3,0)*VLOOKUP('Données projet'!$B$16,Paramètres!$A$1:$I$89,5,0)</f>
        <v>2.9795046430081134E-13</v>
      </c>
      <c r="FG142" s="14">
        <f t="shared" si="155"/>
        <v>3.9419014464513778E-12</v>
      </c>
      <c r="FH142" s="22">
        <f t="shared" si="130"/>
        <v>7.384408744560063E-12</v>
      </c>
      <c r="FI142" s="60">
        <f t="shared" si="131"/>
        <v>285.28344025620828</v>
      </c>
      <c r="FJ142" s="60">
        <f ca="1">AVERAGE(OFFSET($FI$3,0,0,'Données projet'!$E$16+1,1))-AVERAGE(OFFSET($H$3,0,0,'Données projet'!$E$16+1,1))</f>
        <v>363.28611056308665</v>
      </c>
      <c r="FK142" s="60">
        <f t="shared" si="156"/>
        <v>389.43647559455974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2.7</v>
      </c>
      <c r="FZ142" s="13">
        <f>IF('Données projet'!$A$244&gt;35,FZ141+FY142-GH141,IF(A142&lt;'Données projet'!$A$244,$FW$205^A142,IF(A142='Données projet'!$A$244,'Données projet'!$B$244,FZ141+FY142-GH141)))</f>
        <v>293.29999999999927</v>
      </c>
      <c r="GA142" s="18">
        <f>FZ142*VLOOKUP('Données projet'!$B$17,Paramètres!$A$1:$I$89,3,0)*VLOOKUP('Données projet'!$B$17,Paramètres!$A$1:$I$89,5,0)</f>
        <v>315.70811999999916</v>
      </c>
      <c r="GB142" s="14">
        <f t="shared" si="157"/>
        <v>74.459643987042966</v>
      </c>
      <c r="GC142" s="22">
        <f t="shared" si="133"/>
        <v>679.54218894409837</v>
      </c>
      <c r="GD142" s="60">
        <f t="shared" si="134"/>
        <v>964.82562920029932</v>
      </c>
      <c r="GE142" s="60">
        <f ca="1">AVERAGE(OFFSET($GD$3,0,0,'Données projet'!$E$17+1,1))-AVERAGE(OFFSET($H$3,0,0,'Données projet'!$E$17+1,1))</f>
        <v>542.90832990875208</v>
      </c>
      <c r="GF142" s="60">
        <f t="shared" si="158"/>
        <v>304.94365539329362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2.7134774427395314E-13</v>
      </c>
      <c r="P143" s="14">
        <f t="shared" si="141"/>
        <v>3.6292411711343559E-12</v>
      </c>
      <c r="Q143" s="22">
        <f t="shared" si="108"/>
        <v>6.7935256943361388E-12</v>
      </c>
      <c r="R143" s="60">
        <f t="shared" si="109"/>
        <v>285.42308790423118</v>
      </c>
      <c r="S143" s="60">
        <f ca="1">AVERAGE(OFFSET($R$3,0,0,'Données projet'!$E$9+1,1))-AVERAGE(OFFSET($H$3,0,0,'Données projet'!$E$9+1,1))</f>
        <v>336.25341821407534</v>
      </c>
      <c r="T143" s="60">
        <f t="shared" si="142"/>
        <v>360.3246221345039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932.19213763584321</v>
      </c>
      <c r="AN143" s="60">
        <f ca="1">AVERAGE(OFFSET($AM$3,0,0,'Données projet'!$E$10+1,1))-AVERAGE(OFFSET($H$3,0,0,'Données projet'!$E$10+1,1))</f>
        <v>516.30971934066179</v>
      </c>
      <c r="AO143" s="60">
        <f t="shared" si="144"/>
        <v>290.84286505723571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0">
        <f t="shared" si="116"/>
        <v>285.42308790423118</v>
      </c>
      <c r="BI143" s="60">
        <f ca="1">AVERAGE(OFFSET($BH$3,0,0,'Données projet'!$E$11+1,1))-AVERAGE(OFFSET($H$3,0,0,'Données projet'!$E$11+1,1))</f>
        <v>336.25341821407534</v>
      </c>
      <c r="BJ143" s="60">
        <f t="shared" si="146"/>
        <v>360.3246221345039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1.0818439477588981E-13</v>
      </c>
      <c r="CA143" s="14">
        <f t="shared" si="147"/>
        <v>1.6104228458716316E-12</v>
      </c>
      <c r="CB143" s="22">
        <f t="shared" si="118"/>
        <v>2.9932409441277661E-12</v>
      </c>
      <c r="CC143" s="60">
        <f t="shared" si="119"/>
        <v>285.42308790422737</v>
      </c>
      <c r="CD143" s="60">
        <f ca="1">AVERAGE(OFFSET($CC$3,0,0,'Données projet'!$E$12+1,1))-AVERAGE(OFFSET($H$3,0,0,'Données projet'!$E$12+1,1))</f>
        <v>398.29746143975166</v>
      </c>
      <c r="CE143" s="60">
        <f t="shared" si="148"/>
        <v>300.63705521148802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286.29119999999926</v>
      </c>
      <c r="CV143" s="14">
        <f t="shared" si="149"/>
        <v>68.294796094604223</v>
      </c>
      <c r="CW143" s="22">
        <f t="shared" si="121"/>
        <v>617.57060986476779</v>
      </c>
      <c r="CX143" s="60">
        <f t="shared" si="122"/>
        <v>902.99369776899221</v>
      </c>
      <c r="CY143" s="60">
        <f ca="1">AVERAGE(OFFSET($CX$3,0,0,'Données projet'!$E$13+1,1))-AVERAGE(OFFSET($H$3,0,0,'Données projet'!$E$13+1,1))</f>
        <v>496.33873798282525</v>
      </c>
      <c r="CZ143" s="60">
        <f t="shared" si="150"/>
        <v>280.25465074992246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8.8675733422860506E-14</v>
      </c>
      <c r="DQ143" s="14">
        <f t="shared" si="151"/>
        <v>1.3509285393066301E-12</v>
      </c>
      <c r="DR143" s="22">
        <f t="shared" si="124"/>
        <v>2.5073107750038623E-12</v>
      </c>
      <c r="DS143" s="60">
        <f t="shared" si="125"/>
        <v>285.42308790422686</v>
      </c>
      <c r="DT143" s="60">
        <f ca="1">AVERAGE(OFFSET($DS$3,0,0,'Données projet'!$E$14+1,1))-AVERAGE(OFFSET($H$3,0,0,'Données projet'!$E$14+1,1))</f>
        <v>312.59632808777332</v>
      </c>
      <c r="DU143" s="60">
        <f t="shared" si="152"/>
        <v>302.59481222418219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1.7053025658242404E-13</v>
      </c>
      <c r="EK143" s="18">
        <f>EJ143*VLOOKUP('Données projet'!$B$15,Paramètres!$A$1:$I$89,3,0)*VLOOKUP('Données projet'!$B$15,Paramètres!$A$1:$I$89,5,0)</f>
        <v>1.1439169611549005E-13</v>
      </c>
      <c r="EL143" s="14">
        <f t="shared" si="153"/>
        <v>1.6918016515029816E-12</v>
      </c>
      <c r="EM143" s="22">
        <f t="shared" si="127"/>
        <v>3.1457867471021712E-12</v>
      </c>
      <c r="EN143" s="60">
        <f t="shared" si="128"/>
        <v>285.42308790422749</v>
      </c>
      <c r="EO143" s="60">
        <f ca="1">AVERAGE(OFFSET($EN$3,0,0,'Données projet'!$E$15+1,1))-AVERAGE(OFFSET($H$3,0,0,'Données projet'!$E$15+1,1))</f>
        <v>344.62096650402731</v>
      </c>
      <c r="EP143" s="60">
        <f t="shared" si="154"/>
        <v>277.30931495079346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3.4106051316484809E-13</v>
      </c>
      <c r="FF143" s="18">
        <f>FE143*VLOOKUP('Données projet'!$B$16,Paramètres!$A$1:$I$89,3,0)*VLOOKUP('Données projet'!$B$16,Paramètres!$A$1:$I$89,5,0)</f>
        <v>2.9795046430081134E-13</v>
      </c>
      <c r="FG143" s="14">
        <f t="shared" si="155"/>
        <v>3.9419014464513778E-12</v>
      </c>
      <c r="FH143" s="22">
        <f t="shared" si="130"/>
        <v>7.384408744560063E-12</v>
      </c>
      <c r="FI143" s="60">
        <f t="shared" si="131"/>
        <v>285.42308790423175</v>
      </c>
      <c r="FJ143" s="60">
        <f ca="1">AVERAGE(OFFSET($FI$3,0,0,'Données projet'!$E$16+1,1))-AVERAGE(OFFSET($H$3,0,0,'Données projet'!$E$16+1,1))</f>
        <v>363.28611056308665</v>
      </c>
      <c r="FK143" s="60">
        <f t="shared" si="156"/>
        <v>389.43647559455974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296</v>
      </c>
      <c r="FX143" s="13">
        <f>VLOOKUP(A143,'Données projet'!$A$243:$I$263,9,0)</f>
        <v>2.7</v>
      </c>
      <c r="FY143" s="13">
        <f t="array" ref="FY143">INDEX(FX:FX,MIN(IF(ISNUMBER(FX143:FX339),ROW(FX143:FX339),"")))</f>
        <v>2.7</v>
      </c>
      <c r="FZ143" s="13">
        <f>IF('Données projet'!$A$244&gt;35,FZ142+FY143-GH142,IF(A143&lt;'Données projet'!$A$244,$FW$205^A143,IF(A143='Données projet'!$A$244,'Données projet'!$B$244,FZ142+FY143-GH142)))</f>
        <v>295.99999999999926</v>
      </c>
      <c r="GA143" s="18">
        <f>FZ143*VLOOKUP('Données projet'!$B$17,Paramètres!$A$1:$I$89,3,0)*VLOOKUP('Données projet'!$B$17,Paramètres!$A$1:$I$89,5,0)</f>
        <v>318.61439999999919</v>
      </c>
      <c r="GB143" s="14">
        <f t="shared" si="157"/>
        <v>75.064979865028292</v>
      </c>
      <c r="GC143" s="22">
        <f t="shared" si="133"/>
        <v>685.65825326492302</v>
      </c>
      <c r="GD143" s="60">
        <f t="shared" si="134"/>
        <v>971.08134116914744</v>
      </c>
      <c r="GE143" s="60">
        <f ca="1">AVERAGE(OFFSET($GD$3,0,0,'Données projet'!$E$17+1,1))-AVERAGE(OFFSET($H$3,0,0,'Données projet'!$E$17+1,1))</f>
        <v>542.90832990875208</v>
      </c>
      <c r="GF143" s="60">
        <f t="shared" si="158"/>
        <v>304.94365539329362</v>
      </c>
      <c r="GG143" s="16">
        <f>IF(ISNA(VLOOKUP(A143,'Données projet'!$A$243:$I$263,3,0)),0,VLOOKUP(A143,'Données projet'!$A$243:$I$263,3,0))</f>
        <v>12</v>
      </c>
      <c r="GH143" s="16">
        <f>IF(ISNA(VLOOKUP(A143,'Données projet'!$A$243:$I$263,4,0)),0,VLOOKUP(A143,'Données projet'!$A$243:$I$263,4,0))</f>
        <v>27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2.7134774427395314E-13</v>
      </c>
      <c r="P144" s="14">
        <f t="shared" si="141"/>
        <v>3.6292411711343559E-12</v>
      </c>
      <c r="Q144" s="22">
        <f t="shared" si="108"/>
        <v>6.7935256943361388E-12</v>
      </c>
      <c r="R144" s="60">
        <f t="shared" si="109"/>
        <v>285.56031297776684</v>
      </c>
      <c r="S144" s="60">
        <f ca="1">AVERAGE(OFFSET($R$3,0,0,'Données projet'!$E$9+1,1))-AVERAGE(OFFSET($H$3,0,0,'Données projet'!$E$9+1,1))</f>
        <v>336.25341821407534</v>
      </c>
      <c r="T144" s="60">
        <f t="shared" si="142"/>
        <v>360.3246221345039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879.73186025041241</v>
      </c>
      <c r="AN144" s="60">
        <f ca="1">AVERAGE(OFFSET($AM$3,0,0,'Données projet'!$E$10+1,1))-AVERAGE(OFFSET($H$3,0,0,'Données projet'!$E$10+1,1))</f>
        <v>516.30971934066179</v>
      </c>
      <c r="AO144" s="60">
        <f t="shared" si="144"/>
        <v>290.84286505723571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0">
        <f t="shared" si="116"/>
        <v>285.56031297776684</v>
      </c>
      <c r="BI144" s="60">
        <f ca="1">AVERAGE(OFFSET($BH$3,0,0,'Données projet'!$E$11+1,1))-AVERAGE(OFFSET($H$3,0,0,'Données projet'!$E$11+1,1))</f>
        <v>336.25341821407534</v>
      </c>
      <c r="BJ144" s="60">
        <f t="shared" si="146"/>
        <v>360.3246221345039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1.0818439477588981E-13</v>
      </c>
      <c r="CA144" s="14">
        <f t="shared" si="147"/>
        <v>1.6104228458716316E-12</v>
      </c>
      <c r="CB144" s="22">
        <f t="shared" si="118"/>
        <v>2.9932409441277661E-12</v>
      </c>
      <c r="CC144" s="60">
        <f t="shared" si="119"/>
        <v>285.56031297776303</v>
      </c>
      <c r="CD144" s="60">
        <f ca="1">AVERAGE(OFFSET($CC$3,0,0,'Données projet'!$E$12+1,1))-AVERAGE(OFFSET($H$3,0,0,'Données projet'!$E$12+1,1))</f>
        <v>398.29746143975166</v>
      </c>
      <c r="CE144" s="60">
        <f t="shared" si="148"/>
        <v>300.63705521148802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262.49807999999928</v>
      </c>
      <c r="CV144" s="14">
        <f t="shared" si="149"/>
        <v>63.254570961137979</v>
      </c>
      <c r="CW144" s="22">
        <f t="shared" si="121"/>
        <v>567.35253375731406</v>
      </c>
      <c r="CX144" s="60">
        <f t="shared" si="122"/>
        <v>852.91284673507403</v>
      </c>
      <c r="CY144" s="60">
        <f ca="1">AVERAGE(OFFSET($CX$3,0,0,'Données projet'!$E$13+1,1))-AVERAGE(OFFSET($H$3,0,0,'Données projet'!$E$13+1,1))</f>
        <v>496.33873798282525</v>
      </c>
      <c r="CZ144" s="60">
        <f t="shared" si="150"/>
        <v>280.25465074992246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8.8675733422860506E-14</v>
      </c>
      <c r="DQ144" s="14">
        <f t="shared" si="151"/>
        <v>1.3509285393066301E-12</v>
      </c>
      <c r="DR144" s="22">
        <f t="shared" si="124"/>
        <v>2.5073107750038623E-12</v>
      </c>
      <c r="DS144" s="60">
        <f t="shared" si="125"/>
        <v>285.56031297776252</v>
      </c>
      <c r="DT144" s="60">
        <f ca="1">AVERAGE(OFFSET($DS$3,0,0,'Données projet'!$E$14+1,1))-AVERAGE(OFFSET($H$3,0,0,'Données projet'!$E$14+1,1))</f>
        <v>312.59632808777332</v>
      </c>
      <c r="DU144" s="60">
        <f t="shared" si="152"/>
        <v>302.59481222418219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1.7053025658242404E-13</v>
      </c>
      <c r="EK144" s="18">
        <f>EJ144*VLOOKUP('Données projet'!$B$15,Paramètres!$A$1:$I$89,3,0)*VLOOKUP('Données projet'!$B$15,Paramètres!$A$1:$I$89,5,0)</f>
        <v>1.1439169611549005E-13</v>
      </c>
      <c r="EL144" s="14">
        <f t="shared" si="153"/>
        <v>1.6918016515029816E-12</v>
      </c>
      <c r="EM144" s="22">
        <f t="shared" si="127"/>
        <v>3.1457867471021712E-12</v>
      </c>
      <c r="EN144" s="60">
        <f t="shared" si="128"/>
        <v>285.56031297776315</v>
      </c>
      <c r="EO144" s="60">
        <f ca="1">AVERAGE(OFFSET($EN$3,0,0,'Données projet'!$E$15+1,1))-AVERAGE(OFFSET($H$3,0,0,'Données projet'!$E$15+1,1))</f>
        <v>344.62096650402731</v>
      </c>
      <c r="EP144" s="60">
        <f t="shared" si="154"/>
        <v>277.30931495079346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3.4106051316484809E-13</v>
      </c>
      <c r="FF144" s="18">
        <f>FE144*VLOOKUP('Données projet'!$B$16,Paramètres!$A$1:$I$89,3,0)*VLOOKUP('Données projet'!$B$16,Paramètres!$A$1:$I$89,5,0)</f>
        <v>2.9795046430081134E-13</v>
      </c>
      <c r="FG144" s="14">
        <f t="shared" si="155"/>
        <v>3.9419014464513778E-12</v>
      </c>
      <c r="FH144" s="22">
        <f t="shared" si="130"/>
        <v>7.384408744560063E-12</v>
      </c>
      <c r="FI144" s="60">
        <f t="shared" si="131"/>
        <v>285.56031297776741</v>
      </c>
      <c r="FJ144" s="60">
        <f ca="1">AVERAGE(OFFSET($FI$3,0,0,'Données projet'!$E$16+1,1))-AVERAGE(OFFSET($H$3,0,0,'Données projet'!$E$16+1,1))</f>
        <v>363.28611056308665</v>
      </c>
      <c r="FK144" s="60">
        <f t="shared" si="156"/>
        <v>389.43647559455974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2.4</v>
      </c>
      <c r="FZ144" s="13">
        <f>IF('Données projet'!$A$244&gt;35,FZ143+FY144-GH143,IF(A144&lt;'Données projet'!$A$244,$FW$205^A144,IF(A144='Données projet'!$A$244,'Données projet'!$B$244,FZ143+FY144-GH143)))</f>
        <v>271.39999999999924</v>
      </c>
      <c r="GA144" s="18">
        <f>FZ144*VLOOKUP('Données projet'!$B$17,Paramètres!$A$1:$I$89,3,0)*VLOOKUP('Données projet'!$B$17,Paramètres!$A$1:$I$89,5,0)</f>
        <v>292.13495999999913</v>
      </c>
      <c r="GB144" s="14">
        <f t="shared" si="157"/>
        <v>69.525108311202104</v>
      </c>
      <c r="GC144" s="22">
        <f t="shared" si="133"/>
        <v>629.89128564200882</v>
      </c>
      <c r="GD144" s="60">
        <f t="shared" si="134"/>
        <v>915.4515986197689</v>
      </c>
      <c r="GE144" s="60">
        <f ca="1">AVERAGE(OFFSET($GD$3,0,0,'Données projet'!$E$17+1,1))-AVERAGE(OFFSET($H$3,0,0,'Données projet'!$E$17+1,1))</f>
        <v>542.90832990875208</v>
      </c>
      <c r="GF144" s="60">
        <f t="shared" si="158"/>
        <v>304.94365539329362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2.7134774427395314E-13</v>
      </c>
      <c r="P145" s="14">
        <f t="shared" si="141"/>
        <v>3.6292411711343559E-12</v>
      </c>
      <c r="Q145" s="22">
        <f t="shared" si="108"/>
        <v>6.7935256943361388E-12</v>
      </c>
      <c r="R145" s="60">
        <f t="shared" si="109"/>
        <v>285.6951575030659</v>
      </c>
      <c r="S145" s="60">
        <f ca="1">AVERAGE(OFFSET($R$3,0,0,'Données projet'!$E$9+1,1))-AVERAGE(OFFSET($H$3,0,0,'Données projet'!$E$9+1,1))</f>
        <v>336.25341821407534</v>
      </c>
      <c r="T145" s="60">
        <f t="shared" si="142"/>
        <v>360.3246221345039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885.00229029524007</v>
      </c>
      <c r="AN145" s="60">
        <f ca="1">AVERAGE(OFFSET($AM$3,0,0,'Données projet'!$E$10+1,1))-AVERAGE(OFFSET($H$3,0,0,'Données projet'!$E$10+1,1))</f>
        <v>516.30971934066179</v>
      </c>
      <c r="AO145" s="60">
        <f t="shared" si="144"/>
        <v>290.84286505723571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0">
        <f t="shared" si="116"/>
        <v>285.6951575030659</v>
      </c>
      <c r="BI145" s="60">
        <f ca="1">AVERAGE(OFFSET($BH$3,0,0,'Données projet'!$E$11+1,1))-AVERAGE(OFFSET($H$3,0,0,'Données projet'!$E$11+1,1))</f>
        <v>336.25341821407534</v>
      </c>
      <c r="BJ145" s="60">
        <f t="shared" si="146"/>
        <v>360.3246221345039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1.0818439477588981E-13</v>
      </c>
      <c r="CA145" s="14">
        <f t="shared" si="147"/>
        <v>1.6104228458716316E-12</v>
      </c>
      <c r="CB145" s="22">
        <f t="shared" si="118"/>
        <v>2.9932409441277661E-12</v>
      </c>
      <c r="CC145" s="60">
        <f t="shared" si="119"/>
        <v>285.69515750306209</v>
      </c>
      <c r="CD145" s="60">
        <f ca="1">AVERAGE(OFFSET($CC$3,0,0,'Données projet'!$E$12+1,1))-AVERAGE(OFFSET($H$3,0,0,'Données projet'!$E$12+1,1))</f>
        <v>398.29746143975166</v>
      </c>
      <c r="CE145" s="60">
        <f t="shared" si="148"/>
        <v>300.63705521148802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264.81935999999928</v>
      </c>
      <c r="CV145" s="14">
        <f t="shared" si="149"/>
        <v>63.748570085236892</v>
      </c>
      <c r="CW145" s="22">
        <f t="shared" si="121"/>
        <v>572.25581156511964</v>
      </c>
      <c r="CX145" s="60">
        <f t="shared" si="122"/>
        <v>857.95096906817867</v>
      </c>
      <c r="CY145" s="60">
        <f ca="1">AVERAGE(OFFSET($CX$3,0,0,'Données projet'!$E$13+1,1))-AVERAGE(OFFSET($H$3,0,0,'Données projet'!$E$13+1,1))</f>
        <v>496.33873798282525</v>
      </c>
      <c r="CZ145" s="60">
        <f t="shared" si="150"/>
        <v>280.25465074992246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8.8675733422860506E-14</v>
      </c>
      <c r="DQ145" s="14">
        <f t="shared" si="151"/>
        <v>1.3509285393066301E-12</v>
      </c>
      <c r="DR145" s="22">
        <f t="shared" si="124"/>
        <v>2.5073107750038623E-12</v>
      </c>
      <c r="DS145" s="60">
        <f t="shared" si="125"/>
        <v>285.69515750306158</v>
      </c>
      <c r="DT145" s="60">
        <f ca="1">AVERAGE(OFFSET($DS$3,0,0,'Données projet'!$E$14+1,1))-AVERAGE(OFFSET($H$3,0,0,'Données projet'!$E$14+1,1))</f>
        <v>312.59632808777332</v>
      </c>
      <c r="DU145" s="60">
        <f t="shared" si="152"/>
        <v>302.59481222418219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1.7053025658242404E-13</v>
      </c>
      <c r="EK145" s="18">
        <f>EJ145*VLOOKUP('Données projet'!$B$15,Paramètres!$A$1:$I$89,3,0)*VLOOKUP('Données projet'!$B$15,Paramètres!$A$1:$I$89,5,0)</f>
        <v>1.1439169611549005E-13</v>
      </c>
      <c r="EL145" s="14">
        <f t="shared" si="153"/>
        <v>1.6918016515029816E-12</v>
      </c>
      <c r="EM145" s="22">
        <f t="shared" si="127"/>
        <v>3.1457867471021712E-12</v>
      </c>
      <c r="EN145" s="60">
        <f t="shared" si="128"/>
        <v>285.69515750306221</v>
      </c>
      <c r="EO145" s="60">
        <f ca="1">AVERAGE(OFFSET($EN$3,0,0,'Données projet'!$E$15+1,1))-AVERAGE(OFFSET($H$3,0,0,'Données projet'!$E$15+1,1))</f>
        <v>344.62096650402731</v>
      </c>
      <c r="EP145" s="60">
        <f t="shared" si="154"/>
        <v>277.30931495079346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3.4106051316484809E-13</v>
      </c>
      <c r="FF145" s="18">
        <f>FE145*VLOOKUP('Données projet'!$B$16,Paramètres!$A$1:$I$89,3,0)*VLOOKUP('Données projet'!$B$16,Paramètres!$A$1:$I$89,5,0)</f>
        <v>2.9795046430081134E-13</v>
      </c>
      <c r="FG145" s="14">
        <f t="shared" si="155"/>
        <v>3.9419014464513778E-12</v>
      </c>
      <c r="FH145" s="22">
        <f t="shared" si="130"/>
        <v>7.384408744560063E-12</v>
      </c>
      <c r="FI145" s="60">
        <f t="shared" si="131"/>
        <v>285.69515750306647</v>
      </c>
      <c r="FJ145" s="60">
        <f ca="1">AVERAGE(OFFSET($FI$3,0,0,'Données projet'!$E$16+1,1))-AVERAGE(OFFSET($H$3,0,0,'Données projet'!$E$16+1,1))</f>
        <v>363.28611056308665</v>
      </c>
      <c r="FK145" s="60">
        <f t="shared" si="156"/>
        <v>389.43647559455974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2.4</v>
      </c>
      <c r="FZ145" s="13">
        <f>IF('Données projet'!$A$244&gt;35,FZ144+FY145-GH144,IF(A145&lt;'Données projet'!$A$244,$FW$205^A145,IF(A145='Données projet'!$A$244,'Données projet'!$B$244,FZ144+FY145-GH144)))</f>
        <v>273.79999999999922</v>
      </c>
      <c r="GA145" s="18">
        <f>FZ145*VLOOKUP('Données projet'!$B$17,Paramètres!$A$1:$I$89,3,0)*VLOOKUP('Données projet'!$B$17,Paramètres!$A$1:$I$89,5,0)</f>
        <v>294.71831999999915</v>
      </c>
      <c r="GB145" s="14">
        <f t="shared" si="157"/>
        <v>70.068078441055917</v>
      </c>
      <c r="GC145" s="22">
        <f t="shared" si="133"/>
        <v>635.33631061817096</v>
      </c>
      <c r="GD145" s="60">
        <f t="shared" si="134"/>
        <v>921.03146812123009</v>
      </c>
      <c r="GE145" s="60">
        <f ca="1">AVERAGE(OFFSET($GD$3,0,0,'Données projet'!$E$17+1,1))-AVERAGE(OFFSET($H$3,0,0,'Données projet'!$E$17+1,1))</f>
        <v>542.90832990875208</v>
      </c>
      <c r="GF145" s="60">
        <f t="shared" si="158"/>
        <v>304.94365539329362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2.7134774427395314E-13</v>
      </c>
      <c r="P146" s="14">
        <f t="shared" si="141"/>
        <v>3.6292411711343559E-12</v>
      </c>
      <c r="Q146" s="22">
        <f t="shared" si="108"/>
        <v>6.7935256943361388E-12</v>
      </c>
      <c r="R146" s="60">
        <f t="shared" si="109"/>
        <v>285.82766277731827</v>
      </c>
      <c r="S146" s="60">
        <f ca="1">AVERAGE(OFFSET($R$3,0,0,'Données projet'!$E$9+1,1))-AVERAGE(OFFSET($H$3,0,0,'Données projet'!$E$9+1,1))</f>
        <v>336.25341821407534</v>
      </c>
      <c r="T146" s="60">
        <f t="shared" si="142"/>
        <v>360.3246221345039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890.26946626136214</v>
      </c>
      <c r="AN146" s="60">
        <f ca="1">AVERAGE(OFFSET($AM$3,0,0,'Données projet'!$E$10+1,1))-AVERAGE(OFFSET($H$3,0,0,'Données projet'!$E$10+1,1))</f>
        <v>516.30971934066179</v>
      </c>
      <c r="AO146" s="60">
        <f t="shared" si="144"/>
        <v>290.84286505723571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0">
        <f t="shared" si="116"/>
        <v>285.82766277731827</v>
      </c>
      <c r="BI146" s="60">
        <f ca="1">AVERAGE(OFFSET($BH$3,0,0,'Données projet'!$E$11+1,1))-AVERAGE(OFFSET($H$3,0,0,'Données projet'!$E$11+1,1))</f>
        <v>336.25341821407534</v>
      </c>
      <c r="BJ146" s="60">
        <f t="shared" si="146"/>
        <v>360.3246221345039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1.0818439477588981E-13</v>
      </c>
      <c r="CA146" s="14">
        <f t="shared" si="147"/>
        <v>1.6104228458716316E-12</v>
      </c>
      <c r="CB146" s="22">
        <f t="shared" si="118"/>
        <v>2.9932409441277661E-12</v>
      </c>
      <c r="CC146" s="60">
        <f t="shared" si="119"/>
        <v>285.82766277731446</v>
      </c>
      <c r="CD146" s="60">
        <f ca="1">AVERAGE(OFFSET($CC$3,0,0,'Données projet'!$E$12+1,1))-AVERAGE(OFFSET($H$3,0,0,'Données projet'!$E$12+1,1))</f>
        <v>398.29746143975166</v>
      </c>
      <c r="CE146" s="60">
        <f t="shared" si="148"/>
        <v>300.63705521148802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267.14063999999922</v>
      </c>
      <c r="CV146" s="14">
        <f t="shared" si="149"/>
        <v>64.242065428895785</v>
      </c>
      <c r="CW146" s="22">
        <f t="shared" si="121"/>
        <v>577.15821195532533</v>
      </c>
      <c r="CX146" s="60">
        <f t="shared" si="122"/>
        <v>862.98587473263683</v>
      </c>
      <c r="CY146" s="60">
        <f ca="1">AVERAGE(OFFSET($CX$3,0,0,'Données projet'!$E$13+1,1))-AVERAGE(OFFSET($H$3,0,0,'Données projet'!$E$13+1,1))</f>
        <v>496.33873798282525</v>
      </c>
      <c r="CZ146" s="60">
        <f t="shared" si="150"/>
        <v>280.25465074992246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8.8675733422860506E-14</v>
      </c>
      <c r="DQ146" s="14">
        <f t="shared" si="151"/>
        <v>1.3509285393066301E-12</v>
      </c>
      <c r="DR146" s="22">
        <f t="shared" si="124"/>
        <v>2.5073107750038623E-12</v>
      </c>
      <c r="DS146" s="60">
        <f t="shared" si="125"/>
        <v>285.82766277731395</v>
      </c>
      <c r="DT146" s="60">
        <f ca="1">AVERAGE(OFFSET($DS$3,0,0,'Données projet'!$E$14+1,1))-AVERAGE(OFFSET($H$3,0,0,'Données projet'!$E$14+1,1))</f>
        <v>312.59632808777332</v>
      </c>
      <c r="DU146" s="60">
        <f t="shared" si="152"/>
        <v>302.59481222418219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1.7053025658242404E-13</v>
      </c>
      <c r="EK146" s="18">
        <f>EJ146*VLOOKUP('Données projet'!$B$15,Paramètres!$A$1:$I$89,3,0)*VLOOKUP('Données projet'!$B$15,Paramètres!$A$1:$I$89,5,0)</f>
        <v>1.1439169611549005E-13</v>
      </c>
      <c r="EL146" s="14">
        <f t="shared" si="153"/>
        <v>1.6918016515029816E-12</v>
      </c>
      <c r="EM146" s="22">
        <f t="shared" si="127"/>
        <v>3.1457867471021712E-12</v>
      </c>
      <c r="EN146" s="60">
        <f t="shared" si="128"/>
        <v>285.82766277731457</v>
      </c>
      <c r="EO146" s="60">
        <f ca="1">AVERAGE(OFFSET($EN$3,0,0,'Données projet'!$E$15+1,1))-AVERAGE(OFFSET($H$3,0,0,'Données projet'!$E$15+1,1))</f>
        <v>344.62096650402731</v>
      </c>
      <c r="EP146" s="60">
        <f t="shared" si="154"/>
        <v>277.30931495079346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3.4106051316484809E-13</v>
      </c>
      <c r="FF146" s="18">
        <f>FE146*VLOOKUP('Données projet'!$B$16,Paramètres!$A$1:$I$89,3,0)*VLOOKUP('Données projet'!$B$16,Paramètres!$A$1:$I$89,5,0)</f>
        <v>2.9795046430081134E-13</v>
      </c>
      <c r="FG146" s="14">
        <f t="shared" si="155"/>
        <v>3.9419014464513778E-12</v>
      </c>
      <c r="FH146" s="22">
        <f t="shared" si="130"/>
        <v>7.384408744560063E-12</v>
      </c>
      <c r="FI146" s="60">
        <f t="shared" si="131"/>
        <v>285.82766277731884</v>
      </c>
      <c r="FJ146" s="60">
        <f ca="1">AVERAGE(OFFSET($FI$3,0,0,'Données projet'!$E$16+1,1))-AVERAGE(OFFSET($H$3,0,0,'Données projet'!$E$16+1,1))</f>
        <v>363.28611056308665</v>
      </c>
      <c r="FK146" s="60">
        <f t="shared" si="156"/>
        <v>389.43647559455974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2.4</v>
      </c>
      <c r="FZ146" s="13">
        <f>IF('Données projet'!$A$244&gt;35,FZ145+FY146-GH145,IF(A146&lt;'Données projet'!$A$244,$FW$205^A146,IF(A146='Données projet'!$A$244,'Données projet'!$B$244,FZ145+FY146-GH145)))</f>
        <v>276.19999999999919</v>
      </c>
      <c r="GA146" s="18">
        <f>FZ146*VLOOKUP('Données projet'!$B$17,Paramètres!$A$1:$I$89,3,0)*VLOOKUP('Données projet'!$B$17,Paramètres!$A$1:$I$89,5,0)</f>
        <v>297.30167999999912</v>
      </c>
      <c r="GB146" s="14">
        <f t="shared" si="157"/>
        <v>70.610494849824818</v>
      </c>
      <c r="GC146" s="22">
        <f t="shared" si="133"/>
        <v>640.78037119677663</v>
      </c>
      <c r="GD146" s="60">
        <f t="shared" si="134"/>
        <v>926.60803397408813</v>
      </c>
      <c r="GE146" s="60">
        <f ca="1">AVERAGE(OFFSET($GD$3,0,0,'Données projet'!$E$17+1,1))-AVERAGE(OFFSET($H$3,0,0,'Données projet'!$E$17+1,1))</f>
        <v>542.90832990875208</v>
      </c>
      <c r="GF146" s="60">
        <f t="shared" si="158"/>
        <v>304.94365539329362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2.7134774427395314E-13</v>
      </c>
      <c r="P147" s="14">
        <f t="shared" si="141"/>
        <v>3.6292411711343559E-12</v>
      </c>
      <c r="Q147" s="22">
        <f t="shared" si="108"/>
        <v>6.7935256943361388E-12</v>
      </c>
      <c r="R147" s="60">
        <f t="shared" si="109"/>
        <v>285.9578693812997</v>
      </c>
      <c r="S147" s="60">
        <f ca="1">AVERAGE(OFFSET($R$3,0,0,'Données projet'!$E$9+1,1))-AVERAGE(OFFSET($H$3,0,0,'Données projet'!$E$9+1,1))</f>
        <v>336.25341821407534</v>
      </c>
      <c r="T147" s="60">
        <f t="shared" si="142"/>
        <v>360.3246221345039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895.53343759984887</v>
      </c>
      <c r="AN147" s="60">
        <f ca="1">AVERAGE(OFFSET($AM$3,0,0,'Données projet'!$E$10+1,1))-AVERAGE(OFFSET($H$3,0,0,'Données projet'!$E$10+1,1))</f>
        <v>516.30971934066179</v>
      </c>
      <c r="AO147" s="60">
        <f t="shared" si="144"/>
        <v>290.84286505723571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0">
        <f t="shared" si="116"/>
        <v>285.9578693812997</v>
      </c>
      <c r="BI147" s="60">
        <f ca="1">AVERAGE(OFFSET($BH$3,0,0,'Données projet'!$E$11+1,1))-AVERAGE(OFFSET($H$3,0,0,'Données projet'!$E$11+1,1))</f>
        <v>336.25341821407534</v>
      </c>
      <c r="BJ147" s="60">
        <f t="shared" si="146"/>
        <v>360.3246221345039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1.0818439477588981E-13</v>
      </c>
      <c r="CA147" s="14">
        <f t="shared" si="147"/>
        <v>1.6104228458716316E-12</v>
      </c>
      <c r="CB147" s="22">
        <f t="shared" si="118"/>
        <v>2.9932409441277661E-12</v>
      </c>
      <c r="CC147" s="60">
        <f t="shared" si="119"/>
        <v>285.95786938129589</v>
      </c>
      <c r="CD147" s="60">
        <f ca="1">AVERAGE(OFFSET($CC$3,0,0,'Données projet'!$E$12+1,1))-AVERAGE(OFFSET($H$3,0,0,'Données projet'!$E$12+1,1))</f>
        <v>398.29746143975166</v>
      </c>
      <c r="CE147" s="60">
        <f t="shared" si="148"/>
        <v>300.63705521148802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269.46191999999922</v>
      </c>
      <c r="CV147" s="14">
        <f t="shared" si="149"/>
        <v>64.735061876838927</v>
      </c>
      <c r="CW147" s="22">
        <f t="shared" si="121"/>
        <v>582.05974343549315</v>
      </c>
      <c r="CX147" s="60">
        <f t="shared" si="122"/>
        <v>868.01761281678603</v>
      </c>
      <c r="CY147" s="60">
        <f ca="1">AVERAGE(OFFSET($CX$3,0,0,'Données projet'!$E$13+1,1))-AVERAGE(OFFSET($H$3,0,0,'Données projet'!$E$13+1,1))</f>
        <v>496.33873798282525</v>
      </c>
      <c r="CZ147" s="60">
        <f t="shared" si="150"/>
        <v>280.25465074992246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8.8675733422860506E-14</v>
      </c>
      <c r="DQ147" s="14">
        <f t="shared" si="151"/>
        <v>1.3509285393066301E-12</v>
      </c>
      <c r="DR147" s="22">
        <f t="shared" si="124"/>
        <v>2.5073107750038623E-12</v>
      </c>
      <c r="DS147" s="60">
        <f t="shared" si="125"/>
        <v>285.95786938129538</v>
      </c>
      <c r="DT147" s="60">
        <f ca="1">AVERAGE(OFFSET($DS$3,0,0,'Données projet'!$E$14+1,1))-AVERAGE(OFFSET($H$3,0,0,'Données projet'!$E$14+1,1))</f>
        <v>312.59632808777332</v>
      </c>
      <c r="DU147" s="60">
        <f t="shared" si="152"/>
        <v>302.59481222418219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1.7053025658242404E-13</v>
      </c>
      <c r="EK147" s="18">
        <f>EJ147*VLOOKUP('Données projet'!$B$15,Paramètres!$A$1:$I$89,3,0)*VLOOKUP('Données projet'!$B$15,Paramètres!$A$1:$I$89,5,0)</f>
        <v>1.1439169611549005E-13</v>
      </c>
      <c r="EL147" s="14">
        <f t="shared" si="153"/>
        <v>1.6918016515029816E-12</v>
      </c>
      <c r="EM147" s="22">
        <f t="shared" si="127"/>
        <v>3.1457867471021712E-12</v>
      </c>
      <c r="EN147" s="60">
        <f t="shared" si="128"/>
        <v>285.95786938129601</v>
      </c>
      <c r="EO147" s="60">
        <f ca="1">AVERAGE(OFFSET($EN$3,0,0,'Données projet'!$E$15+1,1))-AVERAGE(OFFSET($H$3,0,0,'Données projet'!$E$15+1,1))</f>
        <v>344.62096650402731</v>
      </c>
      <c r="EP147" s="60">
        <f t="shared" si="154"/>
        <v>277.30931495079346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3.4106051316484809E-13</v>
      </c>
      <c r="FF147" s="18">
        <f>FE147*VLOOKUP('Données projet'!$B$16,Paramètres!$A$1:$I$89,3,0)*VLOOKUP('Données projet'!$B$16,Paramètres!$A$1:$I$89,5,0)</f>
        <v>2.9795046430081134E-13</v>
      </c>
      <c r="FG147" s="14">
        <f t="shared" si="155"/>
        <v>3.9419014464513778E-12</v>
      </c>
      <c r="FH147" s="22">
        <f t="shared" si="130"/>
        <v>7.384408744560063E-12</v>
      </c>
      <c r="FI147" s="60">
        <f t="shared" si="131"/>
        <v>285.95786938130027</v>
      </c>
      <c r="FJ147" s="60">
        <f ca="1">AVERAGE(OFFSET($FI$3,0,0,'Données projet'!$E$16+1,1))-AVERAGE(OFFSET($H$3,0,0,'Données projet'!$E$16+1,1))</f>
        <v>363.28611056308665</v>
      </c>
      <c r="FK147" s="60">
        <f t="shared" si="156"/>
        <v>389.43647559455974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2.4</v>
      </c>
      <c r="FZ147" s="13">
        <f>IF('Données projet'!$A$244&gt;35,FZ146+FY147-GH146,IF(A147&lt;'Données projet'!$A$244,$FW$205^A147,IF(A147='Données projet'!$A$244,'Données projet'!$B$244,FZ146+FY147-GH146)))</f>
        <v>278.59999999999917</v>
      </c>
      <c r="GA147" s="18">
        <f>FZ147*VLOOKUP('Données projet'!$B$17,Paramètres!$A$1:$I$89,3,0)*VLOOKUP('Données projet'!$B$17,Paramètres!$A$1:$I$89,5,0)</f>
        <v>299.88503999999909</v>
      </c>
      <c r="GB147" s="14">
        <f t="shared" si="157"/>
        <v>71.152362906464447</v>
      </c>
      <c r="GC147" s="22">
        <f t="shared" si="133"/>
        <v>646.2234767287573</v>
      </c>
      <c r="GD147" s="60">
        <f t="shared" si="134"/>
        <v>932.18134611005019</v>
      </c>
      <c r="GE147" s="60">
        <f ca="1">AVERAGE(OFFSET($GD$3,0,0,'Données projet'!$E$17+1,1))-AVERAGE(OFFSET($H$3,0,0,'Données projet'!$E$17+1,1))</f>
        <v>542.90832990875208</v>
      </c>
      <c r="GF147" s="60">
        <f t="shared" si="158"/>
        <v>304.94365539329362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2.7134774427395314E-13</v>
      </c>
      <c r="P148" s="14">
        <f t="shared" si="141"/>
        <v>3.6292411711343559E-12</v>
      </c>
      <c r="Q148" s="22">
        <f t="shared" si="108"/>
        <v>6.7935256943361388E-12</v>
      </c>
      <c r="R148" s="60">
        <f t="shared" si="109"/>
        <v>286.0858171918004</v>
      </c>
      <c r="S148" s="60">
        <f ca="1">AVERAGE(OFFSET($R$3,0,0,'Données projet'!$E$9+1,1))-AVERAGE(OFFSET($H$3,0,0,'Données projet'!$E$9+1,1))</f>
        <v>336.25341821407534</v>
      </c>
      <c r="T148" s="60">
        <f t="shared" si="142"/>
        <v>360.3246221345039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900.79425289613948</v>
      </c>
      <c r="AN148" s="60">
        <f ca="1">AVERAGE(OFFSET($AM$3,0,0,'Données projet'!$E$10+1,1))-AVERAGE(OFFSET($H$3,0,0,'Données projet'!$E$10+1,1))</f>
        <v>516.30971934066179</v>
      </c>
      <c r="AO148" s="60">
        <f t="shared" si="144"/>
        <v>290.84286505723571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0">
        <f t="shared" si="116"/>
        <v>286.0858171918004</v>
      </c>
      <c r="BI148" s="60">
        <f ca="1">AVERAGE(OFFSET($BH$3,0,0,'Données projet'!$E$11+1,1))-AVERAGE(OFFSET($H$3,0,0,'Données projet'!$E$11+1,1))</f>
        <v>336.25341821407534</v>
      </c>
      <c r="BJ148" s="60">
        <f t="shared" si="146"/>
        <v>360.3246221345039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1.0818439477588981E-13</v>
      </c>
      <c r="CA148" s="14">
        <f t="shared" si="147"/>
        <v>1.6104228458716316E-12</v>
      </c>
      <c r="CB148" s="22">
        <f t="shared" si="118"/>
        <v>2.9932409441277661E-12</v>
      </c>
      <c r="CC148" s="60">
        <f t="shared" si="119"/>
        <v>286.08581719179659</v>
      </c>
      <c r="CD148" s="60">
        <f ca="1">AVERAGE(OFFSET($CC$3,0,0,'Données projet'!$E$12+1,1))-AVERAGE(OFFSET($H$3,0,0,'Données projet'!$E$12+1,1))</f>
        <v>398.29746143975166</v>
      </c>
      <c r="CE148" s="60">
        <f t="shared" si="148"/>
        <v>300.63705521148802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271.78319999999917</v>
      </c>
      <c r="CV148" s="14">
        <f t="shared" si="149"/>
        <v>65.227564224775008</v>
      </c>
      <c r="CW148" s="22">
        <f t="shared" si="121"/>
        <v>586.96041435814834</v>
      </c>
      <c r="CX148" s="60">
        <f t="shared" si="122"/>
        <v>873.04623154994192</v>
      </c>
      <c r="CY148" s="60">
        <f ca="1">AVERAGE(OFFSET($CX$3,0,0,'Données projet'!$E$13+1,1))-AVERAGE(OFFSET($H$3,0,0,'Données projet'!$E$13+1,1))</f>
        <v>496.33873798282525</v>
      </c>
      <c r="CZ148" s="60">
        <f t="shared" si="150"/>
        <v>280.25465074992246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8.8675733422860506E-14</v>
      </c>
      <c r="DQ148" s="14">
        <f t="shared" si="151"/>
        <v>1.3509285393066301E-12</v>
      </c>
      <c r="DR148" s="22">
        <f t="shared" si="124"/>
        <v>2.5073107750038623E-12</v>
      </c>
      <c r="DS148" s="60">
        <f t="shared" si="125"/>
        <v>286.08581719179608</v>
      </c>
      <c r="DT148" s="60">
        <f ca="1">AVERAGE(OFFSET($DS$3,0,0,'Données projet'!$E$14+1,1))-AVERAGE(OFFSET($H$3,0,0,'Données projet'!$E$14+1,1))</f>
        <v>312.59632808777332</v>
      </c>
      <c r="DU148" s="60">
        <f t="shared" si="152"/>
        <v>302.59481222418219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1.7053025658242404E-13</v>
      </c>
      <c r="EK148" s="18">
        <f>EJ148*VLOOKUP('Données projet'!$B$15,Paramètres!$A$1:$I$89,3,0)*VLOOKUP('Données projet'!$B$15,Paramètres!$A$1:$I$89,5,0)</f>
        <v>1.1439169611549005E-13</v>
      </c>
      <c r="EL148" s="14">
        <f t="shared" si="153"/>
        <v>1.6918016515029816E-12</v>
      </c>
      <c r="EM148" s="22">
        <f t="shared" si="127"/>
        <v>3.1457867471021712E-12</v>
      </c>
      <c r="EN148" s="60">
        <f t="shared" si="128"/>
        <v>286.08581719179671</v>
      </c>
      <c r="EO148" s="60">
        <f ca="1">AVERAGE(OFFSET($EN$3,0,0,'Données projet'!$E$15+1,1))-AVERAGE(OFFSET($H$3,0,0,'Données projet'!$E$15+1,1))</f>
        <v>344.62096650402731</v>
      </c>
      <c r="EP148" s="60">
        <f t="shared" si="154"/>
        <v>277.30931495079346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3.4106051316484809E-13</v>
      </c>
      <c r="FF148" s="18">
        <f>FE148*VLOOKUP('Données projet'!$B$16,Paramètres!$A$1:$I$89,3,0)*VLOOKUP('Données projet'!$B$16,Paramètres!$A$1:$I$89,5,0)</f>
        <v>2.9795046430081134E-13</v>
      </c>
      <c r="FG148" s="14">
        <f t="shared" si="155"/>
        <v>3.9419014464513778E-12</v>
      </c>
      <c r="FH148" s="22">
        <f t="shared" si="130"/>
        <v>7.384408744560063E-12</v>
      </c>
      <c r="FI148" s="60">
        <f t="shared" si="131"/>
        <v>286.08581719180097</v>
      </c>
      <c r="FJ148" s="60">
        <f ca="1">AVERAGE(OFFSET($FI$3,0,0,'Données projet'!$E$16+1,1))-AVERAGE(OFFSET($H$3,0,0,'Données projet'!$E$16+1,1))</f>
        <v>363.28611056308665</v>
      </c>
      <c r="FK148" s="60">
        <f t="shared" si="156"/>
        <v>389.43647559455974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2.4</v>
      </c>
      <c r="FZ148" s="13">
        <f>IF('Données projet'!$A$244&gt;35,FZ147+FY148-GH147,IF(A148&lt;'Données projet'!$A$244,$FW$205^A148,IF(A148='Données projet'!$A$244,'Données projet'!$B$244,FZ147+FY148-GH147)))</f>
        <v>280.99999999999915</v>
      </c>
      <c r="GA148" s="18">
        <f>FZ148*VLOOKUP('Données projet'!$B$17,Paramètres!$A$1:$I$89,3,0)*VLOOKUP('Données projet'!$B$17,Paramètres!$A$1:$I$89,5,0)</f>
        <v>302.46839999999906</v>
      </c>
      <c r="GB148" s="14">
        <f t="shared" si="157"/>
        <v>71.693687882090543</v>
      </c>
      <c r="GC148" s="22">
        <f t="shared" si="133"/>
        <v>651.66563639463936</v>
      </c>
      <c r="GD148" s="60">
        <f t="shared" si="134"/>
        <v>937.75145358643294</v>
      </c>
      <c r="GE148" s="60">
        <f ca="1">AVERAGE(OFFSET($GD$3,0,0,'Données projet'!$E$17+1,1))-AVERAGE(OFFSET($H$3,0,0,'Données projet'!$E$17+1,1))</f>
        <v>542.90832990875208</v>
      </c>
      <c r="GF148" s="60">
        <f t="shared" si="158"/>
        <v>304.94365539329362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2.7134774427395314E-13</v>
      </c>
      <c r="P149" s="14">
        <f t="shared" si="141"/>
        <v>3.6292411711343559E-12</v>
      </c>
      <c r="Q149" s="22">
        <f t="shared" si="108"/>
        <v>6.7935256943361388E-12</v>
      </c>
      <c r="R149" s="60">
        <f t="shared" si="109"/>
        <v>286.21154539383747</v>
      </c>
      <c r="S149" s="60">
        <f ca="1">AVERAGE(OFFSET($R$3,0,0,'Données projet'!$E$9+1,1))-AVERAGE(OFFSET($H$3,0,0,'Données projet'!$E$9+1,1))</f>
        <v>336.25341821407534</v>
      </c>
      <c r="T149" s="60">
        <f t="shared" si="142"/>
        <v>360.3246221345039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906.05195988655476</v>
      </c>
      <c r="AN149" s="60">
        <f ca="1">AVERAGE(OFFSET($AM$3,0,0,'Données projet'!$E$10+1,1))-AVERAGE(OFFSET($H$3,0,0,'Données projet'!$E$10+1,1))</f>
        <v>516.30971934066179</v>
      </c>
      <c r="AO149" s="60">
        <f t="shared" si="144"/>
        <v>290.84286505723571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0">
        <f t="shared" si="116"/>
        <v>286.21154539383747</v>
      </c>
      <c r="BI149" s="60">
        <f ca="1">AVERAGE(OFFSET($BH$3,0,0,'Données projet'!$E$11+1,1))-AVERAGE(OFFSET($H$3,0,0,'Données projet'!$E$11+1,1))</f>
        <v>336.25341821407534</v>
      </c>
      <c r="BJ149" s="60">
        <f t="shared" si="146"/>
        <v>360.3246221345039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1.0818439477588981E-13</v>
      </c>
      <c r="CA149" s="14">
        <f t="shared" si="147"/>
        <v>1.6104228458716316E-12</v>
      </c>
      <c r="CB149" s="22">
        <f t="shared" si="118"/>
        <v>2.9932409441277661E-12</v>
      </c>
      <c r="CC149" s="60">
        <f t="shared" si="119"/>
        <v>286.21154539383366</v>
      </c>
      <c r="CD149" s="60">
        <f ca="1">AVERAGE(OFFSET($CC$3,0,0,'Données projet'!$E$12+1,1))-AVERAGE(OFFSET($H$3,0,0,'Données projet'!$E$12+1,1))</f>
        <v>398.29746143975166</v>
      </c>
      <c r="CE149" s="60">
        <f t="shared" si="148"/>
        <v>300.63705521148802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274.10447999999917</v>
      </c>
      <c r="CV149" s="14">
        <f t="shared" si="149"/>
        <v>65.719577181765331</v>
      </c>
      <c r="CW149" s="22">
        <f t="shared" si="121"/>
        <v>591.86023292490643</v>
      </c>
      <c r="CX149" s="60">
        <f t="shared" si="122"/>
        <v>878.07177831873707</v>
      </c>
      <c r="CY149" s="60">
        <f ca="1">AVERAGE(OFFSET($CX$3,0,0,'Données projet'!$E$13+1,1))-AVERAGE(OFFSET($H$3,0,0,'Données projet'!$E$13+1,1))</f>
        <v>496.33873798282525</v>
      </c>
      <c r="CZ149" s="60">
        <f t="shared" si="150"/>
        <v>280.25465074992246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8.8675733422860506E-14</v>
      </c>
      <c r="DQ149" s="14">
        <f t="shared" si="151"/>
        <v>1.3509285393066301E-12</v>
      </c>
      <c r="DR149" s="22">
        <f t="shared" si="124"/>
        <v>2.5073107750038623E-12</v>
      </c>
      <c r="DS149" s="60">
        <f t="shared" si="125"/>
        <v>286.21154539383315</v>
      </c>
      <c r="DT149" s="60">
        <f ca="1">AVERAGE(OFFSET($DS$3,0,0,'Données projet'!$E$14+1,1))-AVERAGE(OFFSET($H$3,0,0,'Données projet'!$E$14+1,1))</f>
        <v>312.59632808777332</v>
      </c>
      <c r="DU149" s="60">
        <f t="shared" si="152"/>
        <v>302.59481222418219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1.7053025658242404E-13</v>
      </c>
      <c r="EK149" s="18">
        <f>EJ149*VLOOKUP('Données projet'!$B$15,Paramètres!$A$1:$I$89,3,0)*VLOOKUP('Données projet'!$B$15,Paramètres!$A$1:$I$89,5,0)</f>
        <v>1.1439169611549005E-13</v>
      </c>
      <c r="EL149" s="14">
        <f t="shared" si="153"/>
        <v>1.6918016515029816E-12</v>
      </c>
      <c r="EM149" s="22">
        <f t="shared" si="127"/>
        <v>3.1457867471021712E-12</v>
      </c>
      <c r="EN149" s="60">
        <f t="shared" si="128"/>
        <v>286.21154539383377</v>
      </c>
      <c r="EO149" s="60">
        <f ca="1">AVERAGE(OFFSET($EN$3,0,0,'Données projet'!$E$15+1,1))-AVERAGE(OFFSET($H$3,0,0,'Données projet'!$E$15+1,1))</f>
        <v>344.62096650402731</v>
      </c>
      <c r="EP149" s="60">
        <f t="shared" si="154"/>
        <v>277.30931495079346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3.4106051316484809E-13</v>
      </c>
      <c r="FF149" s="18">
        <f>FE149*VLOOKUP('Données projet'!$B$16,Paramètres!$A$1:$I$89,3,0)*VLOOKUP('Données projet'!$B$16,Paramètres!$A$1:$I$89,5,0)</f>
        <v>2.9795046430081134E-13</v>
      </c>
      <c r="FG149" s="14">
        <f t="shared" si="155"/>
        <v>3.9419014464513778E-12</v>
      </c>
      <c r="FH149" s="22">
        <f t="shared" si="130"/>
        <v>7.384408744560063E-12</v>
      </c>
      <c r="FI149" s="60">
        <f t="shared" si="131"/>
        <v>286.21154539383804</v>
      </c>
      <c r="FJ149" s="60">
        <f ca="1">AVERAGE(OFFSET($FI$3,0,0,'Données projet'!$E$16+1,1))-AVERAGE(OFFSET($H$3,0,0,'Données projet'!$E$16+1,1))</f>
        <v>363.28611056308665</v>
      </c>
      <c r="FK149" s="60">
        <f t="shared" si="156"/>
        <v>389.43647559455974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2.4</v>
      </c>
      <c r="FZ149" s="13">
        <f>IF('Données projet'!$A$244&gt;35,FZ148+FY149-GH148,IF(A149&lt;'Données projet'!$A$244,$FW$205^A149,IF(A149='Données projet'!$A$244,'Données projet'!$B$244,FZ148+FY149-GH148)))</f>
        <v>283.39999999999912</v>
      </c>
      <c r="GA149" s="18">
        <f>FZ149*VLOOKUP('Données projet'!$B$17,Paramètres!$A$1:$I$89,3,0)*VLOOKUP('Données projet'!$B$17,Paramètres!$A$1:$I$89,5,0)</f>
        <v>305.05175999999904</v>
      </c>
      <c r="GB149" s="14">
        <f t="shared" si="157"/>
        <v>72.234474952581991</v>
      </c>
      <c r="GC149" s="22">
        <f t="shared" si="133"/>
        <v>657.10685920907861</v>
      </c>
      <c r="GD149" s="60">
        <f t="shared" si="134"/>
        <v>943.31840460290925</v>
      </c>
      <c r="GE149" s="60">
        <f ca="1">AVERAGE(OFFSET($GD$3,0,0,'Données projet'!$E$17+1,1))-AVERAGE(OFFSET($H$3,0,0,'Données projet'!$E$17+1,1))</f>
        <v>542.90832990875208</v>
      </c>
      <c r="GF149" s="60">
        <f t="shared" si="158"/>
        <v>304.94365539329362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2.7134774427395314E-13</v>
      </c>
      <c r="P150" s="14">
        <f t="shared" si="141"/>
        <v>3.6292411711343559E-12</v>
      </c>
      <c r="Q150" s="22">
        <f t="shared" si="108"/>
        <v>6.7935256943361388E-12</v>
      </c>
      <c r="R150" s="60">
        <f t="shared" si="109"/>
        <v>286.33509249265524</v>
      </c>
      <c r="S150" s="60">
        <f ca="1">AVERAGE(OFFSET($R$3,0,0,'Données projet'!$E$9+1,1))-AVERAGE(OFFSET($H$3,0,0,'Données projet'!$E$9+1,1))</f>
        <v>336.25341821407534</v>
      </c>
      <c r="T150" s="60">
        <f t="shared" si="142"/>
        <v>360.3246221345039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911.30660547444836</v>
      </c>
      <c r="AN150" s="60">
        <f ca="1">AVERAGE(OFFSET($AM$3,0,0,'Données projet'!$E$10+1,1))-AVERAGE(OFFSET($H$3,0,0,'Données projet'!$E$10+1,1))</f>
        <v>516.30971934066179</v>
      </c>
      <c r="AO150" s="60">
        <f t="shared" si="144"/>
        <v>290.84286505723571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0">
        <f t="shared" si="116"/>
        <v>286.33509249265524</v>
      </c>
      <c r="BI150" s="60">
        <f ca="1">AVERAGE(OFFSET($BH$3,0,0,'Données projet'!$E$11+1,1))-AVERAGE(OFFSET($H$3,0,0,'Données projet'!$E$11+1,1))</f>
        <v>336.25341821407534</v>
      </c>
      <c r="BJ150" s="60">
        <f t="shared" si="146"/>
        <v>360.3246221345039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1.0818439477588981E-13</v>
      </c>
      <c r="CA150" s="14">
        <f t="shared" si="147"/>
        <v>1.6104228458716316E-12</v>
      </c>
      <c r="CB150" s="22">
        <f t="shared" si="118"/>
        <v>2.9932409441277661E-12</v>
      </c>
      <c r="CC150" s="60">
        <f t="shared" si="119"/>
        <v>286.33509249265143</v>
      </c>
      <c r="CD150" s="60">
        <f ca="1">AVERAGE(OFFSET($CC$3,0,0,'Données projet'!$E$12+1,1))-AVERAGE(OFFSET($H$3,0,0,'Données projet'!$E$12+1,1))</f>
        <v>398.29746143975166</v>
      </c>
      <c r="CE150" s="60">
        <f t="shared" si="148"/>
        <v>300.63705521148802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276.42575999999912</v>
      </c>
      <c r="CV150" s="14">
        <f t="shared" si="149"/>
        <v>66.211105372509707</v>
      </c>
      <c r="CW150" s="22">
        <f t="shared" si="121"/>
        <v>596.75920719045291</v>
      </c>
      <c r="CX150" s="60">
        <f t="shared" si="122"/>
        <v>883.09429968310133</v>
      </c>
      <c r="CY150" s="60">
        <f ca="1">AVERAGE(OFFSET($CX$3,0,0,'Données projet'!$E$13+1,1))-AVERAGE(OFFSET($H$3,0,0,'Données projet'!$E$13+1,1))</f>
        <v>496.33873798282525</v>
      </c>
      <c r="CZ150" s="60">
        <f t="shared" si="150"/>
        <v>280.25465074992246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8.8675733422860506E-14</v>
      </c>
      <c r="DQ150" s="14">
        <f t="shared" si="151"/>
        <v>1.3509285393066301E-12</v>
      </c>
      <c r="DR150" s="22">
        <f t="shared" si="124"/>
        <v>2.5073107750038623E-12</v>
      </c>
      <c r="DS150" s="60">
        <f t="shared" si="125"/>
        <v>286.33509249265092</v>
      </c>
      <c r="DT150" s="60">
        <f ca="1">AVERAGE(OFFSET($DS$3,0,0,'Données projet'!$E$14+1,1))-AVERAGE(OFFSET($H$3,0,0,'Données projet'!$E$14+1,1))</f>
        <v>312.59632808777332</v>
      </c>
      <c r="DU150" s="60">
        <f t="shared" si="152"/>
        <v>302.59481222418219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1.7053025658242404E-13</v>
      </c>
      <c r="EK150" s="18">
        <f>EJ150*VLOOKUP('Données projet'!$B$15,Paramètres!$A$1:$I$89,3,0)*VLOOKUP('Données projet'!$B$15,Paramètres!$A$1:$I$89,5,0)</f>
        <v>1.1439169611549005E-13</v>
      </c>
      <c r="EL150" s="14">
        <f t="shared" si="153"/>
        <v>1.6918016515029816E-12</v>
      </c>
      <c r="EM150" s="22">
        <f t="shared" si="127"/>
        <v>3.1457867471021712E-12</v>
      </c>
      <c r="EN150" s="60">
        <f t="shared" si="128"/>
        <v>286.33509249265154</v>
      </c>
      <c r="EO150" s="60">
        <f ca="1">AVERAGE(OFFSET($EN$3,0,0,'Données projet'!$E$15+1,1))-AVERAGE(OFFSET($H$3,0,0,'Données projet'!$E$15+1,1))</f>
        <v>344.62096650402731</v>
      </c>
      <c r="EP150" s="60">
        <f t="shared" si="154"/>
        <v>277.30931495079346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3.4106051316484809E-13</v>
      </c>
      <c r="FF150" s="18">
        <f>FE150*VLOOKUP('Données projet'!$B$16,Paramètres!$A$1:$I$89,3,0)*VLOOKUP('Données projet'!$B$16,Paramètres!$A$1:$I$89,5,0)</f>
        <v>2.9795046430081134E-13</v>
      </c>
      <c r="FG150" s="14">
        <f t="shared" si="155"/>
        <v>3.9419014464513778E-12</v>
      </c>
      <c r="FH150" s="22">
        <f t="shared" si="130"/>
        <v>7.384408744560063E-12</v>
      </c>
      <c r="FI150" s="60">
        <f t="shared" si="131"/>
        <v>286.3350924926558</v>
      </c>
      <c r="FJ150" s="60">
        <f ca="1">AVERAGE(OFFSET($FI$3,0,0,'Données projet'!$E$16+1,1))-AVERAGE(OFFSET($H$3,0,0,'Données projet'!$E$16+1,1))</f>
        <v>363.28611056308665</v>
      </c>
      <c r="FK150" s="60">
        <f t="shared" si="156"/>
        <v>389.43647559455974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2.4</v>
      </c>
      <c r="FZ150" s="13">
        <f>IF('Données projet'!$A$244&gt;35,FZ149+FY150-GH149,IF(A150&lt;'Données projet'!$A$244,$FW$205^A150,IF(A150='Données projet'!$A$244,'Données projet'!$B$244,FZ149+FY150-GH149)))</f>
        <v>285.7999999999991</v>
      </c>
      <c r="GA150" s="18">
        <f>FZ150*VLOOKUP('Données projet'!$B$17,Paramètres!$A$1:$I$89,3,0)*VLOOKUP('Données projet'!$B$17,Paramètres!$A$1:$I$89,5,0)</f>
        <v>307.63511999999901</v>
      </c>
      <c r="GB150" s="14">
        <f t="shared" si="157"/>
        <v>72.774729201093322</v>
      </c>
      <c r="GC150" s="22">
        <f t="shared" si="133"/>
        <v>662.54715402523584</v>
      </c>
      <c r="GD150" s="60">
        <f t="shared" si="134"/>
        <v>948.88224651788425</v>
      </c>
      <c r="GE150" s="60">
        <f ca="1">AVERAGE(OFFSET($GD$3,0,0,'Données projet'!$E$17+1,1))-AVERAGE(OFFSET($H$3,0,0,'Données projet'!$E$17+1,1))</f>
        <v>542.90832990875208</v>
      </c>
      <c r="GF150" s="60">
        <f t="shared" si="158"/>
        <v>304.94365539329362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2.7134774427395314E-13</v>
      </c>
      <c r="P151" s="14">
        <f t="shared" si="141"/>
        <v>3.6292411711343559E-12</v>
      </c>
      <c r="Q151" s="22">
        <f t="shared" si="108"/>
        <v>6.7935256943361388E-12</v>
      </c>
      <c r="R151" s="60">
        <f t="shared" si="109"/>
        <v>286.45649632551851</v>
      </c>
      <c r="S151" s="60">
        <f ca="1">AVERAGE(OFFSET($R$3,0,0,'Données projet'!$E$9+1,1))-AVERAGE(OFFSET($H$3,0,0,'Données projet'!$E$9+1,1))</f>
        <v>336.25341821407534</v>
      </c>
      <c r="T151" s="60">
        <f t="shared" si="142"/>
        <v>360.3246221345039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916.55823574600754</v>
      </c>
      <c r="AN151" s="60">
        <f ca="1">AVERAGE(OFFSET($AM$3,0,0,'Données projet'!$E$10+1,1))-AVERAGE(OFFSET($H$3,0,0,'Données projet'!$E$10+1,1))</f>
        <v>516.30971934066179</v>
      </c>
      <c r="AO151" s="60">
        <f t="shared" si="144"/>
        <v>290.84286505723571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0">
        <f t="shared" si="116"/>
        <v>286.45649632551851</v>
      </c>
      <c r="BI151" s="60">
        <f ca="1">AVERAGE(OFFSET($BH$3,0,0,'Données projet'!$E$11+1,1))-AVERAGE(OFFSET($H$3,0,0,'Données projet'!$E$11+1,1))</f>
        <v>336.25341821407534</v>
      </c>
      <c r="BJ151" s="60">
        <f t="shared" si="146"/>
        <v>360.3246221345039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1.0818439477588981E-13</v>
      </c>
      <c r="CA151" s="14">
        <f t="shared" si="147"/>
        <v>1.6104228458716316E-12</v>
      </c>
      <c r="CB151" s="22">
        <f t="shared" si="118"/>
        <v>2.9932409441277661E-12</v>
      </c>
      <c r="CC151" s="60">
        <f t="shared" si="119"/>
        <v>286.45649632551471</v>
      </c>
      <c r="CD151" s="60">
        <f ca="1">AVERAGE(OFFSET($CC$3,0,0,'Données projet'!$E$12+1,1))-AVERAGE(OFFSET($H$3,0,0,'Données projet'!$E$12+1,1))</f>
        <v>398.29746143975166</v>
      </c>
      <c r="CE151" s="60">
        <f t="shared" si="148"/>
        <v>300.63705521148802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278.74703999999912</v>
      </c>
      <c r="CV151" s="14">
        <f t="shared" si="149"/>
        <v>66.702153339553078</v>
      </c>
      <c r="CW151" s="22">
        <f t="shared" si="121"/>
        <v>601.65734506638671</v>
      </c>
      <c r="CX151" s="60">
        <f t="shared" si="122"/>
        <v>888.1138413918984</v>
      </c>
      <c r="CY151" s="60">
        <f ca="1">AVERAGE(OFFSET($CX$3,0,0,'Données projet'!$E$13+1,1))-AVERAGE(OFFSET($H$3,0,0,'Données projet'!$E$13+1,1))</f>
        <v>496.33873798282525</v>
      </c>
      <c r="CZ151" s="60">
        <f t="shared" si="150"/>
        <v>280.25465074992246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8.8675733422860506E-14</v>
      </c>
      <c r="DQ151" s="14">
        <f t="shared" si="151"/>
        <v>1.3509285393066301E-12</v>
      </c>
      <c r="DR151" s="22">
        <f t="shared" si="124"/>
        <v>2.5073107750038623E-12</v>
      </c>
      <c r="DS151" s="60">
        <f t="shared" si="125"/>
        <v>286.45649632551419</v>
      </c>
      <c r="DT151" s="60">
        <f ca="1">AVERAGE(OFFSET($DS$3,0,0,'Données projet'!$E$14+1,1))-AVERAGE(OFFSET($H$3,0,0,'Données projet'!$E$14+1,1))</f>
        <v>312.59632808777332</v>
      </c>
      <c r="DU151" s="60">
        <f t="shared" si="152"/>
        <v>302.59481222418219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1.7053025658242404E-13</v>
      </c>
      <c r="EK151" s="18">
        <f>EJ151*VLOOKUP('Données projet'!$B$15,Paramètres!$A$1:$I$89,3,0)*VLOOKUP('Données projet'!$B$15,Paramètres!$A$1:$I$89,5,0)</f>
        <v>1.1439169611549005E-13</v>
      </c>
      <c r="EL151" s="14">
        <f t="shared" si="153"/>
        <v>1.6918016515029816E-12</v>
      </c>
      <c r="EM151" s="22">
        <f t="shared" si="127"/>
        <v>3.1457867471021712E-12</v>
      </c>
      <c r="EN151" s="60">
        <f t="shared" si="128"/>
        <v>286.45649632551482</v>
      </c>
      <c r="EO151" s="60">
        <f ca="1">AVERAGE(OFFSET($EN$3,0,0,'Données projet'!$E$15+1,1))-AVERAGE(OFFSET($H$3,0,0,'Données projet'!$E$15+1,1))</f>
        <v>344.62096650402731</v>
      </c>
      <c r="EP151" s="60">
        <f t="shared" si="154"/>
        <v>277.30931495079346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3.4106051316484809E-13</v>
      </c>
      <c r="FF151" s="18">
        <f>FE151*VLOOKUP('Données projet'!$B$16,Paramètres!$A$1:$I$89,3,0)*VLOOKUP('Données projet'!$B$16,Paramètres!$A$1:$I$89,5,0)</f>
        <v>2.9795046430081134E-13</v>
      </c>
      <c r="FG151" s="14">
        <f t="shared" si="155"/>
        <v>3.9419014464513778E-12</v>
      </c>
      <c r="FH151" s="22">
        <f t="shared" si="130"/>
        <v>7.384408744560063E-12</v>
      </c>
      <c r="FI151" s="60">
        <f t="shared" si="131"/>
        <v>286.45649632551908</v>
      </c>
      <c r="FJ151" s="60">
        <f ca="1">AVERAGE(OFFSET($FI$3,0,0,'Données projet'!$E$16+1,1))-AVERAGE(OFFSET($H$3,0,0,'Données projet'!$E$16+1,1))</f>
        <v>363.28611056308665</v>
      </c>
      <c r="FK151" s="60">
        <f t="shared" si="156"/>
        <v>389.43647559455974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2.4</v>
      </c>
      <c r="FZ151" s="13">
        <f>IF('Données projet'!$A$244&gt;35,FZ150+FY151-GH150,IF(A151&lt;'Données projet'!$A$244,$FW$205^A151,IF(A151='Données projet'!$A$244,'Données projet'!$B$244,FZ150+FY151-GH150)))</f>
        <v>288.19999999999908</v>
      </c>
      <c r="GA151" s="18">
        <f>FZ151*VLOOKUP('Données projet'!$B$17,Paramètres!$A$1:$I$89,3,0)*VLOOKUP('Données projet'!$B$17,Paramètres!$A$1:$I$89,5,0)</f>
        <v>310.21847999999898</v>
      </c>
      <c r="GB151" s="14">
        <f t="shared" si="157"/>
        <v>73.314455620479777</v>
      </c>
      <c r="GC151" s="22">
        <f t="shared" si="133"/>
        <v>667.98652953900034</v>
      </c>
      <c r="GD151" s="60">
        <f t="shared" si="134"/>
        <v>954.44302586451204</v>
      </c>
      <c r="GE151" s="60">
        <f ca="1">AVERAGE(OFFSET($GD$3,0,0,'Données projet'!$E$17+1,1))-AVERAGE(OFFSET($H$3,0,0,'Données projet'!$E$17+1,1))</f>
        <v>542.90832990875208</v>
      </c>
      <c r="GF151" s="60">
        <f t="shared" si="158"/>
        <v>304.94365539329362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2.7134774427395314E-13</v>
      </c>
      <c r="P152" s="14">
        <f t="shared" si="141"/>
        <v>3.6292411711343559E-12</v>
      </c>
      <c r="Q152" s="22">
        <f t="shared" si="108"/>
        <v>6.7935256943361388E-12</v>
      </c>
      <c r="R152" s="60">
        <f t="shared" si="109"/>
        <v>286.5757940732999</v>
      </c>
      <c r="S152" s="60">
        <f ca="1">AVERAGE(OFFSET($R$3,0,0,'Données projet'!$E$9+1,1))-AVERAGE(OFFSET($H$3,0,0,'Données projet'!$E$9+1,1))</f>
        <v>336.25341821407534</v>
      </c>
      <c r="T152" s="60">
        <f t="shared" si="142"/>
        <v>360.3246221345039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921.80689598570996</v>
      </c>
      <c r="AN152" s="60">
        <f ca="1">AVERAGE(OFFSET($AM$3,0,0,'Données projet'!$E$10+1,1))-AVERAGE(OFFSET($H$3,0,0,'Données projet'!$E$10+1,1))</f>
        <v>516.30971934066179</v>
      </c>
      <c r="AO152" s="60">
        <f t="shared" si="144"/>
        <v>290.84286505723571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0">
        <f t="shared" si="116"/>
        <v>286.5757940732999</v>
      </c>
      <c r="BI152" s="60">
        <f ca="1">AVERAGE(OFFSET($BH$3,0,0,'Données projet'!$E$11+1,1))-AVERAGE(OFFSET($H$3,0,0,'Données projet'!$E$11+1,1))</f>
        <v>336.25341821407534</v>
      </c>
      <c r="BJ152" s="60">
        <f t="shared" si="146"/>
        <v>360.3246221345039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1.0818439477588981E-13</v>
      </c>
      <c r="CA152" s="14">
        <f t="shared" si="147"/>
        <v>1.6104228458716316E-12</v>
      </c>
      <c r="CB152" s="22">
        <f t="shared" si="118"/>
        <v>2.9932409441277661E-12</v>
      </c>
      <c r="CC152" s="60">
        <f t="shared" si="119"/>
        <v>286.57579407329609</v>
      </c>
      <c r="CD152" s="60">
        <f ca="1">AVERAGE(OFFSET($CC$3,0,0,'Données projet'!$E$12+1,1))-AVERAGE(OFFSET($H$3,0,0,'Données projet'!$E$12+1,1))</f>
        <v>398.29746143975166</v>
      </c>
      <c r="CE152" s="60">
        <f t="shared" si="148"/>
        <v>300.63705521148802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281.06831999999906</v>
      </c>
      <c r="CV152" s="14">
        <f t="shared" si="149"/>
        <v>67.192725545416479</v>
      </c>
      <c r="CW152" s="22">
        <f t="shared" si="121"/>
        <v>606.55465432493213</v>
      </c>
      <c r="CX152" s="60">
        <f t="shared" si="122"/>
        <v>893.13044839822521</v>
      </c>
      <c r="CY152" s="60">
        <f ca="1">AVERAGE(OFFSET($CX$3,0,0,'Données projet'!$E$13+1,1))-AVERAGE(OFFSET($H$3,0,0,'Données projet'!$E$13+1,1))</f>
        <v>496.33873798282525</v>
      </c>
      <c r="CZ152" s="60">
        <f t="shared" si="150"/>
        <v>280.25465074992246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8.8675733422860506E-14</v>
      </c>
      <c r="DQ152" s="14">
        <f t="shared" si="151"/>
        <v>1.3509285393066301E-12</v>
      </c>
      <c r="DR152" s="22">
        <f t="shared" si="124"/>
        <v>2.5073107750038623E-12</v>
      </c>
      <c r="DS152" s="60">
        <f t="shared" si="125"/>
        <v>286.57579407329558</v>
      </c>
      <c r="DT152" s="60">
        <f ca="1">AVERAGE(OFFSET($DS$3,0,0,'Données projet'!$E$14+1,1))-AVERAGE(OFFSET($H$3,0,0,'Données projet'!$E$14+1,1))</f>
        <v>312.59632808777332</v>
      </c>
      <c r="DU152" s="60">
        <f t="shared" si="152"/>
        <v>302.59481222418219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1.7053025658242404E-13</v>
      </c>
      <c r="EK152" s="18">
        <f>EJ152*VLOOKUP('Données projet'!$B$15,Paramètres!$A$1:$I$89,3,0)*VLOOKUP('Données projet'!$B$15,Paramètres!$A$1:$I$89,5,0)</f>
        <v>1.1439169611549005E-13</v>
      </c>
      <c r="EL152" s="14">
        <f t="shared" si="153"/>
        <v>1.6918016515029816E-12</v>
      </c>
      <c r="EM152" s="22">
        <f t="shared" si="127"/>
        <v>3.1457867471021712E-12</v>
      </c>
      <c r="EN152" s="60">
        <f t="shared" si="128"/>
        <v>286.57579407329621</v>
      </c>
      <c r="EO152" s="60">
        <f ca="1">AVERAGE(OFFSET($EN$3,0,0,'Données projet'!$E$15+1,1))-AVERAGE(OFFSET($H$3,0,0,'Données projet'!$E$15+1,1))</f>
        <v>344.62096650402731</v>
      </c>
      <c r="EP152" s="60">
        <f t="shared" si="154"/>
        <v>277.30931495079346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3.4106051316484809E-13</v>
      </c>
      <c r="FF152" s="18">
        <f>FE152*VLOOKUP('Données projet'!$B$16,Paramètres!$A$1:$I$89,3,0)*VLOOKUP('Données projet'!$B$16,Paramètres!$A$1:$I$89,5,0)</f>
        <v>2.9795046430081134E-13</v>
      </c>
      <c r="FG152" s="14">
        <f t="shared" si="155"/>
        <v>3.9419014464513778E-12</v>
      </c>
      <c r="FH152" s="22">
        <f t="shared" si="130"/>
        <v>7.384408744560063E-12</v>
      </c>
      <c r="FI152" s="60">
        <f t="shared" si="131"/>
        <v>286.57579407330047</v>
      </c>
      <c r="FJ152" s="60">
        <f ca="1">AVERAGE(OFFSET($FI$3,0,0,'Données projet'!$E$16+1,1))-AVERAGE(OFFSET($H$3,0,0,'Données projet'!$E$16+1,1))</f>
        <v>363.28611056308665</v>
      </c>
      <c r="FK152" s="60">
        <f t="shared" si="156"/>
        <v>389.43647559455974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2.4</v>
      </c>
      <c r="FZ152" s="13">
        <f>IF('Données projet'!$A$244&gt;35,FZ151+FY152-GH151,IF(A152&lt;'Données projet'!$A$244,$FW$205^A152,IF(A152='Données projet'!$A$244,'Données projet'!$B$244,FZ151+FY152-GH151)))</f>
        <v>290.59999999999906</v>
      </c>
      <c r="GA152" s="18">
        <f>FZ152*VLOOKUP('Données projet'!$B$17,Paramètres!$A$1:$I$89,3,0)*VLOOKUP('Données projet'!$B$17,Paramètres!$A$1:$I$89,5,0)</f>
        <v>312.80183999999895</v>
      </c>
      <c r="GB152" s="14">
        <f t="shared" si="157"/>
        <v>73.853659115640198</v>
      </c>
      <c r="GC152" s="22">
        <f t="shared" si="133"/>
        <v>673.42499429307145</v>
      </c>
      <c r="GD152" s="60">
        <f t="shared" si="134"/>
        <v>960.00078836636453</v>
      </c>
      <c r="GE152" s="60">
        <f ca="1">AVERAGE(OFFSET($GD$3,0,0,'Données projet'!$E$17+1,1))-AVERAGE(OFFSET($H$3,0,0,'Données projet'!$E$17+1,1))</f>
        <v>542.90832990875208</v>
      </c>
      <c r="GF152" s="60">
        <f t="shared" si="158"/>
        <v>304.94365539329362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2.7134774427395314E-13</v>
      </c>
      <c r="P153" s="14">
        <f t="shared" si="141"/>
        <v>3.6292411711343559E-12</v>
      </c>
      <c r="Q153" s="22">
        <f t="shared" si="108"/>
        <v>6.7935256943361388E-12</v>
      </c>
      <c r="R153" s="60">
        <f t="shared" si="109"/>
        <v>286.69302227186716</v>
      </c>
      <c r="S153" s="60">
        <f ca="1">AVERAGE(OFFSET($R$3,0,0,'Données projet'!$E$9+1,1))-AVERAGE(OFFSET($H$3,0,0,'Données projet'!$E$9+1,1))</f>
        <v>336.25341821407534</v>
      </c>
      <c r="T153" s="60">
        <f t="shared" si="142"/>
        <v>360.3246221345039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927.0526306914503</v>
      </c>
      <c r="AN153" s="60">
        <f ca="1">AVERAGE(OFFSET($AM$3,0,0,'Données projet'!$E$10+1,1))-AVERAGE(OFFSET($H$3,0,0,'Données projet'!$E$10+1,1))</f>
        <v>516.30971934066179</v>
      </c>
      <c r="AO153" s="60">
        <f t="shared" si="144"/>
        <v>290.84286505723571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0">
        <f t="shared" si="116"/>
        <v>286.69302227186716</v>
      </c>
      <c r="BI153" s="60">
        <f ca="1">AVERAGE(OFFSET($BH$3,0,0,'Données projet'!$E$11+1,1))-AVERAGE(OFFSET($H$3,0,0,'Données projet'!$E$11+1,1))</f>
        <v>336.25341821407534</v>
      </c>
      <c r="BJ153" s="60">
        <f t="shared" si="146"/>
        <v>360.3246221345039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1.0818439477588981E-13</v>
      </c>
      <c r="CA153" s="14">
        <f t="shared" si="147"/>
        <v>1.6104228458716316E-12</v>
      </c>
      <c r="CB153" s="22">
        <f t="shared" si="118"/>
        <v>2.9932409441277661E-12</v>
      </c>
      <c r="CC153" s="60">
        <f t="shared" si="119"/>
        <v>286.69302227186336</v>
      </c>
      <c r="CD153" s="60">
        <f ca="1">AVERAGE(OFFSET($CC$3,0,0,'Données projet'!$E$12+1,1))-AVERAGE(OFFSET($H$3,0,0,'Données projet'!$E$12+1,1))</f>
        <v>398.29746143975166</v>
      </c>
      <c r="CE153" s="60">
        <f t="shared" si="148"/>
        <v>300.63705521148802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283.38959999999906</v>
      </c>
      <c r="CV153" s="14">
        <f t="shared" si="149"/>
        <v>67.682826374656187</v>
      </c>
      <c r="CW153" s="22">
        <f t="shared" si="121"/>
        <v>611.45114260252456</v>
      </c>
      <c r="CX153" s="60">
        <f t="shared" si="122"/>
        <v>898.14416487438484</v>
      </c>
      <c r="CY153" s="60">
        <f ca="1">AVERAGE(OFFSET($CX$3,0,0,'Données projet'!$E$13+1,1))-AVERAGE(OFFSET($H$3,0,0,'Données projet'!$E$13+1,1))</f>
        <v>496.33873798282525</v>
      </c>
      <c r="CZ153" s="60">
        <f t="shared" si="150"/>
        <v>280.25465074992246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8.8675733422860506E-14</v>
      </c>
      <c r="DQ153" s="14">
        <f t="shared" si="151"/>
        <v>1.3509285393066301E-12</v>
      </c>
      <c r="DR153" s="22">
        <f t="shared" si="124"/>
        <v>2.5073107750038623E-12</v>
      </c>
      <c r="DS153" s="60">
        <f t="shared" si="125"/>
        <v>286.69302227186284</v>
      </c>
      <c r="DT153" s="60">
        <f ca="1">AVERAGE(OFFSET($DS$3,0,0,'Données projet'!$E$14+1,1))-AVERAGE(OFFSET($H$3,0,0,'Données projet'!$E$14+1,1))</f>
        <v>312.59632808777332</v>
      </c>
      <c r="DU153" s="60">
        <f t="shared" si="152"/>
        <v>302.59481222418219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1.7053025658242404E-13</v>
      </c>
      <c r="EK153" s="18">
        <f>EJ153*VLOOKUP('Données projet'!$B$15,Paramètres!$A$1:$I$89,3,0)*VLOOKUP('Données projet'!$B$15,Paramètres!$A$1:$I$89,5,0)</f>
        <v>1.1439169611549005E-13</v>
      </c>
      <c r="EL153" s="14">
        <f t="shared" si="153"/>
        <v>1.6918016515029816E-12</v>
      </c>
      <c r="EM153" s="22">
        <f t="shared" si="127"/>
        <v>3.1457867471021712E-12</v>
      </c>
      <c r="EN153" s="60">
        <f t="shared" si="128"/>
        <v>286.69302227186347</v>
      </c>
      <c r="EO153" s="60">
        <f ca="1">AVERAGE(OFFSET($EN$3,0,0,'Données projet'!$E$15+1,1))-AVERAGE(OFFSET($H$3,0,0,'Données projet'!$E$15+1,1))</f>
        <v>344.62096650402731</v>
      </c>
      <c r="EP153" s="60">
        <f t="shared" si="154"/>
        <v>277.30931495079346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3.4106051316484809E-13</v>
      </c>
      <c r="FF153" s="18">
        <f>FE153*VLOOKUP('Données projet'!$B$16,Paramètres!$A$1:$I$89,3,0)*VLOOKUP('Données projet'!$B$16,Paramètres!$A$1:$I$89,5,0)</f>
        <v>2.9795046430081134E-13</v>
      </c>
      <c r="FG153" s="14">
        <f t="shared" si="155"/>
        <v>3.9419014464513778E-12</v>
      </c>
      <c r="FH153" s="22">
        <f t="shared" si="130"/>
        <v>7.384408744560063E-12</v>
      </c>
      <c r="FI153" s="60">
        <f t="shared" si="131"/>
        <v>286.69302227186773</v>
      </c>
      <c r="FJ153" s="60">
        <f ca="1">AVERAGE(OFFSET($FI$3,0,0,'Données projet'!$E$16+1,1))-AVERAGE(OFFSET($H$3,0,0,'Données projet'!$E$16+1,1))</f>
        <v>363.28611056308665</v>
      </c>
      <c r="FK153" s="60">
        <f t="shared" si="156"/>
        <v>389.43647559455974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2.4</v>
      </c>
      <c r="FY153" s="13">
        <f t="array" ref="FY153">INDEX(FX:FX,MIN(IF(ISNUMBER(FX153:FX349),ROW(FX153:FX349),"")))</f>
        <v>2.4</v>
      </c>
      <c r="FZ153" s="13">
        <f>IF('Données projet'!$A$244&gt;35,FZ152+FY153-GH152,IF(A153&lt;'Données projet'!$A$244,$FW$205^A153,IF(A153='Données projet'!$A$244,'Données projet'!$B$244,FZ152+FY153-GH152)))</f>
        <v>292.99999999999903</v>
      </c>
      <c r="GA153" s="18">
        <f>FZ153*VLOOKUP('Données projet'!$B$17,Paramètres!$A$1:$I$89,3,0)*VLOOKUP('Données projet'!$B$17,Paramètres!$A$1:$I$89,5,0)</f>
        <v>315.38519999999892</v>
      </c>
      <c r="GB153" s="14">
        <f t="shared" si="157"/>
        <v>74.392344505779604</v>
      </c>
      <c r="GC153" s="22">
        <f t="shared" si="133"/>
        <v>678.86255668089746</v>
      </c>
      <c r="GD153" s="60">
        <f t="shared" si="134"/>
        <v>965.55557895275774</v>
      </c>
      <c r="GE153" s="60">
        <f ca="1">AVERAGE(OFFSET($GD$3,0,0,'Données projet'!$E$17+1,1))-AVERAGE(OFFSET($H$3,0,0,'Données projet'!$E$17+1,1))</f>
        <v>542.90832990875208</v>
      </c>
      <c r="GF153" s="60">
        <f t="shared" si="158"/>
        <v>304.94365539329362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2.7134774427395314E-13</v>
      </c>
      <c r="P154" s="14">
        <f t="shared" si="141"/>
        <v>3.6292411711343559E-12</v>
      </c>
      <c r="Q154" s="22">
        <f t="shared" ref="Q154:Q203" si="162">(O154+P154)*0.475*44/12</f>
        <v>6.7935256943361388E-12</v>
      </c>
      <c r="R154" s="60">
        <f t="shared" si="109"/>
        <v>286.80821682327218</v>
      </c>
      <c r="S154" s="60">
        <f ca="1">AVERAGE(OFFSET($R$3,0,0,'Données projet'!$E$9+1,1))-AVERAGE(OFFSET($H$3,0,0,'Données projet'!$E$9+1,1))</f>
        <v>336.25341821407534</v>
      </c>
      <c r="T154" s="60">
        <f t="shared" si="142"/>
        <v>360.3246221345039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516.30971934066179</v>
      </c>
      <c r="AO154" s="60">
        <f t="shared" si="144"/>
        <v>290.84286505723571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0">
        <f t="shared" si="116"/>
        <v>286.80821682327218</v>
      </c>
      <c r="BI154" s="60">
        <f ca="1">AVERAGE(OFFSET($BH$3,0,0,'Données projet'!$E$11+1,1))-AVERAGE(OFFSET($H$3,0,0,'Données projet'!$E$11+1,1))</f>
        <v>336.25341821407534</v>
      </c>
      <c r="BJ154" s="60">
        <f t="shared" si="146"/>
        <v>360.3246221345039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1.0818439477588981E-13</v>
      </c>
      <c r="CA154" s="14">
        <f t="shared" ref="CA154:CA203" si="170">EXP(-1.0587+0.8836*LN(BZ154)+0.284)</f>
        <v>1.6104228458716316E-12</v>
      </c>
      <c r="CB154" s="22">
        <f t="shared" ref="CB154:CB203" si="171">(BZ154+CA154)*0.475*44/12</f>
        <v>2.9932409441277661E-12</v>
      </c>
      <c r="CC154" s="60">
        <f t="shared" si="119"/>
        <v>286.80821682326837</v>
      </c>
      <c r="CD154" s="60">
        <f ca="1">AVERAGE(OFFSET($CC$3,0,0,'Données projet'!$E$12+1,1))-AVERAGE(OFFSET($H$3,0,0,'Données projet'!$E$12+1,1))</f>
        <v>398.29746143975166</v>
      </c>
      <c r="CE154" s="60">
        <f t="shared" si="148"/>
        <v>300.63705521148802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-9.3464223027694966E-13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496.33873798282525</v>
      </c>
      <c r="CZ154" s="60">
        <f t="shared" si="150"/>
        <v>280.25465074992246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8.8675733422860506E-14</v>
      </c>
      <c r="DQ154" s="14">
        <f t="shared" ref="DQ154:DQ203" si="176">EXP(-1.0587+0.8836*LN(DP154)+0.284)</f>
        <v>1.3509285393066301E-12</v>
      </c>
      <c r="DR154" s="22">
        <f t="shared" ref="DR154:DR203" si="177">(DP154+DQ154)*0.475*44/12</f>
        <v>2.5073107750038623E-12</v>
      </c>
      <c r="DS154" s="60">
        <f t="shared" si="125"/>
        <v>286.80821682326786</v>
      </c>
      <c r="DT154" s="60">
        <f ca="1">AVERAGE(OFFSET($DS$3,0,0,'Données projet'!$E$14+1,1))-AVERAGE(OFFSET($H$3,0,0,'Données projet'!$E$14+1,1))</f>
        <v>312.59632808777332</v>
      </c>
      <c r="DU154" s="60">
        <f t="shared" si="152"/>
        <v>302.59481222418219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1.7053025658242404E-13</v>
      </c>
      <c r="EK154" s="18">
        <f>EJ154*VLOOKUP('Données projet'!$B$15,Paramètres!$A$1:$I$89,3,0)*VLOOKUP('Données projet'!$B$15,Paramètres!$A$1:$I$89,5,0)</f>
        <v>1.1439169611549005E-13</v>
      </c>
      <c r="EL154" s="14">
        <f t="shared" ref="EL154:EL203" si="179">EXP(-1.0587+0.8836*LN(EK154)+0.284)</f>
        <v>1.6918016515029816E-12</v>
      </c>
      <c r="EM154" s="22">
        <f t="shared" ref="EM154:EM203" si="180">(EK154+EL154)*0.475*44/12</f>
        <v>3.1457867471021712E-12</v>
      </c>
      <c r="EN154" s="60">
        <f t="shared" si="128"/>
        <v>286.80821682326848</v>
      </c>
      <c r="EO154" s="60">
        <f ca="1">AVERAGE(OFFSET($EN$3,0,0,'Données projet'!$E$15+1,1))-AVERAGE(OFFSET($H$3,0,0,'Données projet'!$E$15+1,1))</f>
        <v>344.62096650402731</v>
      </c>
      <c r="EP154" s="60">
        <f t="shared" si="154"/>
        <v>277.30931495079346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3.4106051316484809E-13</v>
      </c>
      <c r="FF154" s="18">
        <f>FE154*VLOOKUP('Données projet'!$B$16,Paramètres!$A$1:$I$89,3,0)*VLOOKUP('Données projet'!$B$16,Paramètres!$A$1:$I$89,5,0)</f>
        <v>2.9795046430081134E-13</v>
      </c>
      <c r="FG154" s="14">
        <f t="shared" ref="FG154:FG203" si="182">EXP(-1.0587+0.8836*LN(FF154)+0.284)</f>
        <v>3.9419014464513778E-12</v>
      </c>
      <c r="FH154" s="22">
        <f t="shared" ref="FH154:FH203" si="183">(FF154+FG154)*0.475*44/12</f>
        <v>7.384408744560063E-12</v>
      </c>
      <c r="FI154" s="60">
        <f t="shared" si="131"/>
        <v>286.80821682327274</v>
      </c>
      <c r="FJ154" s="60">
        <f ca="1">AVERAGE(OFFSET($FI$3,0,0,'Données projet'!$E$16+1,1))-AVERAGE(OFFSET($H$3,0,0,'Données projet'!$E$16+1,1))</f>
        <v>363.28611056308665</v>
      </c>
      <c r="FK154" s="60">
        <f t="shared" si="156"/>
        <v>389.43647559455974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-9.6633812063373625E-13</v>
      </c>
      <c r="GA154" s="18">
        <f>FZ154*VLOOKUP('Données projet'!$B$17,Paramètres!$A$1:$I$89,3,0)*VLOOKUP('Données projet'!$B$17,Paramètres!$A$1:$I$89,5,0)</f>
        <v>-1.0401663530501537E-12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542.90832990875208</v>
      </c>
      <c r="GF154" s="60">
        <f t="shared" si="158"/>
        <v>304.94365539329362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2.7134774427395314E-13</v>
      </c>
      <c r="P155" s="14">
        <f t="shared" si="141"/>
        <v>3.6292411711343559E-12</v>
      </c>
      <c r="Q155" s="22">
        <f t="shared" si="162"/>
        <v>6.7935256943361388E-12</v>
      </c>
      <c r="R155" s="60">
        <f t="shared" si="109"/>
        <v>286.92141300674672</v>
      </c>
      <c r="S155" s="60">
        <f ca="1">AVERAGE(OFFSET($R$3,0,0,'Données projet'!$E$9+1,1))-AVERAGE(OFFSET($H$3,0,0,'Données projet'!$E$9+1,1))</f>
        <v>336.25341821407534</v>
      </c>
      <c r="T155" s="60">
        <f t="shared" si="142"/>
        <v>360.3246221345039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516.30971934066179</v>
      </c>
      <c r="AO155" s="60">
        <f t="shared" si="144"/>
        <v>290.84286505723571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0">
        <f t="shared" si="116"/>
        <v>286.92141300674672</v>
      </c>
      <c r="BI155" s="60">
        <f ca="1">AVERAGE(OFFSET($BH$3,0,0,'Données projet'!$E$11+1,1))-AVERAGE(OFFSET($H$3,0,0,'Données projet'!$E$11+1,1))</f>
        <v>336.25341821407534</v>
      </c>
      <c r="BJ155" s="60">
        <f t="shared" si="146"/>
        <v>360.3246221345039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1.0818439477588981E-13</v>
      </c>
      <c r="CA155" s="14">
        <f t="shared" si="170"/>
        <v>1.6104228458716316E-12</v>
      </c>
      <c r="CB155" s="22">
        <f t="shared" si="171"/>
        <v>2.9932409441277661E-12</v>
      </c>
      <c r="CC155" s="60">
        <f t="shared" si="119"/>
        <v>286.92141300674291</v>
      </c>
      <c r="CD155" s="60">
        <f ca="1">AVERAGE(OFFSET($CC$3,0,0,'Données projet'!$E$12+1,1))-AVERAGE(OFFSET($H$3,0,0,'Données projet'!$E$12+1,1))</f>
        <v>398.29746143975166</v>
      </c>
      <c r="CE155" s="60">
        <f t="shared" si="148"/>
        <v>300.63705521148802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-9.3464223027694966E-13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496.33873798282525</v>
      </c>
      <c r="CZ155" s="60">
        <f t="shared" si="150"/>
        <v>280.25465074992246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8.8675733422860506E-14</v>
      </c>
      <c r="DQ155" s="14">
        <f t="shared" si="176"/>
        <v>1.3509285393066301E-12</v>
      </c>
      <c r="DR155" s="22">
        <f t="shared" si="177"/>
        <v>2.5073107750038623E-12</v>
      </c>
      <c r="DS155" s="60">
        <f t="shared" si="125"/>
        <v>286.9214130067424</v>
      </c>
      <c r="DT155" s="60">
        <f ca="1">AVERAGE(OFFSET($DS$3,0,0,'Données projet'!$E$14+1,1))-AVERAGE(OFFSET($H$3,0,0,'Données projet'!$E$14+1,1))</f>
        <v>312.59632808777332</v>
      </c>
      <c r="DU155" s="60">
        <f t="shared" si="152"/>
        <v>302.59481222418219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1.7053025658242404E-13</v>
      </c>
      <c r="EK155" s="18">
        <f>EJ155*VLOOKUP('Données projet'!$B$15,Paramètres!$A$1:$I$89,3,0)*VLOOKUP('Données projet'!$B$15,Paramètres!$A$1:$I$89,5,0)</f>
        <v>1.1439169611549005E-13</v>
      </c>
      <c r="EL155" s="14">
        <f t="shared" si="179"/>
        <v>1.6918016515029816E-12</v>
      </c>
      <c r="EM155" s="22">
        <f t="shared" si="180"/>
        <v>3.1457867471021712E-12</v>
      </c>
      <c r="EN155" s="60">
        <f t="shared" si="128"/>
        <v>286.92141300674302</v>
      </c>
      <c r="EO155" s="60">
        <f ca="1">AVERAGE(OFFSET($EN$3,0,0,'Données projet'!$E$15+1,1))-AVERAGE(OFFSET($H$3,0,0,'Données projet'!$E$15+1,1))</f>
        <v>344.62096650402731</v>
      </c>
      <c r="EP155" s="60">
        <f t="shared" si="154"/>
        <v>277.30931495079346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3.4106051316484809E-13</v>
      </c>
      <c r="FF155" s="18">
        <f>FE155*VLOOKUP('Données projet'!$B$16,Paramètres!$A$1:$I$89,3,0)*VLOOKUP('Données projet'!$B$16,Paramètres!$A$1:$I$89,5,0)</f>
        <v>2.9795046430081134E-13</v>
      </c>
      <c r="FG155" s="14">
        <f t="shared" si="182"/>
        <v>3.9419014464513778E-12</v>
      </c>
      <c r="FH155" s="22">
        <f t="shared" si="183"/>
        <v>7.384408744560063E-12</v>
      </c>
      <c r="FI155" s="60">
        <f t="shared" si="131"/>
        <v>286.92141300674729</v>
      </c>
      <c r="FJ155" s="60">
        <f ca="1">AVERAGE(OFFSET($FI$3,0,0,'Données projet'!$E$16+1,1))-AVERAGE(OFFSET($H$3,0,0,'Données projet'!$E$16+1,1))</f>
        <v>363.28611056308665</v>
      </c>
      <c r="FK155" s="60">
        <f t="shared" si="156"/>
        <v>389.43647559455974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-9.6633812063373625E-13</v>
      </c>
      <c r="GA155" s="18">
        <f>FZ155*VLOOKUP('Données projet'!$B$17,Paramètres!$A$1:$I$89,3,0)*VLOOKUP('Données projet'!$B$17,Paramètres!$A$1:$I$89,5,0)</f>
        <v>-1.0401663530501537E-12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542.90832990875208</v>
      </c>
      <c r="GF155" s="60">
        <f t="shared" si="158"/>
        <v>304.94365539329362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2.7134774427395314E-13</v>
      </c>
      <c r="P156" s="14">
        <f t="shared" si="141"/>
        <v>3.6292411711343559E-12</v>
      </c>
      <c r="Q156" s="22">
        <f t="shared" si="162"/>
        <v>6.7935256943361388E-12</v>
      </c>
      <c r="R156" s="60">
        <f t="shared" si="109"/>
        <v>287.03264548950682</v>
      </c>
      <c r="S156" s="60">
        <f ca="1">AVERAGE(OFFSET($R$3,0,0,'Données projet'!$E$9+1,1))-AVERAGE(OFFSET($H$3,0,0,'Données projet'!$E$9+1,1))</f>
        <v>336.25341821407534</v>
      </c>
      <c r="T156" s="60">
        <f t="shared" si="142"/>
        <v>360.3246221345039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516.30971934066179</v>
      </c>
      <c r="AO156" s="60">
        <f t="shared" si="144"/>
        <v>290.84286505723571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0">
        <f t="shared" si="116"/>
        <v>287.03264548950682</v>
      </c>
      <c r="BI156" s="60">
        <f ca="1">AVERAGE(OFFSET($BH$3,0,0,'Données projet'!$E$11+1,1))-AVERAGE(OFFSET($H$3,0,0,'Données projet'!$E$11+1,1))</f>
        <v>336.25341821407534</v>
      </c>
      <c r="BJ156" s="60">
        <f t="shared" si="146"/>
        <v>360.3246221345039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1.0818439477588981E-13</v>
      </c>
      <c r="CA156" s="14">
        <f t="shared" si="170"/>
        <v>1.6104228458716316E-12</v>
      </c>
      <c r="CB156" s="22">
        <f t="shared" si="171"/>
        <v>2.9932409441277661E-12</v>
      </c>
      <c r="CC156" s="60">
        <f t="shared" si="119"/>
        <v>287.03264548950301</v>
      </c>
      <c r="CD156" s="60">
        <f ca="1">AVERAGE(OFFSET($CC$3,0,0,'Données projet'!$E$12+1,1))-AVERAGE(OFFSET($H$3,0,0,'Données projet'!$E$12+1,1))</f>
        <v>398.29746143975166</v>
      </c>
      <c r="CE156" s="60">
        <f t="shared" si="148"/>
        <v>300.63705521148802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-9.3464223027694966E-13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496.33873798282525</v>
      </c>
      <c r="CZ156" s="60">
        <f t="shared" si="150"/>
        <v>280.25465074992246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8.8675733422860506E-14</v>
      </c>
      <c r="DQ156" s="14">
        <f t="shared" si="176"/>
        <v>1.3509285393066301E-12</v>
      </c>
      <c r="DR156" s="22">
        <f t="shared" si="177"/>
        <v>2.5073107750038623E-12</v>
      </c>
      <c r="DS156" s="60">
        <f t="shared" si="125"/>
        <v>287.0326454895025</v>
      </c>
      <c r="DT156" s="60">
        <f ca="1">AVERAGE(OFFSET($DS$3,0,0,'Données projet'!$E$14+1,1))-AVERAGE(OFFSET($H$3,0,0,'Données projet'!$E$14+1,1))</f>
        <v>312.59632808777332</v>
      </c>
      <c r="DU156" s="60">
        <f t="shared" si="152"/>
        <v>302.59481222418219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1.7053025658242404E-13</v>
      </c>
      <c r="EK156" s="18">
        <f>EJ156*VLOOKUP('Données projet'!$B$15,Paramètres!$A$1:$I$89,3,0)*VLOOKUP('Données projet'!$B$15,Paramètres!$A$1:$I$89,5,0)</f>
        <v>1.1439169611549005E-13</v>
      </c>
      <c r="EL156" s="14">
        <f t="shared" si="179"/>
        <v>1.6918016515029816E-12</v>
      </c>
      <c r="EM156" s="22">
        <f t="shared" si="180"/>
        <v>3.1457867471021712E-12</v>
      </c>
      <c r="EN156" s="60">
        <f t="shared" si="128"/>
        <v>287.03264548950312</v>
      </c>
      <c r="EO156" s="60">
        <f ca="1">AVERAGE(OFFSET($EN$3,0,0,'Données projet'!$E$15+1,1))-AVERAGE(OFFSET($H$3,0,0,'Données projet'!$E$15+1,1))</f>
        <v>344.62096650402731</v>
      </c>
      <c r="EP156" s="60">
        <f t="shared" si="154"/>
        <v>277.30931495079346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3.4106051316484809E-13</v>
      </c>
      <c r="FF156" s="18">
        <f>FE156*VLOOKUP('Données projet'!$B$16,Paramètres!$A$1:$I$89,3,0)*VLOOKUP('Données projet'!$B$16,Paramètres!$A$1:$I$89,5,0)</f>
        <v>2.9795046430081134E-13</v>
      </c>
      <c r="FG156" s="14">
        <f t="shared" si="182"/>
        <v>3.9419014464513778E-12</v>
      </c>
      <c r="FH156" s="22">
        <f t="shared" si="183"/>
        <v>7.384408744560063E-12</v>
      </c>
      <c r="FI156" s="60">
        <f t="shared" si="131"/>
        <v>287.03264548950739</v>
      </c>
      <c r="FJ156" s="60">
        <f ca="1">AVERAGE(OFFSET($FI$3,0,0,'Données projet'!$E$16+1,1))-AVERAGE(OFFSET($H$3,0,0,'Données projet'!$E$16+1,1))</f>
        <v>363.28611056308665</v>
      </c>
      <c r="FK156" s="60">
        <f t="shared" si="156"/>
        <v>389.43647559455974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-9.6633812063373625E-13</v>
      </c>
      <c r="GA156" s="18">
        <f>FZ156*VLOOKUP('Données projet'!$B$17,Paramètres!$A$1:$I$89,3,0)*VLOOKUP('Données projet'!$B$17,Paramètres!$A$1:$I$89,5,0)</f>
        <v>-1.0401663530501537E-12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542.90832990875208</v>
      </c>
      <c r="GF156" s="60">
        <f t="shared" si="158"/>
        <v>304.94365539329362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2.7134774427395314E-13</v>
      </c>
      <c r="P157" s="14">
        <f t="shared" si="141"/>
        <v>3.6292411711343559E-12</v>
      </c>
      <c r="Q157" s="22">
        <f t="shared" si="162"/>
        <v>6.7935256943361388E-12</v>
      </c>
      <c r="R157" s="60">
        <f t="shared" si="109"/>
        <v>287.14194833736957</v>
      </c>
      <c r="S157" s="60">
        <f ca="1">AVERAGE(OFFSET($R$3,0,0,'Données projet'!$E$9+1,1))-AVERAGE(OFFSET($H$3,0,0,'Données projet'!$E$9+1,1))</f>
        <v>336.25341821407534</v>
      </c>
      <c r="T157" s="60">
        <f t="shared" si="142"/>
        <v>360.3246221345039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516.30971934066179</v>
      </c>
      <c r="AO157" s="60">
        <f t="shared" si="144"/>
        <v>290.84286505723571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0">
        <f t="shared" si="116"/>
        <v>287.14194833736957</v>
      </c>
      <c r="BI157" s="60">
        <f ca="1">AVERAGE(OFFSET($BH$3,0,0,'Données projet'!$E$11+1,1))-AVERAGE(OFFSET($H$3,0,0,'Données projet'!$E$11+1,1))</f>
        <v>336.25341821407534</v>
      </c>
      <c r="BJ157" s="60">
        <f t="shared" si="146"/>
        <v>360.3246221345039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1.0818439477588981E-13</v>
      </c>
      <c r="CA157" s="14">
        <f t="shared" si="170"/>
        <v>1.6104228458716316E-12</v>
      </c>
      <c r="CB157" s="22">
        <f t="shared" si="171"/>
        <v>2.9932409441277661E-12</v>
      </c>
      <c r="CC157" s="60">
        <f t="shared" si="119"/>
        <v>287.14194833736576</v>
      </c>
      <c r="CD157" s="60">
        <f ca="1">AVERAGE(OFFSET($CC$3,0,0,'Données projet'!$E$12+1,1))-AVERAGE(OFFSET($H$3,0,0,'Données projet'!$E$12+1,1))</f>
        <v>398.29746143975166</v>
      </c>
      <c r="CE157" s="60">
        <f t="shared" si="148"/>
        <v>300.63705521148802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-9.3464223027694966E-13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496.33873798282525</v>
      </c>
      <c r="CZ157" s="60">
        <f t="shared" si="150"/>
        <v>280.25465074992246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8.8675733422860506E-14</v>
      </c>
      <c r="DQ157" s="14">
        <f t="shared" si="176"/>
        <v>1.3509285393066301E-12</v>
      </c>
      <c r="DR157" s="22">
        <f t="shared" si="177"/>
        <v>2.5073107750038623E-12</v>
      </c>
      <c r="DS157" s="60">
        <f t="shared" si="125"/>
        <v>287.14194833736525</v>
      </c>
      <c r="DT157" s="60">
        <f ca="1">AVERAGE(OFFSET($DS$3,0,0,'Données projet'!$E$14+1,1))-AVERAGE(OFFSET($H$3,0,0,'Données projet'!$E$14+1,1))</f>
        <v>312.59632808777332</v>
      </c>
      <c r="DU157" s="60">
        <f t="shared" si="152"/>
        <v>302.59481222418219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1.7053025658242404E-13</v>
      </c>
      <c r="EK157" s="18">
        <f>EJ157*VLOOKUP('Données projet'!$B$15,Paramètres!$A$1:$I$89,3,0)*VLOOKUP('Données projet'!$B$15,Paramètres!$A$1:$I$89,5,0)</f>
        <v>1.1439169611549005E-13</v>
      </c>
      <c r="EL157" s="14">
        <f t="shared" si="179"/>
        <v>1.6918016515029816E-12</v>
      </c>
      <c r="EM157" s="22">
        <f t="shared" si="180"/>
        <v>3.1457867471021712E-12</v>
      </c>
      <c r="EN157" s="60">
        <f t="shared" si="128"/>
        <v>287.14194833736587</v>
      </c>
      <c r="EO157" s="60">
        <f ca="1">AVERAGE(OFFSET($EN$3,0,0,'Données projet'!$E$15+1,1))-AVERAGE(OFFSET($H$3,0,0,'Données projet'!$E$15+1,1))</f>
        <v>344.62096650402731</v>
      </c>
      <c r="EP157" s="60">
        <f t="shared" si="154"/>
        <v>277.30931495079346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3.4106051316484809E-13</v>
      </c>
      <c r="FF157" s="18">
        <f>FE157*VLOOKUP('Données projet'!$B$16,Paramètres!$A$1:$I$89,3,0)*VLOOKUP('Données projet'!$B$16,Paramètres!$A$1:$I$89,5,0)</f>
        <v>2.9795046430081134E-13</v>
      </c>
      <c r="FG157" s="14">
        <f t="shared" si="182"/>
        <v>3.9419014464513778E-12</v>
      </c>
      <c r="FH157" s="22">
        <f t="shared" si="183"/>
        <v>7.384408744560063E-12</v>
      </c>
      <c r="FI157" s="60">
        <f t="shared" si="131"/>
        <v>287.14194833737014</v>
      </c>
      <c r="FJ157" s="60">
        <f ca="1">AVERAGE(OFFSET($FI$3,0,0,'Données projet'!$E$16+1,1))-AVERAGE(OFFSET($H$3,0,0,'Données projet'!$E$16+1,1))</f>
        <v>363.28611056308665</v>
      </c>
      <c r="FK157" s="60">
        <f t="shared" si="156"/>
        <v>389.43647559455974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-9.6633812063373625E-13</v>
      </c>
      <c r="GA157" s="18">
        <f>FZ157*VLOOKUP('Données projet'!$B$17,Paramètres!$A$1:$I$89,3,0)*VLOOKUP('Données projet'!$B$17,Paramètres!$A$1:$I$89,5,0)</f>
        <v>-1.0401663530501537E-12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542.90832990875208</v>
      </c>
      <c r="GF157" s="60">
        <f t="shared" si="158"/>
        <v>304.94365539329362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2.7134774427395314E-13</v>
      </c>
      <c r="P158" s="14">
        <f t="shared" si="141"/>
        <v>3.6292411711343559E-12</v>
      </c>
      <c r="Q158" s="22">
        <f t="shared" si="162"/>
        <v>6.7935256943361388E-12</v>
      </c>
      <c r="R158" s="60">
        <f t="shared" si="109"/>
        <v>287.2493550251865</v>
      </c>
      <c r="S158" s="60">
        <f ca="1">AVERAGE(OFFSET($R$3,0,0,'Données projet'!$E$9+1,1))-AVERAGE(OFFSET($H$3,0,0,'Données projet'!$E$9+1,1))</f>
        <v>336.25341821407534</v>
      </c>
      <c r="T158" s="60">
        <f t="shared" si="142"/>
        <v>360.3246221345039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516.30971934066179</v>
      </c>
      <c r="AO158" s="60">
        <f t="shared" si="144"/>
        <v>290.84286505723571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0">
        <f t="shared" si="116"/>
        <v>287.2493550251865</v>
      </c>
      <c r="BI158" s="60">
        <f ca="1">AVERAGE(OFFSET($BH$3,0,0,'Données projet'!$E$11+1,1))-AVERAGE(OFFSET($H$3,0,0,'Données projet'!$E$11+1,1))</f>
        <v>336.25341821407534</v>
      </c>
      <c r="BJ158" s="60">
        <f t="shared" si="146"/>
        <v>360.3246221345039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1.0818439477588981E-13</v>
      </c>
      <c r="CA158" s="14">
        <f t="shared" si="170"/>
        <v>1.6104228458716316E-12</v>
      </c>
      <c r="CB158" s="22">
        <f t="shared" si="171"/>
        <v>2.9932409441277661E-12</v>
      </c>
      <c r="CC158" s="60">
        <f t="shared" si="119"/>
        <v>287.24935502518269</v>
      </c>
      <c r="CD158" s="60">
        <f ca="1">AVERAGE(OFFSET($CC$3,0,0,'Données projet'!$E$12+1,1))-AVERAGE(OFFSET($H$3,0,0,'Données projet'!$E$12+1,1))</f>
        <v>398.29746143975166</v>
      </c>
      <c r="CE158" s="60">
        <f t="shared" si="148"/>
        <v>300.63705521148802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-9.3464223027694966E-13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496.33873798282525</v>
      </c>
      <c r="CZ158" s="60">
        <f t="shared" si="150"/>
        <v>280.25465074992246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8.8675733422860506E-14</v>
      </c>
      <c r="DQ158" s="14">
        <f t="shared" si="176"/>
        <v>1.3509285393066301E-12</v>
      </c>
      <c r="DR158" s="22">
        <f t="shared" si="177"/>
        <v>2.5073107750038623E-12</v>
      </c>
      <c r="DS158" s="60">
        <f t="shared" si="125"/>
        <v>287.24935502518218</v>
      </c>
      <c r="DT158" s="60">
        <f ca="1">AVERAGE(OFFSET($DS$3,0,0,'Données projet'!$E$14+1,1))-AVERAGE(OFFSET($H$3,0,0,'Données projet'!$E$14+1,1))</f>
        <v>312.59632808777332</v>
      </c>
      <c r="DU158" s="60">
        <f t="shared" si="152"/>
        <v>302.59481222418219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1.7053025658242404E-13</v>
      </c>
      <c r="EK158" s="18">
        <f>EJ158*VLOOKUP('Données projet'!$B$15,Paramètres!$A$1:$I$89,3,0)*VLOOKUP('Données projet'!$B$15,Paramètres!$A$1:$I$89,5,0)</f>
        <v>1.1439169611549005E-13</v>
      </c>
      <c r="EL158" s="14">
        <f t="shared" si="179"/>
        <v>1.6918016515029816E-12</v>
      </c>
      <c r="EM158" s="22">
        <f t="shared" si="180"/>
        <v>3.1457867471021712E-12</v>
      </c>
      <c r="EN158" s="60">
        <f t="shared" si="128"/>
        <v>287.24935502518281</v>
      </c>
      <c r="EO158" s="60">
        <f ca="1">AVERAGE(OFFSET($EN$3,0,0,'Données projet'!$E$15+1,1))-AVERAGE(OFFSET($H$3,0,0,'Données projet'!$E$15+1,1))</f>
        <v>344.62096650402731</v>
      </c>
      <c r="EP158" s="60">
        <f t="shared" si="154"/>
        <v>277.30931495079346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3.4106051316484809E-13</v>
      </c>
      <c r="FF158" s="18">
        <f>FE158*VLOOKUP('Données projet'!$B$16,Paramètres!$A$1:$I$89,3,0)*VLOOKUP('Données projet'!$B$16,Paramètres!$A$1:$I$89,5,0)</f>
        <v>2.9795046430081134E-13</v>
      </c>
      <c r="FG158" s="14">
        <f t="shared" si="182"/>
        <v>3.9419014464513778E-12</v>
      </c>
      <c r="FH158" s="22">
        <f t="shared" si="183"/>
        <v>7.384408744560063E-12</v>
      </c>
      <c r="FI158" s="60">
        <f t="shared" si="131"/>
        <v>287.24935502518707</v>
      </c>
      <c r="FJ158" s="60">
        <f ca="1">AVERAGE(OFFSET($FI$3,0,0,'Données projet'!$E$16+1,1))-AVERAGE(OFFSET($H$3,0,0,'Données projet'!$E$16+1,1))</f>
        <v>363.28611056308665</v>
      </c>
      <c r="FK158" s="60">
        <f t="shared" si="156"/>
        <v>389.43647559455974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-9.6633812063373625E-13</v>
      </c>
      <c r="GA158" s="18">
        <f>FZ158*VLOOKUP('Données projet'!$B$17,Paramètres!$A$1:$I$89,3,0)*VLOOKUP('Données projet'!$B$17,Paramètres!$A$1:$I$89,5,0)</f>
        <v>-1.0401663530501537E-12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542.90832990875208</v>
      </c>
      <c r="GF158" s="60">
        <f t="shared" si="158"/>
        <v>304.94365539329362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2.7134774427395314E-13</v>
      </c>
      <c r="P159" s="14">
        <f t="shared" si="141"/>
        <v>3.6292411711343559E-12</v>
      </c>
      <c r="Q159" s="22">
        <f t="shared" si="162"/>
        <v>6.7935256943361388E-12</v>
      </c>
      <c r="R159" s="60">
        <f t="shared" si="109"/>
        <v>287.35489844709514</v>
      </c>
      <c r="S159" s="60">
        <f ca="1">AVERAGE(OFFSET($R$3,0,0,'Données projet'!$E$9+1,1))-AVERAGE(OFFSET($H$3,0,0,'Données projet'!$E$9+1,1))</f>
        <v>336.25341821407534</v>
      </c>
      <c r="T159" s="60">
        <f t="shared" si="142"/>
        <v>360.3246221345039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516.30971934066179</v>
      </c>
      <c r="AO159" s="60">
        <f t="shared" si="144"/>
        <v>290.84286505723571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0">
        <f t="shared" si="116"/>
        <v>287.35489844709514</v>
      </c>
      <c r="BI159" s="60">
        <f ca="1">AVERAGE(OFFSET($BH$3,0,0,'Données projet'!$E$11+1,1))-AVERAGE(OFFSET($H$3,0,0,'Données projet'!$E$11+1,1))</f>
        <v>336.25341821407534</v>
      </c>
      <c r="BJ159" s="60">
        <f t="shared" si="146"/>
        <v>360.3246221345039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1.0818439477588981E-13</v>
      </c>
      <c r="CA159" s="14">
        <f t="shared" si="170"/>
        <v>1.6104228458716316E-12</v>
      </c>
      <c r="CB159" s="22">
        <f t="shared" si="171"/>
        <v>2.9932409441277661E-12</v>
      </c>
      <c r="CC159" s="60">
        <f t="shared" si="119"/>
        <v>287.35489844709133</v>
      </c>
      <c r="CD159" s="60">
        <f ca="1">AVERAGE(OFFSET($CC$3,0,0,'Données projet'!$E$12+1,1))-AVERAGE(OFFSET($H$3,0,0,'Données projet'!$E$12+1,1))</f>
        <v>398.29746143975166</v>
      </c>
      <c r="CE159" s="60">
        <f t="shared" si="148"/>
        <v>300.63705521148802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-9.3464223027694966E-13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496.33873798282525</v>
      </c>
      <c r="CZ159" s="60">
        <f t="shared" si="150"/>
        <v>280.25465074992246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8.8675733422860506E-14</v>
      </c>
      <c r="DQ159" s="14">
        <f t="shared" si="176"/>
        <v>1.3509285393066301E-12</v>
      </c>
      <c r="DR159" s="22">
        <f t="shared" si="177"/>
        <v>2.5073107750038623E-12</v>
      </c>
      <c r="DS159" s="60">
        <f t="shared" si="125"/>
        <v>287.35489844709082</v>
      </c>
      <c r="DT159" s="60">
        <f ca="1">AVERAGE(OFFSET($DS$3,0,0,'Données projet'!$E$14+1,1))-AVERAGE(OFFSET($H$3,0,0,'Données projet'!$E$14+1,1))</f>
        <v>312.59632808777332</v>
      </c>
      <c r="DU159" s="60">
        <f t="shared" si="152"/>
        <v>302.59481222418219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1.7053025658242404E-13</v>
      </c>
      <c r="EK159" s="18">
        <f>EJ159*VLOOKUP('Données projet'!$B$15,Paramètres!$A$1:$I$89,3,0)*VLOOKUP('Données projet'!$B$15,Paramètres!$A$1:$I$89,5,0)</f>
        <v>1.1439169611549005E-13</v>
      </c>
      <c r="EL159" s="14">
        <f t="shared" si="179"/>
        <v>1.6918016515029816E-12</v>
      </c>
      <c r="EM159" s="22">
        <f t="shared" si="180"/>
        <v>3.1457867471021712E-12</v>
      </c>
      <c r="EN159" s="60">
        <f t="shared" si="128"/>
        <v>287.35489844709144</v>
      </c>
      <c r="EO159" s="60">
        <f ca="1">AVERAGE(OFFSET($EN$3,0,0,'Données projet'!$E$15+1,1))-AVERAGE(OFFSET($H$3,0,0,'Données projet'!$E$15+1,1))</f>
        <v>344.62096650402731</v>
      </c>
      <c r="EP159" s="60">
        <f t="shared" si="154"/>
        <v>277.30931495079346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3.4106051316484809E-13</v>
      </c>
      <c r="FF159" s="18">
        <f>FE159*VLOOKUP('Données projet'!$B$16,Paramètres!$A$1:$I$89,3,0)*VLOOKUP('Données projet'!$B$16,Paramètres!$A$1:$I$89,5,0)</f>
        <v>2.9795046430081134E-13</v>
      </c>
      <c r="FG159" s="14">
        <f t="shared" si="182"/>
        <v>3.9419014464513778E-12</v>
      </c>
      <c r="FH159" s="22">
        <f t="shared" si="183"/>
        <v>7.384408744560063E-12</v>
      </c>
      <c r="FI159" s="60">
        <f t="shared" si="131"/>
        <v>287.35489844709571</v>
      </c>
      <c r="FJ159" s="60">
        <f ca="1">AVERAGE(OFFSET($FI$3,0,0,'Données projet'!$E$16+1,1))-AVERAGE(OFFSET($H$3,0,0,'Données projet'!$E$16+1,1))</f>
        <v>363.28611056308665</v>
      </c>
      <c r="FK159" s="60">
        <f t="shared" si="156"/>
        <v>389.43647559455974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-9.6633812063373625E-13</v>
      </c>
      <c r="GA159" s="18">
        <f>FZ159*VLOOKUP('Données projet'!$B$17,Paramètres!$A$1:$I$89,3,0)*VLOOKUP('Données projet'!$B$17,Paramètres!$A$1:$I$89,5,0)</f>
        <v>-1.0401663530501537E-12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542.90832990875208</v>
      </c>
      <c r="GF159" s="60">
        <f t="shared" si="158"/>
        <v>304.94365539329362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2.7134774427395314E-13</v>
      </c>
      <c r="P160" s="14">
        <f t="shared" si="141"/>
        <v>3.6292411711343559E-12</v>
      </c>
      <c r="Q160" s="22">
        <f t="shared" si="162"/>
        <v>6.7935256943361388E-12</v>
      </c>
      <c r="R160" s="60">
        <f t="shared" si="109"/>
        <v>287.45861092659339</v>
      </c>
      <c r="S160" s="60">
        <f ca="1">AVERAGE(OFFSET($R$3,0,0,'Données projet'!$E$9+1,1))-AVERAGE(OFFSET($H$3,0,0,'Données projet'!$E$9+1,1))</f>
        <v>336.25341821407534</v>
      </c>
      <c r="T160" s="60">
        <f t="shared" si="142"/>
        <v>360.3246221345039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516.30971934066179</v>
      </c>
      <c r="AO160" s="60">
        <f t="shared" si="144"/>
        <v>290.84286505723571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0">
        <f t="shared" si="116"/>
        <v>287.45861092659339</v>
      </c>
      <c r="BI160" s="60">
        <f ca="1">AVERAGE(OFFSET($BH$3,0,0,'Données projet'!$E$11+1,1))-AVERAGE(OFFSET($H$3,0,0,'Données projet'!$E$11+1,1))</f>
        <v>336.25341821407534</v>
      </c>
      <c r="BJ160" s="60">
        <f t="shared" si="146"/>
        <v>360.3246221345039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1.0818439477588981E-13</v>
      </c>
      <c r="CA160" s="14">
        <f t="shared" si="170"/>
        <v>1.6104228458716316E-12</v>
      </c>
      <c r="CB160" s="22">
        <f t="shared" si="171"/>
        <v>2.9932409441277661E-12</v>
      </c>
      <c r="CC160" s="60">
        <f t="shared" si="119"/>
        <v>287.45861092658959</v>
      </c>
      <c r="CD160" s="60">
        <f ca="1">AVERAGE(OFFSET($CC$3,0,0,'Données projet'!$E$12+1,1))-AVERAGE(OFFSET($H$3,0,0,'Données projet'!$E$12+1,1))</f>
        <v>398.29746143975166</v>
      </c>
      <c r="CE160" s="60">
        <f t="shared" si="148"/>
        <v>300.63705521148802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-9.3464223027694966E-13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496.33873798282525</v>
      </c>
      <c r="CZ160" s="60">
        <f t="shared" si="150"/>
        <v>280.25465074992246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8.8675733422860506E-14</v>
      </c>
      <c r="DQ160" s="14">
        <f t="shared" si="176"/>
        <v>1.3509285393066301E-12</v>
      </c>
      <c r="DR160" s="22">
        <f t="shared" si="177"/>
        <v>2.5073107750038623E-12</v>
      </c>
      <c r="DS160" s="60">
        <f t="shared" si="125"/>
        <v>287.45861092658907</v>
      </c>
      <c r="DT160" s="60">
        <f ca="1">AVERAGE(OFFSET($DS$3,0,0,'Données projet'!$E$14+1,1))-AVERAGE(OFFSET($H$3,0,0,'Données projet'!$E$14+1,1))</f>
        <v>312.59632808777332</v>
      </c>
      <c r="DU160" s="60">
        <f t="shared" si="152"/>
        <v>302.59481222418219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1.7053025658242404E-13</v>
      </c>
      <c r="EK160" s="18">
        <f>EJ160*VLOOKUP('Données projet'!$B$15,Paramètres!$A$1:$I$89,3,0)*VLOOKUP('Données projet'!$B$15,Paramètres!$A$1:$I$89,5,0)</f>
        <v>1.1439169611549005E-13</v>
      </c>
      <c r="EL160" s="14">
        <f t="shared" si="179"/>
        <v>1.6918016515029816E-12</v>
      </c>
      <c r="EM160" s="22">
        <f t="shared" si="180"/>
        <v>3.1457867471021712E-12</v>
      </c>
      <c r="EN160" s="60">
        <f t="shared" si="128"/>
        <v>287.4586109265897</v>
      </c>
      <c r="EO160" s="60">
        <f ca="1">AVERAGE(OFFSET($EN$3,0,0,'Données projet'!$E$15+1,1))-AVERAGE(OFFSET($H$3,0,0,'Données projet'!$E$15+1,1))</f>
        <v>344.62096650402731</v>
      </c>
      <c r="EP160" s="60">
        <f t="shared" si="154"/>
        <v>277.30931495079346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3.4106051316484809E-13</v>
      </c>
      <c r="FF160" s="18">
        <f>FE160*VLOOKUP('Données projet'!$B$16,Paramètres!$A$1:$I$89,3,0)*VLOOKUP('Données projet'!$B$16,Paramètres!$A$1:$I$89,5,0)</f>
        <v>2.9795046430081134E-13</v>
      </c>
      <c r="FG160" s="14">
        <f t="shared" si="182"/>
        <v>3.9419014464513778E-12</v>
      </c>
      <c r="FH160" s="22">
        <f t="shared" si="183"/>
        <v>7.384408744560063E-12</v>
      </c>
      <c r="FI160" s="60">
        <f t="shared" si="131"/>
        <v>287.45861092659396</v>
      </c>
      <c r="FJ160" s="60">
        <f ca="1">AVERAGE(OFFSET($FI$3,0,0,'Données projet'!$E$16+1,1))-AVERAGE(OFFSET($H$3,0,0,'Données projet'!$E$16+1,1))</f>
        <v>363.28611056308665</v>
      </c>
      <c r="FK160" s="60">
        <f t="shared" si="156"/>
        <v>389.43647559455974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-9.6633812063373625E-13</v>
      </c>
      <c r="GA160" s="18">
        <f>FZ160*VLOOKUP('Données projet'!$B$17,Paramètres!$A$1:$I$89,3,0)*VLOOKUP('Données projet'!$B$17,Paramètres!$A$1:$I$89,5,0)</f>
        <v>-1.0401663530501537E-12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542.90832990875208</v>
      </c>
      <c r="GF160" s="60">
        <f t="shared" si="158"/>
        <v>304.94365539329362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2.7134774427395314E-13</v>
      </c>
      <c r="P161" s="14">
        <f t="shared" si="141"/>
        <v>3.6292411711343559E-12</v>
      </c>
      <c r="Q161" s="22">
        <f t="shared" si="162"/>
        <v>6.7935256943361388E-12</v>
      </c>
      <c r="R161" s="60">
        <f t="shared" si="109"/>
        <v>287.56052422643882</v>
      </c>
      <c r="S161" s="60">
        <f ca="1">AVERAGE(OFFSET($R$3,0,0,'Données projet'!$E$9+1,1))-AVERAGE(OFFSET($H$3,0,0,'Données projet'!$E$9+1,1))</f>
        <v>336.25341821407534</v>
      </c>
      <c r="T161" s="60">
        <f t="shared" si="142"/>
        <v>360.3246221345039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516.30971934066179</v>
      </c>
      <c r="AO161" s="60">
        <f t="shared" si="144"/>
        <v>290.84286505723571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0">
        <f t="shared" si="116"/>
        <v>287.56052422643882</v>
      </c>
      <c r="BI161" s="60">
        <f ca="1">AVERAGE(OFFSET($BH$3,0,0,'Données projet'!$E$11+1,1))-AVERAGE(OFFSET($H$3,0,0,'Données projet'!$E$11+1,1))</f>
        <v>336.25341821407534</v>
      </c>
      <c r="BJ161" s="60">
        <f t="shared" si="146"/>
        <v>360.3246221345039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1.0818439477588981E-13</v>
      </c>
      <c r="CA161" s="14">
        <f t="shared" si="170"/>
        <v>1.6104228458716316E-12</v>
      </c>
      <c r="CB161" s="22">
        <f t="shared" si="171"/>
        <v>2.9932409441277661E-12</v>
      </c>
      <c r="CC161" s="60">
        <f t="shared" si="119"/>
        <v>287.56052422643501</v>
      </c>
      <c r="CD161" s="60">
        <f ca="1">AVERAGE(OFFSET($CC$3,0,0,'Données projet'!$E$12+1,1))-AVERAGE(OFFSET($H$3,0,0,'Données projet'!$E$12+1,1))</f>
        <v>398.29746143975166</v>
      </c>
      <c r="CE161" s="60">
        <f t="shared" si="148"/>
        <v>300.63705521148802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-9.3464223027694966E-13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496.33873798282525</v>
      </c>
      <c r="CZ161" s="60">
        <f t="shared" si="150"/>
        <v>280.25465074992246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8.8675733422860506E-14</v>
      </c>
      <c r="DQ161" s="14">
        <f t="shared" si="176"/>
        <v>1.3509285393066301E-12</v>
      </c>
      <c r="DR161" s="22">
        <f t="shared" si="177"/>
        <v>2.5073107750038623E-12</v>
      </c>
      <c r="DS161" s="60">
        <f t="shared" si="125"/>
        <v>287.5605242264345</v>
      </c>
      <c r="DT161" s="60">
        <f ca="1">AVERAGE(OFFSET($DS$3,0,0,'Données projet'!$E$14+1,1))-AVERAGE(OFFSET($H$3,0,0,'Données projet'!$E$14+1,1))</f>
        <v>312.59632808777332</v>
      </c>
      <c r="DU161" s="60">
        <f t="shared" si="152"/>
        <v>302.59481222418219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1.7053025658242404E-13</v>
      </c>
      <c r="EK161" s="18">
        <f>EJ161*VLOOKUP('Données projet'!$B$15,Paramètres!$A$1:$I$89,3,0)*VLOOKUP('Données projet'!$B$15,Paramètres!$A$1:$I$89,5,0)</f>
        <v>1.1439169611549005E-13</v>
      </c>
      <c r="EL161" s="14">
        <f t="shared" si="179"/>
        <v>1.6918016515029816E-12</v>
      </c>
      <c r="EM161" s="22">
        <f t="shared" si="180"/>
        <v>3.1457867471021712E-12</v>
      </c>
      <c r="EN161" s="60">
        <f t="shared" si="128"/>
        <v>287.56052422643512</v>
      </c>
      <c r="EO161" s="60">
        <f ca="1">AVERAGE(OFFSET($EN$3,0,0,'Données projet'!$E$15+1,1))-AVERAGE(OFFSET($H$3,0,0,'Données projet'!$E$15+1,1))</f>
        <v>344.62096650402731</v>
      </c>
      <c r="EP161" s="60">
        <f t="shared" si="154"/>
        <v>277.30931495079346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3.4106051316484809E-13</v>
      </c>
      <c r="FF161" s="18">
        <f>FE161*VLOOKUP('Données projet'!$B$16,Paramètres!$A$1:$I$89,3,0)*VLOOKUP('Données projet'!$B$16,Paramètres!$A$1:$I$89,5,0)</f>
        <v>2.9795046430081134E-13</v>
      </c>
      <c r="FG161" s="14">
        <f t="shared" si="182"/>
        <v>3.9419014464513778E-12</v>
      </c>
      <c r="FH161" s="22">
        <f t="shared" si="183"/>
        <v>7.384408744560063E-12</v>
      </c>
      <c r="FI161" s="60">
        <f t="shared" si="131"/>
        <v>287.56052422643938</v>
      </c>
      <c r="FJ161" s="60">
        <f ca="1">AVERAGE(OFFSET($FI$3,0,0,'Données projet'!$E$16+1,1))-AVERAGE(OFFSET($H$3,0,0,'Données projet'!$E$16+1,1))</f>
        <v>363.28611056308665</v>
      </c>
      <c r="FK161" s="60">
        <f t="shared" si="156"/>
        <v>389.43647559455974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-9.6633812063373625E-13</v>
      </c>
      <c r="GA161" s="18">
        <f>FZ161*VLOOKUP('Données projet'!$B$17,Paramètres!$A$1:$I$89,3,0)*VLOOKUP('Données projet'!$B$17,Paramètres!$A$1:$I$89,5,0)</f>
        <v>-1.0401663530501537E-12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542.90832990875208</v>
      </c>
      <c r="GF161" s="60">
        <f t="shared" si="158"/>
        <v>304.94365539329362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2.7134774427395314E-13</v>
      </c>
      <c r="P162" s="14">
        <f t="shared" si="141"/>
        <v>3.6292411711343559E-12</v>
      </c>
      <c r="Q162" s="22">
        <f t="shared" si="162"/>
        <v>6.7935256943361388E-12</v>
      </c>
      <c r="R162" s="60">
        <f t="shared" si="109"/>
        <v>287.66066955837579</v>
      </c>
      <c r="S162" s="60">
        <f ca="1">AVERAGE(OFFSET($R$3,0,0,'Données projet'!$E$9+1,1))-AVERAGE(OFFSET($H$3,0,0,'Données projet'!$E$9+1,1))</f>
        <v>336.25341821407534</v>
      </c>
      <c r="T162" s="60">
        <f t="shared" si="142"/>
        <v>360.3246221345039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516.30971934066179</v>
      </c>
      <c r="AO162" s="60">
        <f t="shared" si="144"/>
        <v>290.84286505723571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0">
        <f t="shared" si="116"/>
        <v>287.66066955837579</v>
      </c>
      <c r="BI162" s="60">
        <f ca="1">AVERAGE(OFFSET($BH$3,0,0,'Données projet'!$E$11+1,1))-AVERAGE(OFFSET($H$3,0,0,'Données projet'!$E$11+1,1))</f>
        <v>336.25341821407534</v>
      </c>
      <c r="BJ162" s="60">
        <f t="shared" si="146"/>
        <v>360.3246221345039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1.0818439477588981E-13</v>
      </c>
      <c r="CA162" s="14">
        <f t="shared" si="170"/>
        <v>1.6104228458716316E-12</v>
      </c>
      <c r="CB162" s="22">
        <f t="shared" si="171"/>
        <v>2.9932409441277661E-12</v>
      </c>
      <c r="CC162" s="60">
        <f t="shared" si="119"/>
        <v>287.66066955837198</v>
      </c>
      <c r="CD162" s="60">
        <f ca="1">AVERAGE(OFFSET($CC$3,0,0,'Données projet'!$E$12+1,1))-AVERAGE(OFFSET($H$3,0,0,'Données projet'!$E$12+1,1))</f>
        <v>398.29746143975166</v>
      </c>
      <c r="CE162" s="60">
        <f t="shared" si="148"/>
        <v>300.63705521148802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-9.3464223027694966E-13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496.33873798282525</v>
      </c>
      <c r="CZ162" s="60">
        <f t="shared" si="150"/>
        <v>280.25465074992246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8.8675733422860506E-14</v>
      </c>
      <c r="DQ162" s="14">
        <f t="shared" si="176"/>
        <v>1.3509285393066301E-12</v>
      </c>
      <c r="DR162" s="22">
        <f t="shared" si="177"/>
        <v>2.5073107750038623E-12</v>
      </c>
      <c r="DS162" s="60">
        <f t="shared" si="125"/>
        <v>287.66066955837147</v>
      </c>
      <c r="DT162" s="60">
        <f ca="1">AVERAGE(OFFSET($DS$3,0,0,'Données projet'!$E$14+1,1))-AVERAGE(OFFSET($H$3,0,0,'Données projet'!$E$14+1,1))</f>
        <v>312.59632808777332</v>
      </c>
      <c r="DU162" s="60">
        <f t="shared" si="152"/>
        <v>302.59481222418219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1.7053025658242404E-13</v>
      </c>
      <c r="EK162" s="18">
        <f>EJ162*VLOOKUP('Données projet'!$B$15,Paramètres!$A$1:$I$89,3,0)*VLOOKUP('Données projet'!$B$15,Paramètres!$A$1:$I$89,5,0)</f>
        <v>1.1439169611549005E-13</v>
      </c>
      <c r="EL162" s="14">
        <f t="shared" si="179"/>
        <v>1.6918016515029816E-12</v>
      </c>
      <c r="EM162" s="22">
        <f t="shared" si="180"/>
        <v>3.1457867471021712E-12</v>
      </c>
      <c r="EN162" s="60">
        <f t="shared" si="128"/>
        <v>287.66066955837209</v>
      </c>
      <c r="EO162" s="60">
        <f ca="1">AVERAGE(OFFSET($EN$3,0,0,'Données projet'!$E$15+1,1))-AVERAGE(OFFSET($H$3,0,0,'Données projet'!$E$15+1,1))</f>
        <v>344.62096650402731</v>
      </c>
      <c r="EP162" s="60">
        <f t="shared" si="154"/>
        <v>277.30931495079346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3.4106051316484809E-13</v>
      </c>
      <c r="FF162" s="18">
        <f>FE162*VLOOKUP('Données projet'!$B$16,Paramètres!$A$1:$I$89,3,0)*VLOOKUP('Données projet'!$B$16,Paramètres!$A$1:$I$89,5,0)</f>
        <v>2.9795046430081134E-13</v>
      </c>
      <c r="FG162" s="14">
        <f t="shared" si="182"/>
        <v>3.9419014464513778E-12</v>
      </c>
      <c r="FH162" s="22">
        <f t="shared" si="183"/>
        <v>7.384408744560063E-12</v>
      </c>
      <c r="FI162" s="60">
        <f t="shared" si="131"/>
        <v>287.66066955837636</v>
      </c>
      <c r="FJ162" s="60">
        <f ca="1">AVERAGE(OFFSET($FI$3,0,0,'Données projet'!$E$16+1,1))-AVERAGE(OFFSET($H$3,0,0,'Données projet'!$E$16+1,1))</f>
        <v>363.28611056308665</v>
      </c>
      <c r="FK162" s="60">
        <f t="shared" si="156"/>
        <v>389.43647559455974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-9.6633812063373625E-13</v>
      </c>
      <c r="GA162" s="18">
        <f>FZ162*VLOOKUP('Données projet'!$B$17,Paramètres!$A$1:$I$89,3,0)*VLOOKUP('Données projet'!$B$17,Paramètres!$A$1:$I$89,5,0)</f>
        <v>-1.0401663530501537E-12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542.90832990875208</v>
      </c>
      <c r="GF162" s="60">
        <f t="shared" si="158"/>
        <v>304.94365539329362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2.7134774427395314E-13</v>
      </c>
      <c r="P163" s="14">
        <f t="shared" si="141"/>
        <v>3.6292411711343559E-12</v>
      </c>
      <c r="Q163" s="22">
        <f t="shared" si="162"/>
        <v>6.7935256943361388E-12</v>
      </c>
      <c r="R163" s="60">
        <f t="shared" si="109"/>
        <v>287.75907759269518</v>
      </c>
      <c r="S163" s="60">
        <f ca="1">AVERAGE(OFFSET($R$3,0,0,'Données projet'!$E$9+1,1))-AVERAGE(OFFSET($H$3,0,0,'Données projet'!$E$9+1,1))</f>
        <v>336.25341821407534</v>
      </c>
      <c r="T163" s="60">
        <f t="shared" si="142"/>
        <v>360.3246221345039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516.30971934066179</v>
      </c>
      <c r="AO163" s="60">
        <f t="shared" si="144"/>
        <v>290.84286505723571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0">
        <f t="shared" si="116"/>
        <v>287.75907759269518</v>
      </c>
      <c r="BI163" s="60">
        <f ca="1">AVERAGE(OFFSET($BH$3,0,0,'Données projet'!$E$11+1,1))-AVERAGE(OFFSET($H$3,0,0,'Données projet'!$E$11+1,1))</f>
        <v>336.25341821407534</v>
      </c>
      <c r="BJ163" s="60">
        <f t="shared" si="146"/>
        <v>360.3246221345039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1.0818439477588981E-13</v>
      </c>
      <c r="CA163" s="14">
        <f t="shared" si="170"/>
        <v>1.6104228458716316E-12</v>
      </c>
      <c r="CB163" s="22">
        <f t="shared" si="171"/>
        <v>2.9932409441277661E-12</v>
      </c>
      <c r="CC163" s="60">
        <f t="shared" si="119"/>
        <v>287.75907759269137</v>
      </c>
      <c r="CD163" s="60">
        <f ca="1">AVERAGE(OFFSET($CC$3,0,0,'Données projet'!$E$12+1,1))-AVERAGE(OFFSET($H$3,0,0,'Données projet'!$E$12+1,1))</f>
        <v>398.29746143975166</v>
      </c>
      <c r="CE163" s="60">
        <f t="shared" si="148"/>
        <v>300.63705521148802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-9.3464223027694966E-13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496.33873798282525</v>
      </c>
      <c r="CZ163" s="60">
        <f t="shared" si="150"/>
        <v>280.25465074992246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8.8675733422860506E-14</v>
      </c>
      <c r="DQ163" s="14">
        <f t="shared" si="176"/>
        <v>1.3509285393066301E-12</v>
      </c>
      <c r="DR163" s="22">
        <f t="shared" si="177"/>
        <v>2.5073107750038623E-12</v>
      </c>
      <c r="DS163" s="60">
        <f t="shared" si="125"/>
        <v>287.75907759269086</v>
      </c>
      <c r="DT163" s="60">
        <f ca="1">AVERAGE(OFFSET($DS$3,0,0,'Données projet'!$E$14+1,1))-AVERAGE(OFFSET($H$3,0,0,'Données projet'!$E$14+1,1))</f>
        <v>312.59632808777332</v>
      </c>
      <c r="DU163" s="60">
        <f t="shared" si="152"/>
        <v>302.59481222418219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1.7053025658242404E-13</v>
      </c>
      <c r="EK163" s="18">
        <f>EJ163*VLOOKUP('Données projet'!$B$15,Paramètres!$A$1:$I$89,3,0)*VLOOKUP('Données projet'!$B$15,Paramètres!$A$1:$I$89,5,0)</f>
        <v>1.1439169611549005E-13</v>
      </c>
      <c r="EL163" s="14">
        <f t="shared" si="179"/>
        <v>1.6918016515029816E-12</v>
      </c>
      <c r="EM163" s="22">
        <f t="shared" si="180"/>
        <v>3.1457867471021712E-12</v>
      </c>
      <c r="EN163" s="60">
        <f t="shared" si="128"/>
        <v>287.75907759269148</v>
      </c>
      <c r="EO163" s="60">
        <f ca="1">AVERAGE(OFFSET($EN$3,0,0,'Données projet'!$E$15+1,1))-AVERAGE(OFFSET($H$3,0,0,'Données projet'!$E$15+1,1))</f>
        <v>344.62096650402731</v>
      </c>
      <c r="EP163" s="60">
        <f t="shared" si="154"/>
        <v>277.30931495079346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3.4106051316484809E-13</v>
      </c>
      <c r="FF163" s="18">
        <f>FE163*VLOOKUP('Données projet'!$B$16,Paramètres!$A$1:$I$89,3,0)*VLOOKUP('Données projet'!$B$16,Paramètres!$A$1:$I$89,5,0)</f>
        <v>2.9795046430081134E-13</v>
      </c>
      <c r="FG163" s="14">
        <f t="shared" si="182"/>
        <v>3.9419014464513778E-12</v>
      </c>
      <c r="FH163" s="22">
        <f t="shared" si="183"/>
        <v>7.384408744560063E-12</v>
      </c>
      <c r="FI163" s="60">
        <f t="shared" si="131"/>
        <v>287.75907759269575</v>
      </c>
      <c r="FJ163" s="60">
        <f ca="1">AVERAGE(OFFSET($FI$3,0,0,'Données projet'!$E$16+1,1))-AVERAGE(OFFSET($H$3,0,0,'Données projet'!$E$16+1,1))</f>
        <v>363.28611056308665</v>
      </c>
      <c r="FK163" s="60">
        <f t="shared" si="156"/>
        <v>389.43647559455974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-9.6633812063373625E-13</v>
      </c>
      <c r="GA163" s="18">
        <f>FZ163*VLOOKUP('Données projet'!$B$17,Paramètres!$A$1:$I$89,3,0)*VLOOKUP('Données projet'!$B$17,Paramètres!$A$1:$I$89,5,0)</f>
        <v>-1.0401663530501537E-12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542.90832990875208</v>
      </c>
      <c r="GF163" s="60">
        <f t="shared" si="158"/>
        <v>304.94365539329362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2.7134774427395314E-13</v>
      </c>
      <c r="P164" s="14">
        <f t="shared" si="141"/>
        <v>3.6292411711343559E-12</v>
      </c>
      <c r="Q164" s="22">
        <f t="shared" si="162"/>
        <v>6.7935256943361388E-12</v>
      </c>
      <c r="R164" s="60">
        <f t="shared" si="109"/>
        <v>287.85577846762652</v>
      </c>
      <c r="S164" s="60">
        <f ca="1">AVERAGE(OFFSET($R$3,0,0,'Données projet'!$E$9+1,1))-AVERAGE(OFFSET($H$3,0,0,'Données projet'!$E$9+1,1))</f>
        <v>336.25341821407534</v>
      </c>
      <c r="T164" s="60">
        <f t="shared" si="142"/>
        <v>360.3246221345039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516.30971934066179</v>
      </c>
      <c r="AO164" s="60">
        <f t="shared" si="144"/>
        <v>290.84286505723571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0">
        <f t="shared" si="116"/>
        <v>287.85577846762652</v>
      </c>
      <c r="BI164" s="60">
        <f ca="1">AVERAGE(OFFSET($BH$3,0,0,'Données projet'!$E$11+1,1))-AVERAGE(OFFSET($H$3,0,0,'Données projet'!$E$11+1,1))</f>
        <v>336.25341821407534</v>
      </c>
      <c r="BJ164" s="60">
        <f t="shared" si="146"/>
        <v>360.3246221345039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1.0818439477588981E-13</v>
      </c>
      <c r="CA164" s="14">
        <f t="shared" si="170"/>
        <v>1.6104228458716316E-12</v>
      </c>
      <c r="CB164" s="22">
        <f t="shared" si="171"/>
        <v>2.9932409441277661E-12</v>
      </c>
      <c r="CC164" s="60">
        <f t="shared" si="119"/>
        <v>287.85577846762271</v>
      </c>
      <c r="CD164" s="60">
        <f ca="1">AVERAGE(OFFSET($CC$3,0,0,'Données projet'!$E$12+1,1))-AVERAGE(OFFSET($H$3,0,0,'Données projet'!$E$12+1,1))</f>
        <v>398.29746143975166</v>
      </c>
      <c r="CE164" s="60">
        <f t="shared" si="148"/>
        <v>300.63705521148802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-9.3464223027694966E-13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496.33873798282525</v>
      </c>
      <c r="CZ164" s="60">
        <f t="shared" si="150"/>
        <v>280.25465074992246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8.8675733422860506E-14</v>
      </c>
      <c r="DQ164" s="14">
        <f t="shared" si="176"/>
        <v>1.3509285393066301E-12</v>
      </c>
      <c r="DR164" s="22">
        <f t="shared" si="177"/>
        <v>2.5073107750038623E-12</v>
      </c>
      <c r="DS164" s="60">
        <f t="shared" si="125"/>
        <v>287.8557784676222</v>
      </c>
      <c r="DT164" s="60">
        <f ca="1">AVERAGE(OFFSET($DS$3,0,0,'Données projet'!$E$14+1,1))-AVERAGE(OFFSET($H$3,0,0,'Données projet'!$E$14+1,1))</f>
        <v>312.59632808777332</v>
      </c>
      <c r="DU164" s="60">
        <f t="shared" si="152"/>
        <v>302.59481222418219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1.7053025658242404E-13</v>
      </c>
      <c r="EK164" s="18">
        <f>EJ164*VLOOKUP('Données projet'!$B$15,Paramètres!$A$1:$I$89,3,0)*VLOOKUP('Données projet'!$B$15,Paramètres!$A$1:$I$89,5,0)</f>
        <v>1.1439169611549005E-13</v>
      </c>
      <c r="EL164" s="14">
        <f t="shared" si="179"/>
        <v>1.6918016515029816E-12</v>
      </c>
      <c r="EM164" s="22">
        <f t="shared" si="180"/>
        <v>3.1457867471021712E-12</v>
      </c>
      <c r="EN164" s="60">
        <f t="shared" si="128"/>
        <v>287.85577846762283</v>
      </c>
      <c r="EO164" s="60">
        <f ca="1">AVERAGE(OFFSET($EN$3,0,0,'Données projet'!$E$15+1,1))-AVERAGE(OFFSET($H$3,0,0,'Données projet'!$E$15+1,1))</f>
        <v>344.62096650402731</v>
      </c>
      <c r="EP164" s="60">
        <f t="shared" si="154"/>
        <v>277.30931495079346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3.4106051316484809E-13</v>
      </c>
      <c r="FF164" s="18">
        <f>FE164*VLOOKUP('Données projet'!$B$16,Paramètres!$A$1:$I$89,3,0)*VLOOKUP('Données projet'!$B$16,Paramètres!$A$1:$I$89,5,0)</f>
        <v>2.9795046430081134E-13</v>
      </c>
      <c r="FG164" s="14">
        <f t="shared" si="182"/>
        <v>3.9419014464513778E-12</v>
      </c>
      <c r="FH164" s="22">
        <f t="shared" si="183"/>
        <v>7.384408744560063E-12</v>
      </c>
      <c r="FI164" s="60">
        <f t="shared" si="131"/>
        <v>287.85577846762709</v>
      </c>
      <c r="FJ164" s="60">
        <f ca="1">AVERAGE(OFFSET($FI$3,0,0,'Données projet'!$E$16+1,1))-AVERAGE(OFFSET($H$3,0,0,'Données projet'!$E$16+1,1))</f>
        <v>363.28611056308665</v>
      </c>
      <c r="FK164" s="60">
        <f t="shared" si="156"/>
        <v>389.43647559455974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-9.6633812063373625E-13</v>
      </c>
      <c r="GA164" s="18">
        <f>FZ164*VLOOKUP('Données projet'!$B$17,Paramètres!$A$1:$I$89,3,0)*VLOOKUP('Données projet'!$B$17,Paramètres!$A$1:$I$89,5,0)</f>
        <v>-1.0401663530501537E-12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542.90832990875208</v>
      </c>
      <c r="GF164" s="60">
        <f t="shared" si="158"/>
        <v>304.94365539329362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2.7134774427395314E-13</v>
      </c>
      <c r="P165" s="14">
        <f t="shared" si="141"/>
        <v>3.6292411711343559E-12</v>
      </c>
      <c r="Q165" s="22">
        <f t="shared" si="162"/>
        <v>6.7935256943361388E-12</v>
      </c>
      <c r="R165" s="60">
        <f t="shared" si="109"/>
        <v>287.95080179856853</v>
      </c>
      <c r="S165" s="60">
        <f ca="1">AVERAGE(OFFSET($R$3,0,0,'Données projet'!$E$9+1,1))-AVERAGE(OFFSET($H$3,0,0,'Données projet'!$E$9+1,1))</f>
        <v>336.25341821407534</v>
      </c>
      <c r="T165" s="60">
        <f t="shared" si="142"/>
        <v>360.3246221345039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516.30971934066179</v>
      </c>
      <c r="AO165" s="60">
        <f t="shared" si="144"/>
        <v>290.84286505723571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0">
        <f t="shared" si="116"/>
        <v>287.95080179856853</v>
      </c>
      <c r="BI165" s="60">
        <f ca="1">AVERAGE(OFFSET($BH$3,0,0,'Données projet'!$E$11+1,1))-AVERAGE(OFFSET($H$3,0,0,'Données projet'!$E$11+1,1))</f>
        <v>336.25341821407534</v>
      </c>
      <c r="BJ165" s="60">
        <f t="shared" si="146"/>
        <v>360.3246221345039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1.0818439477588981E-13</v>
      </c>
      <c r="CA165" s="14">
        <f t="shared" si="170"/>
        <v>1.6104228458716316E-12</v>
      </c>
      <c r="CB165" s="22">
        <f t="shared" si="171"/>
        <v>2.9932409441277661E-12</v>
      </c>
      <c r="CC165" s="60">
        <f t="shared" si="119"/>
        <v>287.95080179856473</v>
      </c>
      <c r="CD165" s="60">
        <f ca="1">AVERAGE(OFFSET($CC$3,0,0,'Données projet'!$E$12+1,1))-AVERAGE(OFFSET($H$3,0,0,'Données projet'!$E$12+1,1))</f>
        <v>398.29746143975166</v>
      </c>
      <c r="CE165" s="60">
        <f t="shared" si="148"/>
        <v>300.63705521148802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-9.3464223027694966E-13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496.33873798282525</v>
      </c>
      <c r="CZ165" s="60">
        <f t="shared" si="150"/>
        <v>280.25465074992246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8.8675733422860506E-14</v>
      </c>
      <c r="DQ165" s="14">
        <f t="shared" si="176"/>
        <v>1.3509285393066301E-12</v>
      </c>
      <c r="DR165" s="22">
        <f t="shared" si="177"/>
        <v>2.5073107750038623E-12</v>
      </c>
      <c r="DS165" s="60">
        <f t="shared" si="125"/>
        <v>287.95080179856421</v>
      </c>
      <c r="DT165" s="60">
        <f ca="1">AVERAGE(OFFSET($DS$3,0,0,'Données projet'!$E$14+1,1))-AVERAGE(OFFSET($H$3,0,0,'Données projet'!$E$14+1,1))</f>
        <v>312.59632808777332</v>
      </c>
      <c r="DU165" s="60">
        <f t="shared" si="152"/>
        <v>302.59481222418219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1.7053025658242404E-13</v>
      </c>
      <c r="EK165" s="18">
        <f>EJ165*VLOOKUP('Données projet'!$B$15,Paramètres!$A$1:$I$89,3,0)*VLOOKUP('Données projet'!$B$15,Paramètres!$A$1:$I$89,5,0)</f>
        <v>1.1439169611549005E-13</v>
      </c>
      <c r="EL165" s="14">
        <f t="shared" si="179"/>
        <v>1.6918016515029816E-12</v>
      </c>
      <c r="EM165" s="22">
        <f t="shared" si="180"/>
        <v>3.1457867471021712E-12</v>
      </c>
      <c r="EN165" s="60">
        <f t="shared" si="128"/>
        <v>287.95080179856484</v>
      </c>
      <c r="EO165" s="60">
        <f ca="1">AVERAGE(OFFSET($EN$3,0,0,'Données projet'!$E$15+1,1))-AVERAGE(OFFSET($H$3,0,0,'Données projet'!$E$15+1,1))</f>
        <v>344.62096650402731</v>
      </c>
      <c r="EP165" s="60">
        <f t="shared" si="154"/>
        <v>277.30931495079346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3.4106051316484809E-13</v>
      </c>
      <c r="FF165" s="18">
        <f>FE165*VLOOKUP('Données projet'!$B$16,Paramètres!$A$1:$I$89,3,0)*VLOOKUP('Données projet'!$B$16,Paramètres!$A$1:$I$89,5,0)</f>
        <v>2.9795046430081134E-13</v>
      </c>
      <c r="FG165" s="14">
        <f t="shared" si="182"/>
        <v>3.9419014464513778E-12</v>
      </c>
      <c r="FH165" s="22">
        <f t="shared" si="183"/>
        <v>7.384408744560063E-12</v>
      </c>
      <c r="FI165" s="60">
        <f t="shared" si="131"/>
        <v>287.9508017985691</v>
      </c>
      <c r="FJ165" s="60">
        <f ca="1">AVERAGE(OFFSET($FI$3,0,0,'Données projet'!$E$16+1,1))-AVERAGE(OFFSET($H$3,0,0,'Données projet'!$E$16+1,1))</f>
        <v>363.28611056308665</v>
      </c>
      <c r="FK165" s="60">
        <f t="shared" si="156"/>
        <v>389.43647559455974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-9.6633812063373625E-13</v>
      </c>
      <c r="GA165" s="18">
        <f>FZ165*VLOOKUP('Données projet'!$B$17,Paramètres!$A$1:$I$89,3,0)*VLOOKUP('Données projet'!$B$17,Paramètres!$A$1:$I$89,5,0)</f>
        <v>-1.0401663530501537E-12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542.90832990875208</v>
      </c>
      <c r="GF165" s="60">
        <f t="shared" si="158"/>
        <v>304.94365539329362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2.7134774427395314E-13</v>
      </c>
      <c r="P166" s="14">
        <f t="shared" si="141"/>
        <v>3.6292411711343559E-12</v>
      </c>
      <c r="Q166" s="22">
        <f t="shared" si="162"/>
        <v>6.7935256943361388E-12</v>
      </c>
      <c r="R166" s="60">
        <f t="shared" si="109"/>
        <v>288.04417668715905</v>
      </c>
      <c r="S166" s="60">
        <f ca="1">AVERAGE(OFFSET($R$3,0,0,'Données projet'!$E$9+1,1))-AVERAGE(OFFSET($H$3,0,0,'Données projet'!$E$9+1,1))</f>
        <v>336.25341821407534</v>
      </c>
      <c r="T166" s="60">
        <f t="shared" si="142"/>
        <v>360.3246221345039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516.30971934066179</v>
      </c>
      <c r="AO166" s="60">
        <f t="shared" si="144"/>
        <v>290.84286505723571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0">
        <f t="shared" si="116"/>
        <v>288.04417668715905</v>
      </c>
      <c r="BI166" s="60">
        <f ca="1">AVERAGE(OFFSET($BH$3,0,0,'Données projet'!$E$11+1,1))-AVERAGE(OFFSET($H$3,0,0,'Données projet'!$E$11+1,1))</f>
        <v>336.25341821407534</v>
      </c>
      <c r="BJ166" s="60">
        <f t="shared" si="146"/>
        <v>360.3246221345039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1.0818439477588981E-13</v>
      </c>
      <c r="CA166" s="14">
        <f t="shared" si="170"/>
        <v>1.6104228458716316E-12</v>
      </c>
      <c r="CB166" s="22">
        <f t="shared" si="171"/>
        <v>2.9932409441277661E-12</v>
      </c>
      <c r="CC166" s="60">
        <f t="shared" si="119"/>
        <v>288.04417668715524</v>
      </c>
      <c r="CD166" s="60">
        <f ca="1">AVERAGE(OFFSET($CC$3,0,0,'Données projet'!$E$12+1,1))-AVERAGE(OFFSET($H$3,0,0,'Données projet'!$E$12+1,1))</f>
        <v>398.29746143975166</v>
      </c>
      <c r="CE166" s="60">
        <f t="shared" si="148"/>
        <v>300.63705521148802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-9.3464223027694966E-13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496.33873798282525</v>
      </c>
      <c r="CZ166" s="60">
        <f t="shared" si="150"/>
        <v>280.25465074992246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8.8675733422860506E-14</v>
      </c>
      <c r="DQ166" s="14">
        <f t="shared" si="176"/>
        <v>1.3509285393066301E-12</v>
      </c>
      <c r="DR166" s="22">
        <f t="shared" si="177"/>
        <v>2.5073107750038623E-12</v>
      </c>
      <c r="DS166" s="60">
        <f t="shared" si="125"/>
        <v>288.04417668715473</v>
      </c>
      <c r="DT166" s="60">
        <f ca="1">AVERAGE(OFFSET($DS$3,0,0,'Données projet'!$E$14+1,1))-AVERAGE(OFFSET($H$3,0,0,'Données projet'!$E$14+1,1))</f>
        <v>312.59632808777332</v>
      </c>
      <c r="DU166" s="60">
        <f t="shared" si="152"/>
        <v>302.59481222418219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1.7053025658242404E-13</v>
      </c>
      <c r="EK166" s="18">
        <f>EJ166*VLOOKUP('Données projet'!$B$15,Paramètres!$A$1:$I$89,3,0)*VLOOKUP('Données projet'!$B$15,Paramètres!$A$1:$I$89,5,0)</f>
        <v>1.1439169611549005E-13</v>
      </c>
      <c r="EL166" s="14">
        <f t="shared" si="179"/>
        <v>1.6918016515029816E-12</v>
      </c>
      <c r="EM166" s="22">
        <f t="shared" si="180"/>
        <v>3.1457867471021712E-12</v>
      </c>
      <c r="EN166" s="60">
        <f t="shared" si="128"/>
        <v>288.04417668715536</v>
      </c>
      <c r="EO166" s="60">
        <f ca="1">AVERAGE(OFFSET($EN$3,0,0,'Données projet'!$E$15+1,1))-AVERAGE(OFFSET($H$3,0,0,'Données projet'!$E$15+1,1))</f>
        <v>344.62096650402731</v>
      </c>
      <c r="EP166" s="60">
        <f t="shared" si="154"/>
        <v>277.30931495079346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3.4106051316484809E-13</v>
      </c>
      <c r="FF166" s="18">
        <f>FE166*VLOOKUP('Données projet'!$B$16,Paramètres!$A$1:$I$89,3,0)*VLOOKUP('Données projet'!$B$16,Paramètres!$A$1:$I$89,5,0)</f>
        <v>2.9795046430081134E-13</v>
      </c>
      <c r="FG166" s="14">
        <f t="shared" si="182"/>
        <v>3.9419014464513778E-12</v>
      </c>
      <c r="FH166" s="22">
        <f t="shared" si="183"/>
        <v>7.384408744560063E-12</v>
      </c>
      <c r="FI166" s="60">
        <f t="shared" si="131"/>
        <v>288.04417668715962</v>
      </c>
      <c r="FJ166" s="60">
        <f ca="1">AVERAGE(OFFSET($FI$3,0,0,'Données projet'!$E$16+1,1))-AVERAGE(OFFSET($H$3,0,0,'Données projet'!$E$16+1,1))</f>
        <v>363.28611056308665</v>
      </c>
      <c r="FK166" s="60">
        <f t="shared" si="156"/>
        <v>389.43647559455974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-9.6633812063373625E-13</v>
      </c>
      <c r="GA166" s="18">
        <f>FZ166*VLOOKUP('Données projet'!$B$17,Paramètres!$A$1:$I$89,3,0)*VLOOKUP('Données projet'!$B$17,Paramètres!$A$1:$I$89,5,0)</f>
        <v>-1.0401663530501537E-12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542.90832990875208</v>
      </c>
      <c r="GF166" s="60">
        <f t="shared" si="158"/>
        <v>304.94365539329362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2.7134774427395314E-13</v>
      </c>
      <c r="P167" s="14">
        <f t="shared" si="141"/>
        <v>3.6292411711343559E-12</v>
      </c>
      <c r="Q167" s="22">
        <f t="shared" si="162"/>
        <v>6.7935256943361388E-12</v>
      </c>
      <c r="R167" s="60">
        <f t="shared" si="109"/>
        <v>288.13593173018751</v>
      </c>
      <c r="S167" s="60">
        <f ca="1">AVERAGE(OFFSET($R$3,0,0,'Données projet'!$E$9+1,1))-AVERAGE(OFFSET($H$3,0,0,'Données projet'!$E$9+1,1))</f>
        <v>336.25341821407534</v>
      </c>
      <c r="T167" s="60">
        <f t="shared" si="142"/>
        <v>360.3246221345039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516.30971934066179</v>
      </c>
      <c r="AO167" s="60">
        <f t="shared" si="144"/>
        <v>290.84286505723571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0">
        <f t="shared" si="116"/>
        <v>288.13593173018751</v>
      </c>
      <c r="BI167" s="60">
        <f ca="1">AVERAGE(OFFSET($BH$3,0,0,'Données projet'!$E$11+1,1))-AVERAGE(OFFSET($H$3,0,0,'Données projet'!$E$11+1,1))</f>
        <v>336.25341821407534</v>
      </c>
      <c r="BJ167" s="60">
        <f t="shared" si="146"/>
        <v>360.3246221345039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1.0818439477588981E-13</v>
      </c>
      <c r="CA167" s="14">
        <f t="shared" si="170"/>
        <v>1.6104228458716316E-12</v>
      </c>
      <c r="CB167" s="22">
        <f t="shared" si="171"/>
        <v>2.9932409441277661E-12</v>
      </c>
      <c r="CC167" s="60">
        <f t="shared" si="119"/>
        <v>288.1359317301837</v>
      </c>
      <c r="CD167" s="60">
        <f ca="1">AVERAGE(OFFSET($CC$3,0,0,'Données projet'!$E$12+1,1))-AVERAGE(OFFSET($H$3,0,0,'Données projet'!$E$12+1,1))</f>
        <v>398.29746143975166</v>
      </c>
      <c r="CE167" s="60">
        <f t="shared" si="148"/>
        <v>300.63705521148802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-9.3464223027694966E-13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496.33873798282525</v>
      </c>
      <c r="CZ167" s="60">
        <f t="shared" si="150"/>
        <v>280.25465074992246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8.8675733422860506E-14</v>
      </c>
      <c r="DQ167" s="14">
        <f t="shared" si="176"/>
        <v>1.3509285393066301E-12</v>
      </c>
      <c r="DR167" s="22">
        <f t="shared" si="177"/>
        <v>2.5073107750038623E-12</v>
      </c>
      <c r="DS167" s="60">
        <f t="shared" si="125"/>
        <v>288.13593173018319</v>
      </c>
      <c r="DT167" s="60">
        <f ca="1">AVERAGE(OFFSET($DS$3,0,0,'Données projet'!$E$14+1,1))-AVERAGE(OFFSET($H$3,0,0,'Données projet'!$E$14+1,1))</f>
        <v>312.59632808777332</v>
      </c>
      <c r="DU167" s="60">
        <f t="shared" si="152"/>
        <v>302.59481222418219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1.7053025658242404E-13</v>
      </c>
      <c r="EK167" s="18">
        <f>EJ167*VLOOKUP('Données projet'!$B$15,Paramètres!$A$1:$I$89,3,0)*VLOOKUP('Données projet'!$B$15,Paramètres!$A$1:$I$89,5,0)</f>
        <v>1.1439169611549005E-13</v>
      </c>
      <c r="EL167" s="14">
        <f t="shared" si="179"/>
        <v>1.6918016515029816E-12</v>
      </c>
      <c r="EM167" s="22">
        <f t="shared" si="180"/>
        <v>3.1457867471021712E-12</v>
      </c>
      <c r="EN167" s="60">
        <f t="shared" si="128"/>
        <v>288.13593173018381</v>
      </c>
      <c r="EO167" s="60">
        <f ca="1">AVERAGE(OFFSET($EN$3,0,0,'Données projet'!$E$15+1,1))-AVERAGE(OFFSET($H$3,0,0,'Données projet'!$E$15+1,1))</f>
        <v>344.62096650402731</v>
      </c>
      <c r="EP167" s="60">
        <f t="shared" si="154"/>
        <v>277.30931495079346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3.4106051316484809E-13</v>
      </c>
      <c r="FF167" s="18">
        <f>FE167*VLOOKUP('Données projet'!$B$16,Paramètres!$A$1:$I$89,3,0)*VLOOKUP('Données projet'!$B$16,Paramètres!$A$1:$I$89,5,0)</f>
        <v>2.9795046430081134E-13</v>
      </c>
      <c r="FG167" s="14">
        <f t="shared" si="182"/>
        <v>3.9419014464513778E-12</v>
      </c>
      <c r="FH167" s="22">
        <f t="shared" si="183"/>
        <v>7.384408744560063E-12</v>
      </c>
      <c r="FI167" s="60">
        <f t="shared" si="131"/>
        <v>288.13593173018808</v>
      </c>
      <c r="FJ167" s="60">
        <f ca="1">AVERAGE(OFFSET($FI$3,0,0,'Données projet'!$E$16+1,1))-AVERAGE(OFFSET($H$3,0,0,'Données projet'!$E$16+1,1))</f>
        <v>363.28611056308665</v>
      </c>
      <c r="FK167" s="60">
        <f t="shared" si="156"/>
        <v>389.43647559455974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-9.6633812063373625E-13</v>
      </c>
      <c r="GA167" s="18">
        <f>FZ167*VLOOKUP('Données projet'!$B$17,Paramètres!$A$1:$I$89,3,0)*VLOOKUP('Données projet'!$B$17,Paramètres!$A$1:$I$89,5,0)</f>
        <v>-1.0401663530501537E-12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542.90832990875208</v>
      </c>
      <c r="GF167" s="60">
        <f t="shared" si="158"/>
        <v>304.94365539329362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2.7134774427395314E-13</v>
      </c>
      <c r="P168" s="14">
        <f t="shared" si="141"/>
        <v>3.6292411711343559E-12</v>
      </c>
      <c r="Q168" s="22">
        <f t="shared" si="162"/>
        <v>6.7935256943361388E-12</v>
      </c>
      <c r="R168" s="60">
        <f t="shared" si="109"/>
        <v>288.22609502835297</v>
      </c>
      <c r="S168" s="60">
        <f ca="1">AVERAGE(OFFSET($R$3,0,0,'Données projet'!$E$9+1,1))-AVERAGE(OFFSET($H$3,0,0,'Données projet'!$E$9+1,1))</f>
        <v>336.25341821407534</v>
      </c>
      <c r="T168" s="60">
        <f t="shared" si="142"/>
        <v>360.3246221345039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516.30971934066179</v>
      </c>
      <c r="AO168" s="60">
        <f t="shared" si="144"/>
        <v>290.84286505723571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0">
        <f t="shared" si="116"/>
        <v>288.22609502835297</v>
      </c>
      <c r="BI168" s="60">
        <f ca="1">AVERAGE(OFFSET($BH$3,0,0,'Données projet'!$E$11+1,1))-AVERAGE(OFFSET($H$3,0,0,'Données projet'!$E$11+1,1))</f>
        <v>336.25341821407534</v>
      </c>
      <c r="BJ168" s="60">
        <f t="shared" si="146"/>
        <v>360.3246221345039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1.0818439477588981E-13</v>
      </c>
      <c r="CA168" s="14">
        <f t="shared" si="170"/>
        <v>1.6104228458716316E-12</v>
      </c>
      <c r="CB168" s="22">
        <f t="shared" si="171"/>
        <v>2.9932409441277661E-12</v>
      </c>
      <c r="CC168" s="60">
        <f t="shared" si="119"/>
        <v>288.22609502834916</v>
      </c>
      <c r="CD168" s="60">
        <f ca="1">AVERAGE(OFFSET($CC$3,0,0,'Données projet'!$E$12+1,1))-AVERAGE(OFFSET($H$3,0,0,'Données projet'!$E$12+1,1))</f>
        <v>398.29746143975166</v>
      </c>
      <c r="CE168" s="60">
        <f t="shared" si="148"/>
        <v>300.63705521148802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-9.3464223027694966E-13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496.33873798282525</v>
      </c>
      <c r="CZ168" s="60">
        <f t="shared" si="150"/>
        <v>280.25465074992246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8.8675733422860506E-14</v>
      </c>
      <c r="DQ168" s="14">
        <f t="shared" si="176"/>
        <v>1.3509285393066301E-12</v>
      </c>
      <c r="DR168" s="22">
        <f t="shared" si="177"/>
        <v>2.5073107750038623E-12</v>
      </c>
      <c r="DS168" s="60">
        <f t="shared" si="125"/>
        <v>288.22609502834865</v>
      </c>
      <c r="DT168" s="60">
        <f ca="1">AVERAGE(OFFSET($DS$3,0,0,'Données projet'!$E$14+1,1))-AVERAGE(OFFSET($H$3,0,0,'Données projet'!$E$14+1,1))</f>
        <v>312.59632808777332</v>
      </c>
      <c r="DU168" s="60">
        <f t="shared" si="152"/>
        <v>302.59481222418219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1.7053025658242404E-13</v>
      </c>
      <c r="EK168" s="18">
        <f>EJ168*VLOOKUP('Données projet'!$B$15,Paramètres!$A$1:$I$89,3,0)*VLOOKUP('Données projet'!$B$15,Paramètres!$A$1:$I$89,5,0)</f>
        <v>1.1439169611549005E-13</v>
      </c>
      <c r="EL168" s="14">
        <f t="shared" si="179"/>
        <v>1.6918016515029816E-12</v>
      </c>
      <c r="EM168" s="22">
        <f t="shared" si="180"/>
        <v>3.1457867471021712E-12</v>
      </c>
      <c r="EN168" s="60">
        <f t="shared" si="128"/>
        <v>288.22609502834928</v>
      </c>
      <c r="EO168" s="60">
        <f ca="1">AVERAGE(OFFSET($EN$3,0,0,'Données projet'!$E$15+1,1))-AVERAGE(OFFSET($H$3,0,0,'Données projet'!$E$15+1,1))</f>
        <v>344.62096650402731</v>
      </c>
      <c r="EP168" s="60">
        <f t="shared" si="154"/>
        <v>277.30931495079346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3.4106051316484809E-13</v>
      </c>
      <c r="FF168" s="18">
        <f>FE168*VLOOKUP('Données projet'!$B$16,Paramètres!$A$1:$I$89,3,0)*VLOOKUP('Données projet'!$B$16,Paramètres!$A$1:$I$89,5,0)</f>
        <v>2.9795046430081134E-13</v>
      </c>
      <c r="FG168" s="14">
        <f t="shared" si="182"/>
        <v>3.9419014464513778E-12</v>
      </c>
      <c r="FH168" s="22">
        <f t="shared" si="183"/>
        <v>7.384408744560063E-12</v>
      </c>
      <c r="FI168" s="60">
        <f t="shared" si="131"/>
        <v>288.22609502835354</v>
      </c>
      <c r="FJ168" s="60">
        <f ca="1">AVERAGE(OFFSET($FI$3,0,0,'Données projet'!$E$16+1,1))-AVERAGE(OFFSET($H$3,0,0,'Données projet'!$E$16+1,1))</f>
        <v>363.28611056308665</v>
      </c>
      <c r="FK168" s="60">
        <f t="shared" si="156"/>
        <v>389.43647559455974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-9.6633812063373625E-13</v>
      </c>
      <c r="GA168" s="18">
        <f>FZ168*VLOOKUP('Données projet'!$B$17,Paramètres!$A$1:$I$89,3,0)*VLOOKUP('Données projet'!$B$17,Paramètres!$A$1:$I$89,5,0)</f>
        <v>-1.0401663530501537E-12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542.90832990875208</v>
      </c>
      <c r="GF168" s="60">
        <f t="shared" si="158"/>
        <v>304.94365539329362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2.7134774427395314E-13</v>
      </c>
      <c r="P169" s="14">
        <f t="shared" si="141"/>
        <v>3.6292411711343559E-12</v>
      </c>
      <c r="Q169" s="22">
        <f t="shared" si="162"/>
        <v>6.7935256943361388E-12</v>
      </c>
      <c r="R169" s="60">
        <f t="shared" si="109"/>
        <v>288.31469419487024</v>
      </c>
      <c r="S169" s="60">
        <f ca="1">AVERAGE(OFFSET($R$3,0,0,'Données projet'!$E$9+1,1))-AVERAGE(OFFSET($H$3,0,0,'Données projet'!$E$9+1,1))</f>
        <v>336.25341821407534</v>
      </c>
      <c r="T169" s="60">
        <f t="shared" si="142"/>
        <v>360.3246221345039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516.30971934066179</v>
      </c>
      <c r="AO169" s="60">
        <f t="shared" si="144"/>
        <v>290.84286505723571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0">
        <f t="shared" si="116"/>
        <v>288.31469419487024</v>
      </c>
      <c r="BI169" s="60">
        <f ca="1">AVERAGE(OFFSET($BH$3,0,0,'Données projet'!$E$11+1,1))-AVERAGE(OFFSET($H$3,0,0,'Données projet'!$E$11+1,1))</f>
        <v>336.25341821407534</v>
      </c>
      <c r="BJ169" s="60">
        <f t="shared" si="146"/>
        <v>360.3246221345039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1.0818439477588981E-13</v>
      </c>
      <c r="CA169" s="14">
        <f t="shared" si="170"/>
        <v>1.6104228458716316E-12</v>
      </c>
      <c r="CB169" s="22">
        <f t="shared" si="171"/>
        <v>2.9932409441277661E-12</v>
      </c>
      <c r="CC169" s="60">
        <f t="shared" si="119"/>
        <v>288.31469419486643</v>
      </c>
      <c r="CD169" s="60">
        <f ca="1">AVERAGE(OFFSET($CC$3,0,0,'Données projet'!$E$12+1,1))-AVERAGE(OFFSET($H$3,0,0,'Données projet'!$E$12+1,1))</f>
        <v>398.29746143975166</v>
      </c>
      <c r="CE169" s="60">
        <f t="shared" si="148"/>
        <v>300.63705521148802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-9.3464223027694966E-13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496.33873798282525</v>
      </c>
      <c r="CZ169" s="60">
        <f t="shared" si="150"/>
        <v>280.25465074992246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8.8675733422860506E-14</v>
      </c>
      <c r="DQ169" s="14">
        <f t="shared" si="176"/>
        <v>1.3509285393066301E-12</v>
      </c>
      <c r="DR169" s="22">
        <f t="shared" si="177"/>
        <v>2.5073107750038623E-12</v>
      </c>
      <c r="DS169" s="60">
        <f t="shared" si="125"/>
        <v>288.31469419486592</v>
      </c>
      <c r="DT169" s="60">
        <f ca="1">AVERAGE(OFFSET($DS$3,0,0,'Données projet'!$E$14+1,1))-AVERAGE(OFFSET($H$3,0,0,'Données projet'!$E$14+1,1))</f>
        <v>312.59632808777332</v>
      </c>
      <c r="DU169" s="60">
        <f t="shared" si="152"/>
        <v>302.59481222418219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1.7053025658242404E-13</v>
      </c>
      <c r="EK169" s="18">
        <f>EJ169*VLOOKUP('Données projet'!$B$15,Paramètres!$A$1:$I$89,3,0)*VLOOKUP('Données projet'!$B$15,Paramètres!$A$1:$I$89,5,0)</f>
        <v>1.1439169611549005E-13</v>
      </c>
      <c r="EL169" s="14">
        <f t="shared" si="179"/>
        <v>1.6918016515029816E-12</v>
      </c>
      <c r="EM169" s="22">
        <f t="shared" si="180"/>
        <v>3.1457867471021712E-12</v>
      </c>
      <c r="EN169" s="60">
        <f t="shared" si="128"/>
        <v>288.31469419486655</v>
      </c>
      <c r="EO169" s="60">
        <f ca="1">AVERAGE(OFFSET($EN$3,0,0,'Données projet'!$E$15+1,1))-AVERAGE(OFFSET($H$3,0,0,'Données projet'!$E$15+1,1))</f>
        <v>344.62096650402731</v>
      </c>
      <c r="EP169" s="60">
        <f t="shared" si="154"/>
        <v>277.30931495079346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3.4106051316484809E-13</v>
      </c>
      <c r="FF169" s="18">
        <f>FE169*VLOOKUP('Données projet'!$B$16,Paramètres!$A$1:$I$89,3,0)*VLOOKUP('Données projet'!$B$16,Paramètres!$A$1:$I$89,5,0)</f>
        <v>2.9795046430081134E-13</v>
      </c>
      <c r="FG169" s="14">
        <f t="shared" si="182"/>
        <v>3.9419014464513778E-12</v>
      </c>
      <c r="FH169" s="22">
        <f t="shared" si="183"/>
        <v>7.384408744560063E-12</v>
      </c>
      <c r="FI169" s="60">
        <f t="shared" si="131"/>
        <v>288.31469419487081</v>
      </c>
      <c r="FJ169" s="60">
        <f ca="1">AVERAGE(OFFSET($FI$3,0,0,'Données projet'!$E$16+1,1))-AVERAGE(OFFSET($H$3,0,0,'Données projet'!$E$16+1,1))</f>
        <v>363.28611056308665</v>
      </c>
      <c r="FK169" s="60">
        <f t="shared" si="156"/>
        <v>389.43647559455974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-9.6633812063373625E-13</v>
      </c>
      <c r="GA169" s="18">
        <f>FZ169*VLOOKUP('Données projet'!$B$17,Paramètres!$A$1:$I$89,3,0)*VLOOKUP('Données projet'!$B$17,Paramètres!$A$1:$I$89,5,0)</f>
        <v>-1.0401663530501537E-12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542.90832990875208</v>
      </c>
      <c r="GF169" s="60">
        <f t="shared" si="158"/>
        <v>304.94365539329362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2.7134774427395314E-13</v>
      </c>
      <c r="P170" s="14">
        <f t="shared" si="141"/>
        <v>3.6292411711343559E-12</v>
      </c>
      <c r="Q170" s="22">
        <f t="shared" si="162"/>
        <v>6.7935256943361388E-12</v>
      </c>
      <c r="R170" s="60">
        <f t="shared" si="109"/>
        <v>288.40175636392644</v>
      </c>
      <c r="S170" s="60">
        <f ca="1">AVERAGE(OFFSET($R$3,0,0,'Données projet'!$E$9+1,1))-AVERAGE(OFFSET($H$3,0,0,'Données projet'!$E$9+1,1))</f>
        <v>336.25341821407534</v>
      </c>
      <c r="T170" s="60">
        <f t="shared" si="142"/>
        <v>360.3246221345039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516.30971934066179</v>
      </c>
      <c r="AO170" s="60">
        <f t="shared" si="144"/>
        <v>290.84286505723571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0">
        <f t="shared" si="116"/>
        <v>288.40175636392644</v>
      </c>
      <c r="BI170" s="60">
        <f ca="1">AVERAGE(OFFSET($BH$3,0,0,'Données projet'!$E$11+1,1))-AVERAGE(OFFSET($H$3,0,0,'Données projet'!$E$11+1,1))</f>
        <v>336.25341821407534</v>
      </c>
      <c r="BJ170" s="60">
        <f t="shared" si="146"/>
        <v>360.3246221345039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1.0818439477588981E-13</v>
      </c>
      <c r="CA170" s="14">
        <f t="shared" si="170"/>
        <v>1.6104228458716316E-12</v>
      </c>
      <c r="CB170" s="22">
        <f t="shared" si="171"/>
        <v>2.9932409441277661E-12</v>
      </c>
      <c r="CC170" s="60">
        <f t="shared" si="119"/>
        <v>288.40175636392263</v>
      </c>
      <c r="CD170" s="60">
        <f ca="1">AVERAGE(OFFSET($CC$3,0,0,'Données projet'!$E$12+1,1))-AVERAGE(OFFSET($H$3,0,0,'Données projet'!$E$12+1,1))</f>
        <v>398.29746143975166</v>
      </c>
      <c r="CE170" s="60">
        <f t="shared" si="148"/>
        <v>300.63705521148802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-9.3464223027694966E-13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496.33873798282525</v>
      </c>
      <c r="CZ170" s="60">
        <f t="shared" si="150"/>
        <v>280.25465074992246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8.8675733422860506E-14</v>
      </c>
      <c r="DQ170" s="14">
        <f t="shared" si="176"/>
        <v>1.3509285393066301E-12</v>
      </c>
      <c r="DR170" s="22">
        <f t="shared" si="177"/>
        <v>2.5073107750038623E-12</v>
      </c>
      <c r="DS170" s="60">
        <f t="shared" si="125"/>
        <v>288.40175636392212</v>
      </c>
      <c r="DT170" s="60">
        <f ca="1">AVERAGE(OFFSET($DS$3,0,0,'Données projet'!$E$14+1,1))-AVERAGE(OFFSET($H$3,0,0,'Données projet'!$E$14+1,1))</f>
        <v>312.59632808777332</v>
      </c>
      <c r="DU170" s="60">
        <f t="shared" si="152"/>
        <v>302.59481222418219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1.7053025658242404E-13</v>
      </c>
      <c r="EK170" s="18">
        <f>EJ170*VLOOKUP('Données projet'!$B$15,Paramètres!$A$1:$I$89,3,0)*VLOOKUP('Données projet'!$B$15,Paramètres!$A$1:$I$89,5,0)</f>
        <v>1.1439169611549005E-13</v>
      </c>
      <c r="EL170" s="14">
        <f t="shared" si="179"/>
        <v>1.6918016515029816E-12</v>
      </c>
      <c r="EM170" s="22">
        <f t="shared" si="180"/>
        <v>3.1457867471021712E-12</v>
      </c>
      <c r="EN170" s="60">
        <f t="shared" si="128"/>
        <v>288.40175636392274</v>
      </c>
      <c r="EO170" s="60">
        <f ca="1">AVERAGE(OFFSET($EN$3,0,0,'Données projet'!$E$15+1,1))-AVERAGE(OFFSET($H$3,0,0,'Données projet'!$E$15+1,1))</f>
        <v>344.62096650402731</v>
      </c>
      <c r="EP170" s="60">
        <f t="shared" si="154"/>
        <v>277.30931495079346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3.4106051316484809E-13</v>
      </c>
      <c r="FF170" s="18">
        <f>FE170*VLOOKUP('Données projet'!$B$16,Paramètres!$A$1:$I$89,3,0)*VLOOKUP('Données projet'!$B$16,Paramètres!$A$1:$I$89,5,0)</f>
        <v>2.9795046430081134E-13</v>
      </c>
      <c r="FG170" s="14">
        <f t="shared" si="182"/>
        <v>3.9419014464513778E-12</v>
      </c>
      <c r="FH170" s="22">
        <f t="shared" si="183"/>
        <v>7.384408744560063E-12</v>
      </c>
      <c r="FI170" s="60">
        <f t="shared" si="131"/>
        <v>288.40175636392701</v>
      </c>
      <c r="FJ170" s="60">
        <f ca="1">AVERAGE(OFFSET($FI$3,0,0,'Données projet'!$E$16+1,1))-AVERAGE(OFFSET($H$3,0,0,'Données projet'!$E$16+1,1))</f>
        <v>363.28611056308665</v>
      </c>
      <c r="FK170" s="60">
        <f t="shared" si="156"/>
        <v>389.43647559455974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-9.6633812063373625E-13</v>
      </c>
      <c r="GA170" s="18">
        <f>FZ170*VLOOKUP('Données projet'!$B$17,Paramètres!$A$1:$I$89,3,0)*VLOOKUP('Données projet'!$B$17,Paramètres!$A$1:$I$89,5,0)</f>
        <v>-1.0401663530501537E-12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542.90832990875208</v>
      </c>
      <c r="GF170" s="60">
        <f t="shared" si="158"/>
        <v>304.94365539329362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2.7134774427395314E-13</v>
      </c>
      <c r="P171" s="14">
        <f t="shared" si="141"/>
        <v>3.6292411711343559E-12</v>
      </c>
      <c r="Q171" s="22">
        <f t="shared" si="162"/>
        <v>6.7935256943361388E-12</v>
      </c>
      <c r="R171" s="60">
        <f t="shared" si="109"/>
        <v>288.48730819899134</v>
      </c>
      <c r="S171" s="60">
        <f ca="1">AVERAGE(OFFSET($R$3,0,0,'Données projet'!$E$9+1,1))-AVERAGE(OFFSET($H$3,0,0,'Données projet'!$E$9+1,1))</f>
        <v>336.25341821407534</v>
      </c>
      <c r="T171" s="60">
        <f t="shared" si="142"/>
        <v>360.3246221345039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516.30971934066179</v>
      </c>
      <c r="AO171" s="60">
        <f t="shared" si="144"/>
        <v>290.84286505723571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0">
        <f t="shared" si="116"/>
        <v>288.48730819899134</v>
      </c>
      <c r="BI171" s="60">
        <f ca="1">AVERAGE(OFFSET($BH$3,0,0,'Données projet'!$E$11+1,1))-AVERAGE(OFFSET($H$3,0,0,'Données projet'!$E$11+1,1))</f>
        <v>336.25341821407534</v>
      </c>
      <c r="BJ171" s="60">
        <f t="shared" si="146"/>
        <v>360.3246221345039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1.0818439477588981E-13</v>
      </c>
      <c r="CA171" s="14">
        <f t="shared" si="170"/>
        <v>1.6104228458716316E-12</v>
      </c>
      <c r="CB171" s="22">
        <f t="shared" si="171"/>
        <v>2.9932409441277661E-12</v>
      </c>
      <c r="CC171" s="60">
        <f t="shared" si="119"/>
        <v>288.48730819898753</v>
      </c>
      <c r="CD171" s="60">
        <f ca="1">AVERAGE(OFFSET($CC$3,0,0,'Données projet'!$E$12+1,1))-AVERAGE(OFFSET($H$3,0,0,'Données projet'!$E$12+1,1))</f>
        <v>398.29746143975166</v>
      </c>
      <c r="CE171" s="60">
        <f t="shared" si="148"/>
        <v>300.63705521148802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-9.3464223027694966E-13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496.33873798282525</v>
      </c>
      <c r="CZ171" s="60">
        <f t="shared" si="150"/>
        <v>280.25465074992246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8.8675733422860506E-14</v>
      </c>
      <c r="DQ171" s="14">
        <f t="shared" si="176"/>
        <v>1.3509285393066301E-12</v>
      </c>
      <c r="DR171" s="22">
        <f t="shared" si="177"/>
        <v>2.5073107750038623E-12</v>
      </c>
      <c r="DS171" s="60">
        <f t="shared" si="125"/>
        <v>288.48730819898702</v>
      </c>
      <c r="DT171" s="60">
        <f ca="1">AVERAGE(OFFSET($DS$3,0,0,'Données projet'!$E$14+1,1))-AVERAGE(OFFSET($H$3,0,0,'Données projet'!$E$14+1,1))</f>
        <v>312.59632808777332</v>
      </c>
      <c r="DU171" s="60">
        <f t="shared" si="152"/>
        <v>302.59481222418219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1.7053025658242404E-13</v>
      </c>
      <c r="EK171" s="18">
        <f>EJ171*VLOOKUP('Données projet'!$B$15,Paramètres!$A$1:$I$89,3,0)*VLOOKUP('Données projet'!$B$15,Paramètres!$A$1:$I$89,5,0)</f>
        <v>1.1439169611549005E-13</v>
      </c>
      <c r="EL171" s="14">
        <f t="shared" si="179"/>
        <v>1.6918016515029816E-12</v>
      </c>
      <c r="EM171" s="22">
        <f t="shared" si="180"/>
        <v>3.1457867471021712E-12</v>
      </c>
      <c r="EN171" s="60">
        <f t="shared" si="128"/>
        <v>288.48730819898765</v>
      </c>
      <c r="EO171" s="60">
        <f ca="1">AVERAGE(OFFSET($EN$3,0,0,'Données projet'!$E$15+1,1))-AVERAGE(OFFSET($H$3,0,0,'Données projet'!$E$15+1,1))</f>
        <v>344.62096650402731</v>
      </c>
      <c r="EP171" s="60">
        <f t="shared" si="154"/>
        <v>277.30931495079346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3.4106051316484809E-13</v>
      </c>
      <c r="FF171" s="18">
        <f>FE171*VLOOKUP('Données projet'!$B$16,Paramètres!$A$1:$I$89,3,0)*VLOOKUP('Données projet'!$B$16,Paramètres!$A$1:$I$89,5,0)</f>
        <v>2.9795046430081134E-13</v>
      </c>
      <c r="FG171" s="14">
        <f t="shared" si="182"/>
        <v>3.9419014464513778E-12</v>
      </c>
      <c r="FH171" s="22">
        <f t="shared" si="183"/>
        <v>7.384408744560063E-12</v>
      </c>
      <c r="FI171" s="60">
        <f t="shared" si="131"/>
        <v>288.48730819899191</v>
      </c>
      <c r="FJ171" s="60">
        <f ca="1">AVERAGE(OFFSET($FI$3,0,0,'Données projet'!$E$16+1,1))-AVERAGE(OFFSET($H$3,0,0,'Données projet'!$E$16+1,1))</f>
        <v>363.28611056308665</v>
      </c>
      <c r="FK171" s="60">
        <f t="shared" si="156"/>
        <v>389.43647559455974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-9.6633812063373625E-13</v>
      </c>
      <c r="GA171" s="18">
        <f>FZ171*VLOOKUP('Données projet'!$B$17,Paramètres!$A$1:$I$89,3,0)*VLOOKUP('Données projet'!$B$17,Paramètres!$A$1:$I$89,5,0)</f>
        <v>-1.0401663530501537E-12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542.90832990875208</v>
      </c>
      <c r="GF171" s="60">
        <f t="shared" si="158"/>
        <v>304.94365539329362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2.7134774427395314E-13</v>
      </c>
      <c r="P172" s="14">
        <f t="shared" si="141"/>
        <v>3.6292411711343559E-12</v>
      </c>
      <c r="Q172" s="22">
        <f t="shared" si="162"/>
        <v>6.7935256943361388E-12</v>
      </c>
      <c r="R172" s="60">
        <f t="shared" si="109"/>
        <v>288.57137590098324</v>
      </c>
      <c r="S172" s="60">
        <f ca="1">AVERAGE(OFFSET($R$3,0,0,'Données projet'!$E$9+1,1))-AVERAGE(OFFSET($H$3,0,0,'Données projet'!$E$9+1,1))</f>
        <v>336.25341821407534</v>
      </c>
      <c r="T172" s="60">
        <f t="shared" si="142"/>
        <v>360.3246221345039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516.30971934066179</v>
      </c>
      <c r="AO172" s="60">
        <f t="shared" si="144"/>
        <v>290.84286505723571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0">
        <f t="shared" si="116"/>
        <v>288.57137590098324</v>
      </c>
      <c r="BI172" s="60">
        <f ca="1">AVERAGE(OFFSET($BH$3,0,0,'Données projet'!$E$11+1,1))-AVERAGE(OFFSET($H$3,0,0,'Données projet'!$E$11+1,1))</f>
        <v>336.25341821407534</v>
      </c>
      <c r="BJ172" s="60">
        <f t="shared" si="146"/>
        <v>360.3246221345039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1.0818439477588981E-13</v>
      </c>
      <c r="CA172" s="14">
        <f t="shared" si="170"/>
        <v>1.6104228458716316E-12</v>
      </c>
      <c r="CB172" s="22">
        <f t="shared" si="171"/>
        <v>2.9932409441277661E-12</v>
      </c>
      <c r="CC172" s="60">
        <f t="shared" si="119"/>
        <v>288.57137590097943</v>
      </c>
      <c r="CD172" s="60">
        <f ca="1">AVERAGE(OFFSET($CC$3,0,0,'Données projet'!$E$12+1,1))-AVERAGE(OFFSET($H$3,0,0,'Données projet'!$E$12+1,1))</f>
        <v>398.29746143975166</v>
      </c>
      <c r="CE172" s="60">
        <f t="shared" si="148"/>
        <v>300.63705521148802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-9.3464223027694966E-13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496.33873798282525</v>
      </c>
      <c r="CZ172" s="60">
        <f t="shared" si="150"/>
        <v>280.25465074992246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8.8675733422860506E-14</v>
      </c>
      <c r="DQ172" s="14">
        <f t="shared" si="176"/>
        <v>1.3509285393066301E-12</v>
      </c>
      <c r="DR172" s="22">
        <f t="shared" si="177"/>
        <v>2.5073107750038623E-12</v>
      </c>
      <c r="DS172" s="60">
        <f t="shared" si="125"/>
        <v>288.57137590097892</v>
      </c>
      <c r="DT172" s="60">
        <f ca="1">AVERAGE(OFFSET($DS$3,0,0,'Données projet'!$E$14+1,1))-AVERAGE(OFFSET($H$3,0,0,'Données projet'!$E$14+1,1))</f>
        <v>312.59632808777332</v>
      </c>
      <c r="DU172" s="60">
        <f t="shared" si="152"/>
        <v>302.59481222418219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1.7053025658242404E-13</v>
      </c>
      <c r="EK172" s="18">
        <f>EJ172*VLOOKUP('Données projet'!$B$15,Paramètres!$A$1:$I$89,3,0)*VLOOKUP('Données projet'!$B$15,Paramètres!$A$1:$I$89,5,0)</f>
        <v>1.1439169611549005E-13</v>
      </c>
      <c r="EL172" s="14">
        <f t="shared" si="179"/>
        <v>1.6918016515029816E-12</v>
      </c>
      <c r="EM172" s="22">
        <f t="shared" si="180"/>
        <v>3.1457867471021712E-12</v>
      </c>
      <c r="EN172" s="60">
        <f t="shared" si="128"/>
        <v>288.57137590097955</v>
      </c>
      <c r="EO172" s="60">
        <f ca="1">AVERAGE(OFFSET($EN$3,0,0,'Données projet'!$E$15+1,1))-AVERAGE(OFFSET($H$3,0,0,'Données projet'!$E$15+1,1))</f>
        <v>344.62096650402731</v>
      </c>
      <c r="EP172" s="60">
        <f t="shared" si="154"/>
        <v>277.30931495079346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3.4106051316484809E-13</v>
      </c>
      <c r="FF172" s="18">
        <f>FE172*VLOOKUP('Données projet'!$B$16,Paramètres!$A$1:$I$89,3,0)*VLOOKUP('Données projet'!$B$16,Paramètres!$A$1:$I$89,5,0)</f>
        <v>2.9795046430081134E-13</v>
      </c>
      <c r="FG172" s="14">
        <f t="shared" si="182"/>
        <v>3.9419014464513778E-12</v>
      </c>
      <c r="FH172" s="22">
        <f t="shared" si="183"/>
        <v>7.384408744560063E-12</v>
      </c>
      <c r="FI172" s="60">
        <f t="shared" si="131"/>
        <v>288.57137590098381</v>
      </c>
      <c r="FJ172" s="60">
        <f ca="1">AVERAGE(OFFSET($FI$3,0,0,'Données projet'!$E$16+1,1))-AVERAGE(OFFSET($H$3,0,0,'Données projet'!$E$16+1,1))</f>
        <v>363.28611056308665</v>
      </c>
      <c r="FK172" s="60">
        <f t="shared" si="156"/>
        <v>389.43647559455974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-9.6633812063373625E-13</v>
      </c>
      <c r="GA172" s="18">
        <f>FZ172*VLOOKUP('Données projet'!$B$17,Paramètres!$A$1:$I$89,3,0)*VLOOKUP('Données projet'!$B$17,Paramètres!$A$1:$I$89,5,0)</f>
        <v>-1.0401663530501537E-12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542.90832990875208</v>
      </c>
      <c r="GF172" s="60">
        <f t="shared" si="158"/>
        <v>304.94365539329362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2.7134774427395314E-13</v>
      </c>
      <c r="P173" s="14">
        <f t="shared" si="141"/>
        <v>3.6292411711343559E-12</v>
      </c>
      <c r="Q173" s="22">
        <f t="shared" si="162"/>
        <v>6.7935256943361388E-12</v>
      </c>
      <c r="R173" s="60">
        <f t="shared" si="109"/>
        <v>288.65398521629271</v>
      </c>
      <c r="S173" s="60">
        <f ca="1">AVERAGE(OFFSET($R$3,0,0,'Données projet'!$E$9+1,1))-AVERAGE(OFFSET($H$3,0,0,'Données projet'!$E$9+1,1))</f>
        <v>336.25341821407534</v>
      </c>
      <c r="T173" s="60">
        <f t="shared" si="142"/>
        <v>360.3246221345039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516.30971934066179</v>
      </c>
      <c r="AO173" s="60">
        <f t="shared" si="144"/>
        <v>290.84286505723571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0">
        <f t="shared" si="116"/>
        <v>288.65398521629271</v>
      </c>
      <c r="BI173" s="60">
        <f ca="1">AVERAGE(OFFSET($BH$3,0,0,'Données projet'!$E$11+1,1))-AVERAGE(OFFSET($H$3,0,0,'Données projet'!$E$11+1,1))</f>
        <v>336.25341821407534</v>
      </c>
      <c r="BJ173" s="60">
        <f t="shared" si="146"/>
        <v>360.3246221345039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1.0818439477588981E-13</v>
      </c>
      <c r="CA173" s="14">
        <f t="shared" si="170"/>
        <v>1.6104228458716316E-12</v>
      </c>
      <c r="CB173" s="22">
        <f t="shared" si="171"/>
        <v>2.9932409441277661E-12</v>
      </c>
      <c r="CC173" s="60">
        <f t="shared" si="119"/>
        <v>288.6539852162889</v>
      </c>
      <c r="CD173" s="60">
        <f ca="1">AVERAGE(OFFSET($CC$3,0,0,'Données projet'!$E$12+1,1))-AVERAGE(OFFSET($H$3,0,0,'Données projet'!$E$12+1,1))</f>
        <v>398.29746143975166</v>
      </c>
      <c r="CE173" s="60">
        <f t="shared" si="148"/>
        <v>300.63705521148802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-9.3464223027694966E-13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496.33873798282525</v>
      </c>
      <c r="CZ173" s="60">
        <f t="shared" si="150"/>
        <v>280.25465074992246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8.8675733422860506E-14</v>
      </c>
      <c r="DQ173" s="14">
        <f t="shared" si="176"/>
        <v>1.3509285393066301E-12</v>
      </c>
      <c r="DR173" s="22">
        <f t="shared" si="177"/>
        <v>2.5073107750038623E-12</v>
      </c>
      <c r="DS173" s="60">
        <f t="shared" si="125"/>
        <v>288.65398521628839</v>
      </c>
      <c r="DT173" s="60">
        <f ca="1">AVERAGE(OFFSET($DS$3,0,0,'Données projet'!$E$14+1,1))-AVERAGE(OFFSET($H$3,0,0,'Données projet'!$E$14+1,1))</f>
        <v>312.59632808777332</v>
      </c>
      <c r="DU173" s="60">
        <f t="shared" si="152"/>
        <v>302.59481222418219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1.7053025658242404E-13</v>
      </c>
      <c r="EK173" s="18">
        <f>EJ173*VLOOKUP('Données projet'!$B$15,Paramètres!$A$1:$I$89,3,0)*VLOOKUP('Données projet'!$B$15,Paramètres!$A$1:$I$89,5,0)</f>
        <v>1.1439169611549005E-13</v>
      </c>
      <c r="EL173" s="14">
        <f t="shared" si="179"/>
        <v>1.6918016515029816E-12</v>
      </c>
      <c r="EM173" s="22">
        <f t="shared" si="180"/>
        <v>3.1457867471021712E-12</v>
      </c>
      <c r="EN173" s="60">
        <f t="shared" si="128"/>
        <v>288.65398521628902</v>
      </c>
      <c r="EO173" s="60">
        <f ca="1">AVERAGE(OFFSET($EN$3,0,0,'Données projet'!$E$15+1,1))-AVERAGE(OFFSET($H$3,0,0,'Données projet'!$E$15+1,1))</f>
        <v>344.62096650402731</v>
      </c>
      <c r="EP173" s="60">
        <f t="shared" si="154"/>
        <v>277.30931495079346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3.4106051316484809E-13</v>
      </c>
      <c r="FF173" s="18">
        <f>FE173*VLOOKUP('Données projet'!$B$16,Paramètres!$A$1:$I$89,3,0)*VLOOKUP('Données projet'!$B$16,Paramètres!$A$1:$I$89,5,0)</f>
        <v>2.9795046430081134E-13</v>
      </c>
      <c r="FG173" s="14">
        <f t="shared" si="182"/>
        <v>3.9419014464513778E-12</v>
      </c>
      <c r="FH173" s="22">
        <f t="shared" si="183"/>
        <v>7.384408744560063E-12</v>
      </c>
      <c r="FI173" s="60">
        <f t="shared" si="131"/>
        <v>288.65398521629328</v>
      </c>
      <c r="FJ173" s="60">
        <f ca="1">AVERAGE(OFFSET($FI$3,0,0,'Données projet'!$E$16+1,1))-AVERAGE(OFFSET($H$3,0,0,'Données projet'!$E$16+1,1))</f>
        <v>363.28611056308665</v>
      </c>
      <c r="FK173" s="60">
        <f t="shared" si="156"/>
        <v>389.43647559455974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-9.6633812063373625E-13</v>
      </c>
      <c r="GA173" s="18">
        <f>FZ173*VLOOKUP('Données projet'!$B$17,Paramètres!$A$1:$I$89,3,0)*VLOOKUP('Données projet'!$B$17,Paramètres!$A$1:$I$89,5,0)</f>
        <v>-1.0401663530501537E-12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542.90832990875208</v>
      </c>
      <c r="GF173" s="60">
        <f t="shared" si="158"/>
        <v>304.94365539329362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2.7134774427395314E-13</v>
      </c>
      <c r="P174" s="14">
        <f t="shared" si="141"/>
        <v>3.6292411711343559E-12</v>
      </c>
      <c r="Q174" s="22">
        <f t="shared" si="162"/>
        <v>6.7935256943361388E-12</v>
      </c>
      <c r="R174" s="60">
        <f t="shared" si="109"/>
        <v>288.73516144466834</v>
      </c>
      <c r="S174" s="60">
        <f ca="1">AVERAGE(OFFSET($R$3,0,0,'Données projet'!$E$9+1,1))-AVERAGE(OFFSET($H$3,0,0,'Données projet'!$E$9+1,1))</f>
        <v>336.25341821407534</v>
      </c>
      <c r="T174" s="60">
        <f t="shared" si="142"/>
        <v>360.3246221345039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516.30971934066179</v>
      </c>
      <c r="AO174" s="60">
        <f t="shared" si="144"/>
        <v>290.84286505723571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0">
        <f t="shared" si="116"/>
        <v>288.73516144466834</v>
      </c>
      <c r="BI174" s="60">
        <f ca="1">AVERAGE(OFFSET($BH$3,0,0,'Données projet'!$E$11+1,1))-AVERAGE(OFFSET($H$3,0,0,'Données projet'!$E$11+1,1))</f>
        <v>336.25341821407534</v>
      </c>
      <c r="BJ174" s="60">
        <f t="shared" si="146"/>
        <v>360.3246221345039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1.0818439477588981E-13</v>
      </c>
      <c r="CA174" s="14">
        <f t="shared" si="170"/>
        <v>1.6104228458716316E-12</v>
      </c>
      <c r="CB174" s="22">
        <f t="shared" si="171"/>
        <v>2.9932409441277661E-12</v>
      </c>
      <c r="CC174" s="60">
        <f t="shared" si="119"/>
        <v>288.73516144466453</v>
      </c>
      <c r="CD174" s="60">
        <f ca="1">AVERAGE(OFFSET($CC$3,0,0,'Données projet'!$E$12+1,1))-AVERAGE(OFFSET($H$3,0,0,'Données projet'!$E$12+1,1))</f>
        <v>398.29746143975166</v>
      </c>
      <c r="CE174" s="60">
        <f t="shared" si="148"/>
        <v>300.63705521148802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-9.3464223027694966E-13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496.33873798282525</v>
      </c>
      <c r="CZ174" s="60">
        <f t="shared" si="150"/>
        <v>280.25465074992246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8.8675733422860506E-14</v>
      </c>
      <c r="DQ174" s="14">
        <f t="shared" si="176"/>
        <v>1.3509285393066301E-12</v>
      </c>
      <c r="DR174" s="22">
        <f t="shared" si="177"/>
        <v>2.5073107750038623E-12</v>
      </c>
      <c r="DS174" s="60">
        <f t="shared" si="125"/>
        <v>288.73516144466402</v>
      </c>
      <c r="DT174" s="60">
        <f ca="1">AVERAGE(OFFSET($DS$3,0,0,'Données projet'!$E$14+1,1))-AVERAGE(OFFSET($H$3,0,0,'Données projet'!$E$14+1,1))</f>
        <v>312.59632808777332</v>
      </c>
      <c r="DU174" s="60">
        <f t="shared" si="152"/>
        <v>302.59481222418219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1.7053025658242404E-13</v>
      </c>
      <c r="EK174" s="18">
        <f>EJ174*VLOOKUP('Données projet'!$B$15,Paramètres!$A$1:$I$89,3,0)*VLOOKUP('Données projet'!$B$15,Paramètres!$A$1:$I$89,5,0)</f>
        <v>1.1439169611549005E-13</v>
      </c>
      <c r="EL174" s="14">
        <f t="shared" si="179"/>
        <v>1.6918016515029816E-12</v>
      </c>
      <c r="EM174" s="22">
        <f t="shared" si="180"/>
        <v>3.1457867471021712E-12</v>
      </c>
      <c r="EN174" s="60">
        <f t="shared" si="128"/>
        <v>288.73516144466464</v>
      </c>
      <c r="EO174" s="60">
        <f ca="1">AVERAGE(OFFSET($EN$3,0,0,'Données projet'!$E$15+1,1))-AVERAGE(OFFSET($H$3,0,0,'Données projet'!$E$15+1,1))</f>
        <v>344.62096650402731</v>
      </c>
      <c r="EP174" s="60">
        <f t="shared" si="154"/>
        <v>277.30931495079346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3.4106051316484809E-13</v>
      </c>
      <c r="FF174" s="18">
        <f>FE174*VLOOKUP('Données projet'!$B$16,Paramètres!$A$1:$I$89,3,0)*VLOOKUP('Données projet'!$B$16,Paramètres!$A$1:$I$89,5,0)</f>
        <v>2.9795046430081134E-13</v>
      </c>
      <c r="FG174" s="14">
        <f t="shared" si="182"/>
        <v>3.9419014464513778E-12</v>
      </c>
      <c r="FH174" s="22">
        <f t="shared" si="183"/>
        <v>7.384408744560063E-12</v>
      </c>
      <c r="FI174" s="60">
        <f t="shared" si="131"/>
        <v>288.7351614446689</v>
      </c>
      <c r="FJ174" s="60">
        <f ca="1">AVERAGE(OFFSET($FI$3,0,0,'Données projet'!$E$16+1,1))-AVERAGE(OFFSET($H$3,0,0,'Données projet'!$E$16+1,1))</f>
        <v>363.28611056308665</v>
      </c>
      <c r="FK174" s="60">
        <f t="shared" si="156"/>
        <v>389.43647559455974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-9.6633812063373625E-13</v>
      </c>
      <c r="GA174" s="18">
        <f>FZ174*VLOOKUP('Données projet'!$B$17,Paramètres!$A$1:$I$89,3,0)*VLOOKUP('Données projet'!$B$17,Paramètres!$A$1:$I$89,5,0)</f>
        <v>-1.0401663530501537E-12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542.90832990875208</v>
      </c>
      <c r="GF174" s="60">
        <f t="shared" si="158"/>
        <v>304.94365539329362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2.7134774427395314E-13</v>
      </c>
      <c r="P175" s="14">
        <f t="shared" si="141"/>
        <v>3.6292411711343559E-12</v>
      </c>
      <c r="Q175" s="22">
        <f t="shared" si="162"/>
        <v>6.7935256943361388E-12</v>
      </c>
      <c r="R175" s="60">
        <f t="shared" si="109"/>
        <v>288.81492944696447</v>
      </c>
      <c r="S175" s="60">
        <f ca="1">AVERAGE(OFFSET($R$3,0,0,'Données projet'!$E$9+1,1))-AVERAGE(OFFSET($H$3,0,0,'Données projet'!$E$9+1,1))</f>
        <v>336.25341821407534</v>
      </c>
      <c r="T175" s="60">
        <f t="shared" si="142"/>
        <v>360.3246221345039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516.30971934066179</v>
      </c>
      <c r="AO175" s="60">
        <f t="shared" si="144"/>
        <v>290.84286505723571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0">
        <f t="shared" si="116"/>
        <v>288.81492944696447</v>
      </c>
      <c r="BI175" s="60">
        <f ca="1">AVERAGE(OFFSET($BH$3,0,0,'Données projet'!$E$11+1,1))-AVERAGE(OFFSET($H$3,0,0,'Données projet'!$E$11+1,1))</f>
        <v>336.25341821407534</v>
      </c>
      <c r="BJ175" s="60">
        <f t="shared" si="146"/>
        <v>360.3246221345039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1.0818439477588981E-13</v>
      </c>
      <c r="CA175" s="14">
        <f t="shared" si="170"/>
        <v>1.6104228458716316E-12</v>
      </c>
      <c r="CB175" s="22">
        <f t="shared" si="171"/>
        <v>2.9932409441277661E-12</v>
      </c>
      <c r="CC175" s="60">
        <f t="shared" si="119"/>
        <v>288.81492944696066</v>
      </c>
      <c r="CD175" s="60">
        <f ca="1">AVERAGE(OFFSET($CC$3,0,0,'Données projet'!$E$12+1,1))-AVERAGE(OFFSET($H$3,0,0,'Données projet'!$E$12+1,1))</f>
        <v>398.29746143975166</v>
      </c>
      <c r="CE175" s="60">
        <f t="shared" si="148"/>
        <v>300.63705521148802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-9.3464223027694966E-13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496.33873798282525</v>
      </c>
      <c r="CZ175" s="60">
        <f t="shared" si="150"/>
        <v>280.25465074992246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8.8675733422860506E-14</v>
      </c>
      <c r="DQ175" s="14">
        <f t="shared" si="176"/>
        <v>1.3509285393066301E-12</v>
      </c>
      <c r="DR175" s="22">
        <f t="shared" si="177"/>
        <v>2.5073107750038623E-12</v>
      </c>
      <c r="DS175" s="60">
        <f t="shared" si="125"/>
        <v>288.81492944696015</v>
      </c>
      <c r="DT175" s="60">
        <f ca="1">AVERAGE(OFFSET($DS$3,0,0,'Données projet'!$E$14+1,1))-AVERAGE(OFFSET($H$3,0,0,'Données projet'!$E$14+1,1))</f>
        <v>312.59632808777332</v>
      </c>
      <c r="DU175" s="60">
        <f t="shared" si="152"/>
        <v>302.59481222418219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1.7053025658242404E-13</v>
      </c>
      <c r="EK175" s="18">
        <f>EJ175*VLOOKUP('Données projet'!$B$15,Paramètres!$A$1:$I$89,3,0)*VLOOKUP('Données projet'!$B$15,Paramètres!$A$1:$I$89,5,0)</f>
        <v>1.1439169611549005E-13</v>
      </c>
      <c r="EL175" s="14">
        <f t="shared" si="179"/>
        <v>1.6918016515029816E-12</v>
      </c>
      <c r="EM175" s="22">
        <f t="shared" si="180"/>
        <v>3.1457867471021712E-12</v>
      </c>
      <c r="EN175" s="60">
        <f t="shared" si="128"/>
        <v>288.81492944696078</v>
      </c>
      <c r="EO175" s="60">
        <f ca="1">AVERAGE(OFFSET($EN$3,0,0,'Données projet'!$E$15+1,1))-AVERAGE(OFFSET($H$3,0,0,'Données projet'!$E$15+1,1))</f>
        <v>344.62096650402731</v>
      </c>
      <c r="EP175" s="60">
        <f t="shared" si="154"/>
        <v>277.30931495079346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3.4106051316484809E-13</v>
      </c>
      <c r="FF175" s="18">
        <f>FE175*VLOOKUP('Données projet'!$B$16,Paramètres!$A$1:$I$89,3,0)*VLOOKUP('Données projet'!$B$16,Paramètres!$A$1:$I$89,5,0)</f>
        <v>2.9795046430081134E-13</v>
      </c>
      <c r="FG175" s="14">
        <f t="shared" si="182"/>
        <v>3.9419014464513778E-12</v>
      </c>
      <c r="FH175" s="22">
        <f t="shared" si="183"/>
        <v>7.384408744560063E-12</v>
      </c>
      <c r="FI175" s="60">
        <f t="shared" si="131"/>
        <v>288.81492944696504</v>
      </c>
      <c r="FJ175" s="60">
        <f ca="1">AVERAGE(OFFSET($FI$3,0,0,'Données projet'!$E$16+1,1))-AVERAGE(OFFSET($H$3,0,0,'Données projet'!$E$16+1,1))</f>
        <v>363.28611056308665</v>
      </c>
      <c r="FK175" s="60">
        <f t="shared" si="156"/>
        <v>389.43647559455974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-9.6633812063373625E-13</v>
      </c>
      <c r="GA175" s="18">
        <f>FZ175*VLOOKUP('Données projet'!$B$17,Paramètres!$A$1:$I$89,3,0)*VLOOKUP('Données projet'!$B$17,Paramètres!$A$1:$I$89,5,0)</f>
        <v>-1.0401663530501537E-12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542.90832990875208</v>
      </c>
      <c r="GF175" s="60">
        <f t="shared" si="158"/>
        <v>304.94365539329362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2.7134774427395314E-13</v>
      </c>
      <c r="P176" s="14">
        <f t="shared" si="141"/>
        <v>3.6292411711343559E-12</v>
      </c>
      <c r="Q176" s="22">
        <f t="shared" si="162"/>
        <v>6.7935256943361388E-12</v>
      </c>
      <c r="R176" s="60">
        <f t="shared" si="109"/>
        <v>288.8933136527553</v>
      </c>
      <c r="S176" s="60">
        <f ca="1">AVERAGE(OFFSET($R$3,0,0,'Données projet'!$E$9+1,1))-AVERAGE(OFFSET($H$3,0,0,'Données projet'!$E$9+1,1))</f>
        <v>336.25341821407534</v>
      </c>
      <c r="T176" s="60">
        <f t="shared" si="142"/>
        <v>360.3246221345039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516.30971934066179</v>
      </c>
      <c r="AO176" s="60">
        <f t="shared" si="144"/>
        <v>290.84286505723571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0">
        <f t="shared" si="116"/>
        <v>288.8933136527553</v>
      </c>
      <c r="BI176" s="60">
        <f ca="1">AVERAGE(OFFSET($BH$3,0,0,'Données projet'!$E$11+1,1))-AVERAGE(OFFSET($H$3,0,0,'Données projet'!$E$11+1,1))</f>
        <v>336.25341821407534</v>
      </c>
      <c r="BJ176" s="60">
        <f t="shared" si="146"/>
        <v>360.3246221345039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1.0818439477588981E-13</v>
      </c>
      <c r="CA176" s="14">
        <f t="shared" si="170"/>
        <v>1.6104228458716316E-12</v>
      </c>
      <c r="CB176" s="22">
        <f t="shared" si="171"/>
        <v>2.9932409441277661E-12</v>
      </c>
      <c r="CC176" s="60">
        <f t="shared" si="119"/>
        <v>288.89331365275149</v>
      </c>
      <c r="CD176" s="60">
        <f ca="1">AVERAGE(OFFSET($CC$3,0,0,'Données projet'!$E$12+1,1))-AVERAGE(OFFSET($H$3,0,0,'Données projet'!$E$12+1,1))</f>
        <v>398.29746143975166</v>
      </c>
      <c r="CE176" s="60">
        <f t="shared" si="148"/>
        <v>300.63705521148802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-9.3464223027694966E-13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496.33873798282525</v>
      </c>
      <c r="CZ176" s="60">
        <f t="shared" si="150"/>
        <v>280.25465074992246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8.8675733422860506E-14</v>
      </c>
      <c r="DQ176" s="14">
        <f t="shared" si="176"/>
        <v>1.3509285393066301E-12</v>
      </c>
      <c r="DR176" s="22">
        <f t="shared" si="177"/>
        <v>2.5073107750038623E-12</v>
      </c>
      <c r="DS176" s="60">
        <f t="shared" si="125"/>
        <v>288.89331365275098</v>
      </c>
      <c r="DT176" s="60">
        <f ca="1">AVERAGE(OFFSET($DS$3,0,0,'Données projet'!$E$14+1,1))-AVERAGE(OFFSET($H$3,0,0,'Données projet'!$E$14+1,1))</f>
        <v>312.59632808777332</v>
      </c>
      <c r="DU176" s="60">
        <f t="shared" si="152"/>
        <v>302.59481222418219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1.7053025658242404E-13</v>
      </c>
      <c r="EK176" s="18">
        <f>EJ176*VLOOKUP('Données projet'!$B$15,Paramètres!$A$1:$I$89,3,0)*VLOOKUP('Données projet'!$B$15,Paramètres!$A$1:$I$89,5,0)</f>
        <v>1.1439169611549005E-13</v>
      </c>
      <c r="EL176" s="14">
        <f t="shared" si="179"/>
        <v>1.6918016515029816E-12</v>
      </c>
      <c r="EM176" s="22">
        <f t="shared" si="180"/>
        <v>3.1457867471021712E-12</v>
      </c>
      <c r="EN176" s="60">
        <f t="shared" si="128"/>
        <v>288.8933136527516</v>
      </c>
      <c r="EO176" s="60">
        <f ca="1">AVERAGE(OFFSET($EN$3,0,0,'Données projet'!$E$15+1,1))-AVERAGE(OFFSET($H$3,0,0,'Données projet'!$E$15+1,1))</f>
        <v>344.62096650402731</v>
      </c>
      <c r="EP176" s="60">
        <f t="shared" si="154"/>
        <v>277.30931495079346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3.4106051316484809E-13</v>
      </c>
      <c r="FF176" s="18">
        <f>FE176*VLOOKUP('Données projet'!$B$16,Paramètres!$A$1:$I$89,3,0)*VLOOKUP('Données projet'!$B$16,Paramètres!$A$1:$I$89,5,0)</f>
        <v>2.9795046430081134E-13</v>
      </c>
      <c r="FG176" s="14">
        <f t="shared" si="182"/>
        <v>3.9419014464513778E-12</v>
      </c>
      <c r="FH176" s="22">
        <f t="shared" si="183"/>
        <v>7.384408744560063E-12</v>
      </c>
      <c r="FI176" s="60">
        <f t="shared" si="131"/>
        <v>288.89331365275586</v>
      </c>
      <c r="FJ176" s="60">
        <f ca="1">AVERAGE(OFFSET($FI$3,0,0,'Données projet'!$E$16+1,1))-AVERAGE(OFFSET($H$3,0,0,'Données projet'!$E$16+1,1))</f>
        <v>363.28611056308665</v>
      </c>
      <c r="FK176" s="60">
        <f t="shared" si="156"/>
        <v>389.43647559455974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-9.6633812063373625E-13</v>
      </c>
      <c r="GA176" s="18">
        <f>FZ176*VLOOKUP('Données projet'!$B$17,Paramètres!$A$1:$I$89,3,0)*VLOOKUP('Données projet'!$B$17,Paramètres!$A$1:$I$89,5,0)</f>
        <v>-1.0401663530501537E-12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542.90832990875208</v>
      </c>
      <c r="GF176" s="60">
        <f t="shared" si="158"/>
        <v>304.94365539329362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2.7134774427395314E-13</v>
      </c>
      <c r="P177" s="14">
        <f t="shared" si="141"/>
        <v>3.6292411711343559E-12</v>
      </c>
      <c r="Q177" s="22">
        <f t="shared" si="162"/>
        <v>6.7935256943361388E-12</v>
      </c>
      <c r="R177" s="60">
        <f t="shared" si="109"/>
        <v>288.97033806781656</v>
      </c>
      <c r="S177" s="60">
        <f ca="1">AVERAGE(OFFSET($R$3,0,0,'Données projet'!$E$9+1,1))-AVERAGE(OFFSET($H$3,0,0,'Données projet'!$E$9+1,1))</f>
        <v>336.25341821407534</v>
      </c>
      <c r="T177" s="60">
        <f t="shared" si="142"/>
        <v>360.3246221345039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516.30971934066179</v>
      </c>
      <c r="AO177" s="60">
        <f t="shared" si="144"/>
        <v>290.84286505723571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0">
        <f t="shared" si="116"/>
        <v>288.97033806781656</v>
      </c>
      <c r="BI177" s="60">
        <f ca="1">AVERAGE(OFFSET($BH$3,0,0,'Données projet'!$E$11+1,1))-AVERAGE(OFFSET($H$3,0,0,'Données projet'!$E$11+1,1))</f>
        <v>336.25341821407534</v>
      </c>
      <c r="BJ177" s="60">
        <f t="shared" si="146"/>
        <v>360.3246221345039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1.0818439477588981E-13</v>
      </c>
      <c r="CA177" s="14">
        <f t="shared" si="170"/>
        <v>1.6104228458716316E-12</v>
      </c>
      <c r="CB177" s="22">
        <f t="shared" si="171"/>
        <v>2.9932409441277661E-12</v>
      </c>
      <c r="CC177" s="60">
        <f t="shared" si="119"/>
        <v>288.97033806781275</v>
      </c>
      <c r="CD177" s="60">
        <f ca="1">AVERAGE(OFFSET($CC$3,0,0,'Données projet'!$E$12+1,1))-AVERAGE(OFFSET($H$3,0,0,'Données projet'!$E$12+1,1))</f>
        <v>398.29746143975166</v>
      </c>
      <c r="CE177" s="60">
        <f t="shared" si="148"/>
        <v>300.63705521148802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-9.3464223027694966E-13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496.33873798282525</v>
      </c>
      <c r="CZ177" s="60">
        <f t="shared" si="150"/>
        <v>280.25465074992246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8.8675733422860506E-14</v>
      </c>
      <c r="DQ177" s="14">
        <f t="shared" si="176"/>
        <v>1.3509285393066301E-12</v>
      </c>
      <c r="DR177" s="22">
        <f t="shared" si="177"/>
        <v>2.5073107750038623E-12</v>
      </c>
      <c r="DS177" s="60">
        <f t="shared" si="125"/>
        <v>288.97033806781224</v>
      </c>
      <c r="DT177" s="60">
        <f ca="1">AVERAGE(OFFSET($DS$3,0,0,'Données projet'!$E$14+1,1))-AVERAGE(OFFSET($H$3,0,0,'Données projet'!$E$14+1,1))</f>
        <v>312.59632808777332</v>
      </c>
      <c r="DU177" s="60">
        <f t="shared" si="152"/>
        <v>302.59481222418219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1.7053025658242404E-13</v>
      </c>
      <c r="EK177" s="18">
        <f>EJ177*VLOOKUP('Données projet'!$B$15,Paramètres!$A$1:$I$89,3,0)*VLOOKUP('Données projet'!$B$15,Paramètres!$A$1:$I$89,5,0)</f>
        <v>1.1439169611549005E-13</v>
      </c>
      <c r="EL177" s="14">
        <f t="shared" si="179"/>
        <v>1.6918016515029816E-12</v>
      </c>
      <c r="EM177" s="22">
        <f t="shared" si="180"/>
        <v>3.1457867471021712E-12</v>
      </c>
      <c r="EN177" s="60">
        <f t="shared" si="128"/>
        <v>288.97033806781286</v>
      </c>
      <c r="EO177" s="60">
        <f ca="1">AVERAGE(OFFSET($EN$3,0,0,'Données projet'!$E$15+1,1))-AVERAGE(OFFSET($H$3,0,0,'Données projet'!$E$15+1,1))</f>
        <v>344.62096650402731</v>
      </c>
      <c r="EP177" s="60">
        <f t="shared" si="154"/>
        <v>277.30931495079346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3.4106051316484809E-13</v>
      </c>
      <c r="FF177" s="18">
        <f>FE177*VLOOKUP('Données projet'!$B$16,Paramètres!$A$1:$I$89,3,0)*VLOOKUP('Données projet'!$B$16,Paramètres!$A$1:$I$89,5,0)</f>
        <v>2.9795046430081134E-13</v>
      </c>
      <c r="FG177" s="14">
        <f t="shared" si="182"/>
        <v>3.9419014464513778E-12</v>
      </c>
      <c r="FH177" s="22">
        <f t="shared" si="183"/>
        <v>7.384408744560063E-12</v>
      </c>
      <c r="FI177" s="60">
        <f t="shared" si="131"/>
        <v>288.97033806781712</v>
      </c>
      <c r="FJ177" s="60">
        <f ca="1">AVERAGE(OFFSET($FI$3,0,0,'Données projet'!$E$16+1,1))-AVERAGE(OFFSET($H$3,0,0,'Données projet'!$E$16+1,1))</f>
        <v>363.28611056308665</v>
      </c>
      <c r="FK177" s="60">
        <f t="shared" si="156"/>
        <v>389.43647559455974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-9.6633812063373625E-13</v>
      </c>
      <c r="GA177" s="18">
        <f>FZ177*VLOOKUP('Données projet'!$B$17,Paramètres!$A$1:$I$89,3,0)*VLOOKUP('Données projet'!$B$17,Paramètres!$A$1:$I$89,5,0)</f>
        <v>-1.0401663530501537E-12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542.90832990875208</v>
      </c>
      <c r="GF177" s="60">
        <f t="shared" si="158"/>
        <v>304.94365539329362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2.7134774427395314E-13</v>
      </c>
      <c r="P178" s="14">
        <f t="shared" si="141"/>
        <v>3.6292411711343559E-12</v>
      </c>
      <c r="Q178" s="22">
        <f t="shared" si="162"/>
        <v>6.7935256943361388E-12</v>
      </c>
      <c r="R178" s="60">
        <f t="shared" si="109"/>
        <v>289.04602628147722</v>
      </c>
      <c r="S178" s="60">
        <f ca="1">AVERAGE(OFFSET($R$3,0,0,'Données projet'!$E$9+1,1))-AVERAGE(OFFSET($H$3,0,0,'Données projet'!$E$9+1,1))</f>
        <v>336.25341821407534</v>
      </c>
      <c r="T178" s="60">
        <f t="shared" si="142"/>
        <v>360.3246221345039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516.30971934066179</v>
      </c>
      <c r="AO178" s="60">
        <f t="shared" si="144"/>
        <v>290.84286505723571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0">
        <f t="shared" si="116"/>
        <v>289.04602628147722</v>
      </c>
      <c r="BI178" s="60">
        <f ca="1">AVERAGE(OFFSET($BH$3,0,0,'Données projet'!$E$11+1,1))-AVERAGE(OFFSET($H$3,0,0,'Données projet'!$E$11+1,1))</f>
        <v>336.25341821407534</v>
      </c>
      <c r="BJ178" s="60">
        <f t="shared" si="146"/>
        <v>360.3246221345039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1.0818439477588981E-13</v>
      </c>
      <c r="CA178" s="14">
        <f t="shared" si="170"/>
        <v>1.6104228458716316E-12</v>
      </c>
      <c r="CB178" s="22">
        <f t="shared" si="171"/>
        <v>2.9932409441277661E-12</v>
      </c>
      <c r="CC178" s="60">
        <f t="shared" si="119"/>
        <v>289.04602628147342</v>
      </c>
      <c r="CD178" s="60">
        <f ca="1">AVERAGE(OFFSET($CC$3,0,0,'Données projet'!$E$12+1,1))-AVERAGE(OFFSET($H$3,0,0,'Données projet'!$E$12+1,1))</f>
        <v>398.29746143975166</v>
      </c>
      <c r="CE178" s="60">
        <f t="shared" si="148"/>
        <v>300.63705521148802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-9.3464223027694966E-13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496.33873798282525</v>
      </c>
      <c r="CZ178" s="60">
        <f t="shared" si="150"/>
        <v>280.25465074992246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8.8675733422860506E-14</v>
      </c>
      <c r="DQ178" s="14">
        <f t="shared" si="176"/>
        <v>1.3509285393066301E-12</v>
      </c>
      <c r="DR178" s="22">
        <f t="shared" si="177"/>
        <v>2.5073107750038623E-12</v>
      </c>
      <c r="DS178" s="60">
        <f t="shared" si="125"/>
        <v>289.0460262814729</v>
      </c>
      <c r="DT178" s="60">
        <f ca="1">AVERAGE(OFFSET($DS$3,0,0,'Données projet'!$E$14+1,1))-AVERAGE(OFFSET($H$3,0,0,'Données projet'!$E$14+1,1))</f>
        <v>312.59632808777332</v>
      </c>
      <c r="DU178" s="60">
        <f t="shared" si="152"/>
        <v>302.59481222418219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1.7053025658242404E-13</v>
      </c>
      <c r="EK178" s="18">
        <f>EJ178*VLOOKUP('Données projet'!$B$15,Paramètres!$A$1:$I$89,3,0)*VLOOKUP('Données projet'!$B$15,Paramètres!$A$1:$I$89,5,0)</f>
        <v>1.1439169611549005E-13</v>
      </c>
      <c r="EL178" s="14">
        <f t="shared" si="179"/>
        <v>1.6918016515029816E-12</v>
      </c>
      <c r="EM178" s="22">
        <f t="shared" si="180"/>
        <v>3.1457867471021712E-12</v>
      </c>
      <c r="EN178" s="60">
        <f t="shared" si="128"/>
        <v>289.04602628147353</v>
      </c>
      <c r="EO178" s="60">
        <f ca="1">AVERAGE(OFFSET($EN$3,0,0,'Données projet'!$E$15+1,1))-AVERAGE(OFFSET($H$3,0,0,'Données projet'!$E$15+1,1))</f>
        <v>344.62096650402731</v>
      </c>
      <c r="EP178" s="60">
        <f t="shared" si="154"/>
        <v>277.30931495079346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3.4106051316484809E-13</v>
      </c>
      <c r="FF178" s="18">
        <f>FE178*VLOOKUP('Données projet'!$B$16,Paramètres!$A$1:$I$89,3,0)*VLOOKUP('Données projet'!$B$16,Paramètres!$A$1:$I$89,5,0)</f>
        <v>2.9795046430081134E-13</v>
      </c>
      <c r="FG178" s="14">
        <f t="shared" si="182"/>
        <v>3.9419014464513778E-12</v>
      </c>
      <c r="FH178" s="22">
        <f t="shared" si="183"/>
        <v>7.384408744560063E-12</v>
      </c>
      <c r="FI178" s="60">
        <f t="shared" si="131"/>
        <v>289.04602628147779</v>
      </c>
      <c r="FJ178" s="60">
        <f ca="1">AVERAGE(OFFSET($FI$3,0,0,'Données projet'!$E$16+1,1))-AVERAGE(OFFSET($H$3,0,0,'Données projet'!$E$16+1,1))</f>
        <v>363.28611056308665</v>
      </c>
      <c r="FK178" s="60">
        <f t="shared" si="156"/>
        <v>389.43647559455974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-9.6633812063373625E-13</v>
      </c>
      <c r="GA178" s="18">
        <f>FZ178*VLOOKUP('Données projet'!$B$17,Paramètres!$A$1:$I$89,3,0)*VLOOKUP('Données projet'!$B$17,Paramètres!$A$1:$I$89,5,0)</f>
        <v>-1.0401663530501537E-12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542.90832990875208</v>
      </c>
      <c r="GF178" s="60">
        <f t="shared" si="158"/>
        <v>304.94365539329362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2.7134774427395314E-13</v>
      </c>
      <c r="P179" s="14">
        <f t="shared" si="141"/>
        <v>3.6292411711343559E-12</v>
      </c>
      <c r="Q179" s="22">
        <f t="shared" si="162"/>
        <v>6.7935256943361388E-12</v>
      </c>
      <c r="R179" s="60">
        <f t="shared" si="109"/>
        <v>289.12040147384442</v>
      </c>
      <c r="S179" s="60">
        <f ca="1">AVERAGE(OFFSET($R$3,0,0,'Données projet'!$E$9+1,1))-AVERAGE(OFFSET($H$3,0,0,'Données projet'!$E$9+1,1))</f>
        <v>336.25341821407534</v>
      </c>
      <c r="T179" s="60">
        <f t="shared" si="142"/>
        <v>360.3246221345039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516.30971934066179</v>
      </c>
      <c r="AO179" s="60">
        <f t="shared" si="144"/>
        <v>290.84286505723571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0">
        <f t="shared" si="116"/>
        <v>289.12040147384442</v>
      </c>
      <c r="BI179" s="60">
        <f ca="1">AVERAGE(OFFSET($BH$3,0,0,'Données projet'!$E$11+1,1))-AVERAGE(OFFSET($H$3,0,0,'Données projet'!$E$11+1,1))</f>
        <v>336.25341821407534</v>
      </c>
      <c r="BJ179" s="60">
        <f t="shared" si="146"/>
        <v>360.3246221345039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1.0818439477588981E-13</v>
      </c>
      <c r="CA179" s="14">
        <f t="shared" si="170"/>
        <v>1.6104228458716316E-12</v>
      </c>
      <c r="CB179" s="22">
        <f t="shared" si="171"/>
        <v>2.9932409441277661E-12</v>
      </c>
      <c r="CC179" s="60">
        <f t="shared" si="119"/>
        <v>289.12040147384062</v>
      </c>
      <c r="CD179" s="60">
        <f ca="1">AVERAGE(OFFSET($CC$3,0,0,'Données projet'!$E$12+1,1))-AVERAGE(OFFSET($H$3,0,0,'Données projet'!$E$12+1,1))</f>
        <v>398.29746143975166</v>
      </c>
      <c r="CE179" s="60">
        <f t="shared" si="148"/>
        <v>300.63705521148802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-9.3464223027694966E-13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496.33873798282525</v>
      </c>
      <c r="CZ179" s="60">
        <f t="shared" si="150"/>
        <v>280.25465074992246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8.8675733422860506E-14</v>
      </c>
      <c r="DQ179" s="14">
        <f t="shared" si="176"/>
        <v>1.3509285393066301E-12</v>
      </c>
      <c r="DR179" s="22">
        <f t="shared" si="177"/>
        <v>2.5073107750038623E-12</v>
      </c>
      <c r="DS179" s="60">
        <f t="shared" si="125"/>
        <v>289.1204014738401</v>
      </c>
      <c r="DT179" s="60">
        <f ca="1">AVERAGE(OFFSET($DS$3,0,0,'Données projet'!$E$14+1,1))-AVERAGE(OFFSET($H$3,0,0,'Données projet'!$E$14+1,1))</f>
        <v>312.59632808777332</v>
      </c>
      <c r="DU179" s="60">
        <f t="shared" si="152"/>
        <v>302.59481222418219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1.7053025658242404E-13</v>
      </c>
      <c r="EK179" s="18">
        <f>EJ179*VLOOKUP('Données projet'!$B$15,Paramètres!$A$1:$I$89,3,0)*VLOOKUP('Données projet'!$B$15,Paramètres!$A$1:$I$89,5,0)</f>
        <v>1.1439169611549005E-13</v>
      </c>
      <c r="EL179" s="14">
        <f t="shared" si="179"/>
        <v>1.6918016515029816E-12</v>
      </c>
      <c r="EM179" s="22">
        <f t="shared" si="180"/>
        <v>3.1457867471021712E-12</v>
      </c>
      <c r="EN179" s="60">
        <f t="shared" si="128"/>
        <v>289.12040147384073</v>
      </c>
      <c r="EO179" s="60">
        <f ca="1">AVERAGE(OFFSET($EN$3,0,0,'Données projet'!$E$15+1,1))-AVERAGE(OFFSET($H$3,0,0,'Données projet'!$E$15+1,1))</f>
        <v>344.62096650402731</v>
      </c>
      <c r="EP179" s="60">
        <f t="shared" si="154"/>
        <v>277.30931495079346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3.4106051316484809E-13</v>
      </c>
      <c r="FF179" s="18">
        <f>FE179*VLOOKUP('Données projet'!$B$16,Paramètres!$A$1:$I$89,3,0)*VLOOKUP('Données projet'!$B$16,Paramètres!$A$1:$I$89,5,0)</f>
        <v>2.9795046430081134E-13</v>
      </c>
      <c r="FG179" s="14">
        <f t="shared" si="182"/>
        <v>3.9419014464513778E-12</v>
      </c>
      <c r="FH179" s="22">
        <f t="shared" si="183"/>
        <v>7.384408744560063E-12</v>
      </c>
      <c r="FI179" s="60">
        <f t="shared" si="131"/>
        <v>289.12040147384499</v>
      </c>
      <c r="FJ179" s="60">
        <f ca="1">AVERAGE(OFFSET($FI$3,0,0,'Données projet'!$E$16+1,1))-AVERAGE(OFFSET($H$3,0,0,'Données projet'!$E$16+1,1))</f>
        <v>363.28611056308665</v>
      </c>
      <c r="FK179" s="60">
        <f t="shared" si="156"/>
        <v>389.43647559455974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-9.6633812063373625E-13</v>
      </c>
      <c r="GA179" s="18">
        <f>FZ179*VLOOKUP('Données projet'!$B$17,Paramètres!$A$1:$I$89,3,0)*VLOOKUP('Données projet'!$B$17,Paramètres!$A$1:$I$89,5,0)</f>
        <v>-1.0401663530501537E-12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542.90832990875208</v>
      </c>
      <c r="GF179" s="60">
        <f t="shared" si="158"/>
        <v>304.94365539329362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2.7134774427395314E-13</v>
      </c>
      <c r="P180" s="14">
        <f t="shared" si="141"/>
        <v>3.6292411711343559E-12</v>
      </c>
      <c r="Q180" s="22">
        <f t="shared" si="162"/>
        <v>6.7935256943361388E-12</v>
      </c>
      <c r="R180" s="60">
        <f t="shared" si="109"/>
        <v>289.19348642290208</v>
      </c>
      <c r="S180" s="60">
        <f ca="1">AVERAGE(OFFSET($R$3,0,0,'Données projet'!$E$9+1,1))-AVERAGE(OFFSET($H$3,0,0,'Données projet'!$E$9+1,1))</f>
        <v>336.25341821407534</v>
      </c>
      <c r="T180" s="60">
        <f t="shared" si="142"/>
        <v>360.3246221345039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516.30971934066179</v>
      </c>
      <c r="AO180" s="60">
        <f t="shared" si="144"/>
        <v>290.84286505723571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0">
        <f t="shared" si="116"/>
        <v>289.19348642290208</v>
      </c>
      <c r="BI180" s="60">
        <f ca="1">AVERAGE(OFFSET($BH$3,0,0,'Données projet'!$E$11+1,1))-AVERAGE(OFFSET($H$3,0,0,'Données projet'!$E$11+1,1))</f>
        <v>336.25341821407534</v>
      </c>
      <c r="BJ180" s="60">
        <f t="shared" si="146"/>
        <v>360.3246221345039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1.0818439477588981E-13</v>
      </c>
      <c r="CA180" s="14">
        <f t="shared" si="170"/>
        <v>1.6104228458716316E-12</v>
      </c>
      <c r="CB180" s="22">
        <f t="shared" si="171"/>
        <v>2.9932409441277661E-12</v>
      </c>
      <c r="CC180" s="60">
        <f t="shared" si="119"/>
        <v>289.19348642289827</v>
      </c>
      <c r="CD180" s="60">
        <f ca="1">AVERAGE(OFFSET($CC$3,0,0,'Données projet'!$E$12+1,1))-AVERAGE(OFFSET($H$3,0,0,'Données projet'!$E$12+1,1))</f>
        <v>398.29746143975166</v>
      </c>
      <c r="CE180" s="60">
        <f t="shared" si="148"/>
        <v>300.63705521148802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-9.3464223027694966E-13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496.33873798282525</v>
      </c>
      <c r="CZ180" s="60">
        <f t="shared" si="150"/>
        <v>280.25465074992246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8.8675733422860506E-14</v>
      </c>
      <c r="DQ180" s="14">
        <f t="shared" si="176"/>
        <v>1.3509285393066301E-12</v>
      </c>
      <c r="DR180" s="22">
        <f t="shared" si="177"/>
        <v>2.5073107750038623E-12</v>
      </c>
      <c r="DS180" s="60">
        <f t="shared" si="125"/>
        <v>289.19348642289776</v>
      </c>
      <c r="DT180" s="60">
        <f ca="1">AVERAGE(OFFSET($DS$3,0,0,'Données projet'!$E$14+1,1))-AVERAGE(OFFSET($H$3,0,0,'Données projet'!$E$14+1,1))</f>
        <v>312.59632808777332</v>
      </c>
      <c r="DU180" s="60">
        <f t="shared" si="152"/>
        <v>302.59481222418219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1.7053025658242404E-13</v>
      </c>
      <c r="EK180" s="18">
        <f>EJ180*VLOOKUP('Données projet'!$B$15,Paramètres!$A$1:$I$89,3,0)*VLOOKUP('Données projet'!$B$15,Paramètres!$A$1:$I$89,5,0)</f>
        <v>1.1439169611549005E-13</v>
      </c>
      <c r="EL180" s="14">
        <f t="shared" si="179"/>
        <v>1.6918016515029816E-12</v>
      </c>
      <c r="EM180" s="22">
        <f t="shared" si="180"/>
        <v>3.1457867471021712E-12</v>
      </c>
      <c r="EN180" s="60">
        <f t="shared" si="128"/>
        <v>289.19348642289839</v>
      </c>
      <c r="EO180" s="60">
        <f ca="1">AVERAGE(OFFSET($EN$3,0,0,'Données projet'!$E$15+1,1))-AVERAGE(OFFSET($H$3,0,0,'Données projet'!$E$15+1,1))</f>
        <v>344.62096650402731</v>
      </c>
      <c r="EP180" s="60">
        <f t="shared" si="154"/>
        <v>277.30931495079346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3.4106051316484809E-13</v>
      </c>
      <c r="FF180" s="18">
        <f>FE180*VLOOKUP('Données projet'!$B$16,Paramètres!$A$1:$I$89,3,0)*VLOOKUP('Données projet'!$B$16,Paramètres!$A$1:$I$89,5,0)</f>
        <v>2.9795046430081134E-13</v>
      </c>
      <c r="FG180" s="14">
        <f t="shared" si="182"/>
        <v>3.9419014464513778E-12</v>
      </c>
      <c r="FH180" s="22">
        <f t="shared" si="183"/>
        <v>7.384408744560063E-12</v>
      </c>
      <c r="FI180" s="60">
        <f t="shared" si="131"/>
        <v>289.19348642290265</v>
      </c>
      <c r="FJ180" s="60">
        <f ca="1">AVERAGE(OFFSET($FI$3,0,0,'Données projet'!$E$16+1,1))-AVERAGE(OFFSET($H$3,0,0,'Données projet'!$E$16+1,1))</f>
        <v>363.28611056308665</v>
      </c>
      <c r="FK180" s="60">
        <f t="shared" si="156"/>
        <v>389.43647559455974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-9.6633812063373625E-13</v>
      </c>
      <c r="GA180" s="18">
        <f>FZ180*VLOOKUP('Données projet'!$B$17,Paramètres!$A$1:$I$89,3,0)*VLOOKUP('Données projet'!$B$17,Paramètres!$A$1:$I$89,5,0)</f>
        <v>-1.0401663530501537E-12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542.90832990875208</v>
      </c>
      <c r="GF180" s="60">
        <f t="shared" si="158"/>
        <v>304.94365539329362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2.7134774427395314E-13</v>
      </c>
      <c r="P181" s="14">
        <f t="shared" si="141"/>
        <v>3.6292411711343559E-12</v>
      </c>
      <c r="Q181" s="22">
        <f t="shared" si="162"/>
        <v>6.7935256943361388E-12</v>
      </c>
      <c r="R181" s="60">
        <f t="shared" si="109"/>
        <v>289.26530351148699</v>
      </c>
      <c r="S181" s="60">
        <f ca="1">AVERAGE(OFFSET($R$3,0,0,'Données projet'!$E$9+1,1))-AVERAGE(OFFSET($H$3,0,0,'Données projet'!$E$9+1,1))</f>
        <v>336.25341821407534</v>
      </c>
      <c r="T181" s="60">
        <f t="shared" si="142"/>
        <v>360.3246221345039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516.30971934066179</v>
      </c>
      <c r="AO181" s="60">
        <f t="shared" si="144"/>
        <v>290.84286505723571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0">
        <f t="shared" si="116"/>
        <v>289.26530351148699</v>
      </c>
      <c r="BI181" s="60">
        <f ca="1">AVERAGE(OFFSET($BH$3,0,0,'Données projet'!$E$11+1,1))-AVERAGE(OFFSET($H$3,0,0,'Données projet'!$E$11+1,1))</f>
        <v>336.25341821407534</v>
      </c>
      <c r="BJ181" s="60">
        <f t="shared" si="146"/>
        <v>360.3246221345039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1.0818439477588981E-13</v>
      </c>
      <c r="CA181" s="14">
        <f t="shared" si="170"/>
        <v>1.6104228458716316E-12</v>
      </c>
      <c r="CB181" s="22">
        <f t="shared" si="171"/>
        <v>2.9932409441277661E-12</v>
      </c>
      <c r="CC181" s="60">
        <f t="shared" si="119"/>
        <v>289.26530351148318</v>
      </c>
      <c r="CD181" s="60">
        <f ca="1">AVERAGE(OFFSET($CC$3,0,0,'Données projet'!$E$12+1,1))-AVERAGE(OFFSET($H$3,0,0,'Données projet'!$E$12+1,1))</f>
        <v>398.29746143975166</v>
      </c>
      <c r="CE181" s="60">
        <f t="shared" si="148"/>
        <v>300.63705521148802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-9.3464223027694966E-13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496.33873798282525</v>
      </c>
      <c r="CZ181" s="60">
        <f t="shared" si="150"/>
        <v>280.25465074992246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8.8675733422860506E-14</v>
      </c>
      <c r="DQ181" s="14">
        <f t="shared" si="176"/>
        <v>1.3509285393066301E-12</v>
      </c>
      <c r="DR181" s="22">
        <f t="shared" si="177"/>
        <v>2.5073107750038623E-12</v>
      </c>
      <c r="DS181" s="60">
        <f t="shared" si="125"/>
        <v>289.26530351148267</v>
      </c>
      <c r="DT181" s="60">
        <f ca="1">AVERAGE(OFFSET($DS$3,0,0,'Données projet'!$E$14+1,1))-AVERAGE(OFFSET($H$3,0,0,'Données projet'!$E$14+1,1))</f>
        <v>312.59632808777332</v>
      </c>
      <c r="DU181" s="60">
        <f t="shared" si="152"/>
        <v>302.59481222418219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1.7053025658242404E-13</v>
      </c>
      <c r="EK181" s="18">
        <f>EJ181*VLOOKUP('Données projet'!$B$15,Paramètres!$A$1:$I$89,3,0)*VLOOKUP('Données projet'!$B$15,Paramètres!$A$1:$I$89,5,0)</f>
        <v>1.1439169611549005E-13</v>
      </c>
      <c r="EL181" s="14">
        <f t="shared" si="179"/>
        <v>1.6918016515029816E-12</v>
      </c>
      <c r="EM181" s="22">
        <f t="shared" si="180"/>
        <v>3.1457867471021712E-12</v>
      </c>
      <c r="EN181" s="60">
        <f t="shared" si="128"/>
        <v>289.2653035114833</v>
      </c>
      <c r="EO181" s="60">
        <f ca="1">AVERAGE(OFFSET($EN$3,0,0,'Données projet'!$E$15+1,1))-AVERAGE(OFFSET($H$3,0,0,'Données projet'!$E$15+1,1))</f>
        <v>344.62096650402731</v>
      </c>
      <c r="EP181" s="60">
        <f t="shared" si="154"/>
        <v>277.30931495079346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3.4106051316484809E-13</v>
      </c>
      <c r="FF181" s="18">
        <f>FE181*VLOOKUP('Données projet'!$B$16,Paramètres!$A$1:$I$89,3,0)*VLOOKUP('Données projet'!$B$16,Paramètres!$A$1:$I$89,5,0)</f>
        <v>2.9795046430081134E-13</v>
      </c>
      <c r="FG181" s="14">
        <f t="shared" si="182"/>
        <v>3.9419014464513778E-12</v>
      </c>
      <c r="FH181" s="22">
        <f t="shared" si="183"/>
        <v>7.384408744560063E-12</v>
      </c>
      <c r="FI181" s="60">
        <f t="shared" si="131"/>
        <v>289.26530351148756</v>
      </c>
      <c r="FJ181" s="60">
        <f ca="1">AVERAGE(OFFSET($FI$3,0,0,'Données projet'!$E$16+1,1))-AVERAGE(OFFSET($H$3,0,0,'Données projet'!$E$16+1,1))</f>
        <v>363.28611056308665</v>
      </c>
      <c r="FK181" s="60">
        <f t="shared" si="156"/>
        <v>389.43647559455974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-9.6633812063373625E-13</v>
      </c>
      <c r="GA181" s="18">
        <f>FZ181*VLOOKUP('Données projet'!$B$17,Paramètres!$A$1:$I$89,3,0)*VLOOKUP('Données projet'!$B$17,Paramètres!$A$1:$I$89,5,0)</f>
        <v>-1.0401663530501537E-12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542.90832990875208</v>
      </c>
      <c r="GF181" s="60">
        <f t="shared" si="158"/>
        <v>304.94365539329362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2.7134774427395314E-13</v>
      </c>
      <c r="P182" s="14">
        <f t="shared" si="141"/>
        <v>3.6292411711343559E-12</v>
      </c>
      <c r="Q182" s="22">
        <f t="shared" si="162"/>
        <v>6.7935256943361388E-12</v>
      </c>
      <c r="R182" s="60">
        <f t="shared" si="109"/>
        <v>289.33587473414394</v>
      </c>
      <c r="S182" s="60">
        <f ca="1">AVERAGE(OFFSET($R$3,0,0,'Données projet'!$E$9+1,1))-AVERAGE(OFFSET($H$3,0,0,'Données projet'!$E$9+1,1))</f>
        <v>336.25341821407534</v>
      </c>
      <c r="T182" s="60">
        <f t="shared" si="142"/>
        <v>360.3246221345039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516.30971934066179</v>
      </c>
      <c r="AO182" s="60">
        <f t="shared" si="144"/>
        <v>290.84286505723571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0">
        <f t="shared" si="116"/>
        <v>289.33587473414394</v>
      </c>
      <c r="BI182" s="60">
        <f ca="1">AVERAGE(OFFSET($BH$3,0,0,'Données projet'!$E$11+1,1))-AVERAGE(OFFSET($H$3,0,0,'Données projet'!$E$11+1,1))</f>
        <v>336.25341821407534</v>
      </c>
      <c r="BJ182" s="60">
        <f t="shared" si="146"/>
        <v>360.3246221345039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1.0818439477588981E-13</v>
      </c>
      <c r="CA182" s="14">
        <f t="shared" si="170"/>
        <v>1.6104228458716316E-12</v>
      </c>
      <c r="CB182" s="22">
        <f t="shared" si="171"/>
        <v>2.9932409441277661E-12</v>
      </c>
      <c r="CC182" s="60">
        <f t="shared" si="119"/>
        <v>289.33587473414013</v>
      </c>
      <c r="CD182" s="60">
        <f ca="1">AVERAGE(OFFSET($CC$3,0,0,'Données projet'!$E$12+1,1))-AVERAGE(OFFSET($H$3,0,0,'Données projet'!$E$12+1,1))</f>
        <v>398.29746143975166</v>
      </c>
      <c r="CE182" s="60">
        <f t="shared" si="148"/>
        <v>300.63705521148802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-9.3464223027694966E-13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496.33873798282525</v>
      </c>
      <c r="CZ182" s="60">
        <f t="shared" si="150"/>
        <v>280.25465074992246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8.8675733422860506E-14</v>
      </c>
      <c r="DQ182" s="14">
        <f t="shared" si="176"/>
        <v>1.3509285393066301E-12</v>
      </c>
      <c r="DR182" s="22">
        <f t="shared" si="177"/>
        <v>2.5073107750038623E-12</v>
      </c>
      <c r="DS182" s="60">
        <f t="shared" si="125"/>
        <v>289.33587473413962</v>
      </c>
      <c r="DT182" s="60">
        <f ca="1">AVERAGE(OFFSET($DS$3,0,0,'Données projet'!$E$14+1,1))-AVERAGE(OFFSET($H$3,0,0,'Données projet'!$E$14+1,1))</f>
        <v>312.59632808777332</v>
      </c>
      <c r="DU182" s="60">
        <f t="shared" si="152"/>
        <v>302.59481222418219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1.7053025658242404E-13</v>
      </c>
      <c r="EK182" s="18">
        <f>EJ182*VLOOKUP('Données projet'!$B$15,Paramètres!$A$1:$I$89,3,0)*VLOOKUP('Données projet'!$B$15,Paramètres!$A$1:$I$89,5,0)</f>
        <v>1.1439169611549005E-13</v>
      </c>
      <c r="EL182" s="14">
        <f t="shared" si="179"/>
        <v>1.6918016515029816E-12</v>
      </c>
      <c r="EM182" s="22">
        <f t="shared" si="180"/>
        <v>3.1457867471021712E-12</v>
      </c>
      <c r="EN182" s="60">
        <f t="shared" si="128"/>
        <v>289.33587473414025</v>
      </c>
      <c r="EO182" s="60">
        <f ca="1">AVERAGE(OFFSET($EN$3,0,0,'Données projet'!$E$15+1,1))-AVERAGE(OFFSET($H$3,0,0,'Données projet'!$E$15+1,1))</f>
        <v>344.62096650402731</v>
      </c>
      <c r="EP182" s="60">
        <f t="shared" si="154"/>
        <v>277.30931495079346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3.4106051316484809E-13</v>
      </c>
      <c r="FF182" s="18">
        <f>FE182*VLOOKUP('Données projet'!$B$16,Paramètres!$A$1:$I$89,3,0)*VLOOKUP('Données projet'!$B$16,Paramètres!$A$1:$I$89,5,0)</f>
        <v>2.9795046430081134E-13</v>
      </c>
      <c r="FG182" s="14">
        <f t="shared" si="182"/>
        <v>3.9419014464513778E-12</v>
      </c>
      <c r="FH182" s="22">
        <f t="shared" si="183"/>
        <v>7.384408744560063E-12</v>
      </c>
      <c r="FI182" s="60">
        <f t="shared" si="131"/>
        <v>289.33587473414451</v>
      </c>
      <c r="FJ182" s="60">
        <f ca="1">AVERAGE(OFFSET($FI$3,0,0,'Données projet'!$E$16+1,1))-AVERAGE(OFFSET($H$3,0,0,'Données projet'!$E$16+1,1))</f>
        <v>363.28611056308665</v>
      </c>
      <c r="FK182" s="60">
        <f t="shared" si="156"/>
        <v>389.43647559455974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-9.6633812063373625E-13</v>
      </c>
      <c r="GA182" s="18">
        <f>FZ182*VLOOKUP('Données projet'!$B$17,Paramètres!$A$1:$I$89,3,0)*VLOOKUP('Données projet'!$B$17,Paramètres!$A$1:$I$89,5,0)</f>
        <v>-1.0401663530501537E-12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542.90832990875208</v>
      </c>
      <c r="GF182" s="60">
        <f t="shared" si="158"/>
        <v>304.94365539329362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2.7134774427395314E-13</v>
      </c>
      <c r="P183" s="14">
        <f t="shared" si="141"/>
        <v>3.6292411711343559E-12</v>
      </c>
      <c r="Q183" s="22">
        <f t="shared" si="162"/>
        <v>6.7935256943361388E-12</v>
      </c>
      <c r="R183" s="60">
        <f t="shared" si="109"/>
        <v>289.40522170386146</v>
      </c>
      <c r="S183" s="60">
        <f ca="1">AVERAGE(OFFSET($R$3,0,0,'Données projet'!$E$9+1,1))-AVERAGE(OFFSET($H$3,0,0,'Données projet'!$E$9+1,1))</f>
        <v>336.25341821407534</v>
      </c>
      <c r="T183" s="60">
        <f t="shared" si="142"/>
        <v>360.3246221345039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516.30971934066179</v>
      </c>
      <c r="AO183" s="60">
        <f t="shared" si="144"/>
        <v>290.84286505723571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0">
        <f t="shared" si="116"/>
        <v>289.40522170386146</v>
      </c>
      <c r="BI183" s="60">
        <f ca="1">AVERAGE(OFFSET($BH$3,0,0,'Données projet'!$E$11+1,1))-AVERAGE(OFFSET($H$3,0,0,'Données projet'!$E$11+1,1))</f>
        <v>336.25341821407534</v>
      </c>
      <c r="BJ183" s="60">
        <f t="shared" si="146"/>
        <v>360.3246221345039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1.0818439477588981E-13</v>
      </c>
      <c r="CA183" s="14">
        <f t="shared" si="170"/>
        <v>1.6104228458716316E-12</v>
      </c>
      <c r="CB183" s="22">
        <f t="shared" si="171"/>
        <v>2.9932409441277661E-12</v>
      </c>
      <c r="CC183" s="60">
        <f t="shared" si="119"/>
        <v>289.40522170385765</v>
      </c>
      <c r="CD183" s="60">
        <f ca="1">AVERAGE(OFFSET($CC$3,0,0,'Données projet'!$E$12+1,1))-AVERAGE(OFFSET($H$3,0,0,'Données projet'!$E$12+1,1))</f>
        <v>398.29746143975166</v>
      </c>
      <c r="CE183" s="60">
        <f t="shared" si="148"/>
        <v>300.63705521148802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-9.3464223027694966E-13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496.33873798282525</v>
      </c>
      <c r="CZ183" s="60">
        <f t="shared" si="150"/>
        <v>280.25465074992246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8.8675733422860506E-14</v>
      </c>
      <c r="DQ183" s="14">
        <f t="shared" si="176"/>
        <v>1.3509285393066301E-12</v>
      </c>
      <c r="DR183" s="22">
        <f t="shared" si="177"/>
        <v>2.5073107750038623E-12</v>
      </c>
      <c r="DS183" s="60">
        <f t="shared" si="125"/>
        <v>289.40522170385714</v>
      </c>
      <c r="DT183" s="60">
        <f ca="1">AVERAGE(OFFSET($DS$3,0,0,'Données projet'!$E$14+1,1))-AVERAGE(OFFSET($H$3,0,0,'Données projet'!$E$14+1,1))</f>
        <v>312.59632808777332</v>
      </c>
      <c r="DU183" s="60">
        <f t="shared" si="152"/>
        <v>302.59481222418219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1.7053025658242404E-13</v>
      </c>
      <c r="EK183" s="18">
        <f>EJ183*VLOOKUP('Données projet'!$B$15,Paramètres!$A$1:$I$89,3,0)*VLOOKUP('Données projet'!$B$15,Paramètres!$A$1:$I$89,5,0)</f>
        <v>1.1439169611549005E-13</v>
      </c>
      <c r="EL183" s="14">
        <f t="shared" si="179"/>
        <v>1.6918016515029816E-12</v>
      </c>
      <c r="EM183" s="22">
        <f t="shared" si="180"/>
        <v>3.1457867471021712E-12</v>
      </c>
      <c r="EN183" s="60">
        <f t="shared" si="128"/>
        <v>289.40522170385776</v>
      </c>
      <c r="EO183" s="60">
        <f ca="1">AVERAGE(OFFSET($EN$3,0,0,'Données projet'!$E$15+1,1))-AVERAGE(OFFSET($H$3,0,0,'Données projet'!$E$15+1,1))</f>
        <v>344.62096650402731</v>
      </c>
      <c r="EP183" s="60">
        <f t="shared" si="154"/>
        <v>277.30931495079346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3.4106051316484809E-13</v>
      </c>
      <c r="FF183" s="18">
        <f>FE183*VLOOKUP('Données projet'!$B$16,Paramètres!$A$1:$I$89,3,0)*VLOOKUP('Données projet'!$B$16,Paramètres!$A$1:$I$89,5,0)</f>
        <v>2.9795046430081134E-13</v>
      </c>
      <c r="FG183" s="14">
        <f t="shared" si="182"/>
        <v>3.9419014464513778E-12</v>
      </c>
      <c r="FH183" s="22">
        <f t="shared" si="183"/>
        <v>7.384408744560063E-12</v>
      </c>
      <c r="FI183" s="60">
        <f t="shared" si="131"/>
        <v>289.40522170386203</v>
      </c>
      <c r="FJ183" s="60">
        <f ca="1">AVERAGE(OFFSET($FI$3,0,0,'Données projet'!$E$16+1,1))-AVERAGE(OFFSET($H$3,0,0,'Données projet'!$E$16+1,1))</f>
        <v>363.28611056308665</v>
      </c>
      <c r="FK183" s="60">
        <f t="shared" si="156"/>
        <v>389.43647559455974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-9.6633812063373625E-13</v>
      </c>
      <c r="GA183" s="18">
        <f>FZ183*VLOOKUP('Données projet'!$B$17,Paramètres!$A$1:$I$89,3,0)*VLOOKUP('Données projet'!$B$17,Paramètres!$A$1:$I$89,5,0)</f>
        <v>-1.0401663530501537E-12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542.90832990875208</v>
      </c>
      <c r="GF183" s="60">
        <f t="shared" si="158"/>
        <v>304.94365539329362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2.7134774427395314E-13</v>
      </c>
      <c r="P184" s="14">
        <f t="shared" si="141"/>
        <v>3.6292411711343559E-12</v>
      </c>
      <c r="Q184" s="22">
        <f t="shared" si="162"/>
        <v>6.7935256943361388E-12</v>
      </c>
      <c r="R184" s="60">
        <f t="shared" si="109"/>
        <v>289.47336565869091</v>
      </c>
      <c r="S184" s="60">
        <f ca="1">AVERAGE(OFFSET($R$3,0,0,'Données projet'!$E$9+1,1))-AVERAGE(OFFSET($H$3,0,0,'Données projet'!$E$9+1,1))</f>
        <v>336.25341821407534</v>
      </c>
      <c r="T184" s="60">
        <f t="shared" si="142"/>
        <v>360.3246221345039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516.30971934066179</v>
      </c>
      <c r="AO184" s="60">
        <f t="shared" si="144"/>
        <v>290.84286505723571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0">
        <f t="shared" si="116"/>
        <v>289.47336565869091</v>
      </c>
      <c r="BI184" s="60">
        <f ca="1">AVERAGE(OFFSET($BH$3,0,0,'Données projet'!$E$11+1,1))-AVERAGE(OFFSET($H$3,0,0,'Données projet'!$E$11+1,1))</f>
        <v>336.25341821407534</v>
      </c>
      <c r="BJ184" s="60">
        <f t="shared" si="146"/>
        <v>360.3246221345039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1.0818439477588981E-13</v>
      </c>
      <c r="CA184" s="14">
        <f t="shared" si="170"/>
        <v>1.6104228458716316E-12</v>
      </c>
      <c r="CB184" s="22">
        <f t="shared" si="171"/>
        <v>2.9932409441277661E-12</v>
      </c>
      <c r="CC184" s="60">
        <f t="shared" si="119"/>
        <v>289.4733656586871</v>
      </c>
      <c r="CD184" s="60">
        <f ca="1">AVERAGE(OFFSET($CC$3,0,0,'Données projet'!$E$12+1,1))-AVERAGE(OFFSET($H$3,0,0,'Données projet'!$E$12+1,1))</f>
        <v>398.29746143975166</v>
      </c>
      <c r="CE184" s="60">
        <f t="shared" si="148"/>
        <v>300.63705521148802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-9.3464223027694966E-13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496.33873798282525</v>
      </c>
      <c r="CZ184" s="60">
        <f t="shared" si="150"/>
        <v>280.25465074992246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8.8675733422860506E-14</v>
      </c>
      <c r="DQ184" s="14">
        <f t="shared" si="176"/>
        <v>1.3509285393066301E-12</v>
      </c>
      <c r="DR184" s="22">
        <f t="shared" si="177"/>
        <v>2.5073107750038623E-12</v>
      </c>
      <c r="DS184" s="60">
        <f t="shared" si="125"/>
        <v>289.47336565868659</v>
      </c>
      <c r="DT184" s="60">
        <f ca="1">AVERAGE(OFFSET($DS$3,0,0,'Données projet'!$E$14+1,1))-AVERAGE(OFFSET($H$3,0,0,'Données projet'!$E$14+1,1))</f>
        <v>312.59632808777332</v>
      </c>
      <c r="DU184" s="60">
        <f t="shared" si="152"/>
        <v>302.59481222418219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1.7053025658242404E-13</v>
      </c>
      <c r="EK184" s="18">
        <f>EJ184*VLOOKUP('Données projet'!$B$15,Paramètres!$A$1:$I$89,3,0)*VLOOKUP('Données projet'!$B$15,Paramètres!$A$1:$I$89,5,0)</f>
        <v>1.1439169611549005E-13</v>
      </c>
      <c r="EL184" s="14">
        <f t="shared" si="179"/>
        <v>1.6918016515029816E-12</v>
      </c>
      <c r="EM184" s="22">
        <f t="shared" si="180"/>
        <v>3.1457867471021712E-12</v>
      </c>
      <c r="EN184" s="60">
        <f t="shared" si="128"/>
        <v>289.47336565868721</v>
      </c>
      <c r="EO184" s="60">
        <f ca="1">AVERAGE(OFFSET($EN$3,0,0,'Données projet'!$E$15+1,1))-AVERAGE(OFFSET($H$3,0,0,'Données projet'!$E$15+1,1))</f>
        <v>344.62096650402731</v>
      </c>
      <c r="EP184" s="60">
        <f t="shared" si="154"/>
        <v>277.30931495079346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3.4106051316484809E-13</v>
      </c>
      <c r="FF184" s="18">
        <f>FE184*VLOOKUP('Données projet'!$B$16,Paramètres!$A$1:$I$89,3,0)*VLOOKUP('Données projet'!$B$16,Paramètres!$A$1:$I$89,5,0)</f>
        <v>2.9795046430081134E-13</v>
      </c>
      <c r="FG184" s="14">
        <f t="shared" si="182"/>
        <v>3.9419014464513778E-12</v>
      </c>
      <c r="FH184" s="22">
        <f t="shared" si="183"/>
        <v>7.384408744560063E-12</v>
      </c>
      <c r="FI184" s="60">
        <f t="shared" si="131"/>
        <v>289.47336565869148</v>
      </c>
      <c r="FJ184" s="60">
        <f ca="1">AVERAGE(OFFSET($FI$3,0,0,'Données projet'!$E$16+1,1))-AVERAGE(OFFSET($H$3,0,0,'Données projet'!$E$16+1,1))</f>
        <v>363.28611056308665</v>
      </c>
      <c r="FK184" s="60">
        <f t="shared" si="156"/>
        <v>389.43647559455974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-9.6633812063373625E-13</v>
      </c>
      <c r="GA184" s="18">
        <f>FZ184*VLOOKUP('Données projet'!$B$17,Paramètres!$A$1:$I$89,3,0)*VLOOKUP('Données projet'!$B$17,Paramètres!$A$1:$I$89,5,0)</f>
        <v>-1.0401663530501537E-12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542.90832990875208</v>
      </c>
      <c r="GF184" s="60">
        <f t="shared" si="158"/>
        <v>304.94365539329362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2.7134774427395314E-13</v>
      </c>
      <c r="P185" s="14">
        <f t="shared" si="141"/>
        <v>3.6292411711343559E-12</v>
      </c>
      <c r="Q185" s="22">
        <f t="shared" si="162"/>
        <v>6.7935256943361388E-12</v>
      </c>
      <c r="R185" s="60">
        <f t="shared" si="109"/>
        <v>289.54032746825123</v>
      </c>
      <c r="S185" s="60">
        <f ca="1">AVERAGE(OFFSET($R$3,0,0,'Données projet'!$E$9+1,1))-AVERAGE(OFFSET($H$3,0,0,'Données projet'!$E$9+1,1))</f>
        <v>336.25341821407534</v>
      </c>
      <c r="T185" s="60">
        <f t="shared" si="142"/>
        <v>360.3246221345039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516.30971934066179</v>
      </c>
      <c r="AO185" s="60">
        <f t="shared" si="144"/>
        <v>290.84286505723571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0">
        <f t="shared" si="116"/>
        <v>289.54032746825123</v>
      </c>
      <c r="BI185" s="60">
        <f ca="1">AVERAGE(OFFSET($BH$3,0,0,'Données projet'!$E$11+1,1))-AVERAGE(OFFSET($H$3,0,0,'Données projet'!$E$11+1,1))</f>
        <v>336.25341821407534</v>
      </c>
      <c r="BJ185" s="60">
        <f t="shared" si="146"/>
        <v>360.3246221345039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1.0818439477588981E-13</v>
      </c>
      <c r="CA185" s="14">
        <f t="shared" si="170"/>
        <v>1.6104228458716316E-12</v>
      </c>
      <c r="CB185" s="22">
        <f t="shared" si="171"/>
        <v>2.9932409441277661E-12</v>
      </c>
      <c r="CC185" s="60">
        <f t="shared" si="119"/>
        <v>289.54032746824743</v>
      </c>
      <c r="CD185" s="60">
        <f ca="1">AVERAGE(OFFSET($CC$3,0,0,'Données projet'!$E$12+1,1))-AVERAGE(OFFSET($H$3,0,0,'Données projet'!$E$12+1,1))</f>
        <v>398.29746143975166</v>
      </c>
      <c r="CE185" s="60">
        <f t="shared" si="148"/>
        <v>300.63705521148802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-9.3464223027694966E-13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496.33873798282525</v>
      </c>
      <c r="CZ185" s="60">
        <f t="shared" si="150"/>
        <v>280.25465074992246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8.8675733422860506E-14</v>
      </c>
      <c r="DQ185" s="14">
        <f t="shared" si="176"/>
        <v>1.3509285393066301E-12</v>
      </c>
      <c r="DR185" s="22">
        <f t="shared" si="177"/>
        <v>2.5073107750038623E-12</v>
      </c>
      <c r="DS185" s="60">
        <f t="shared" si="125"/>
        <v>289.54032746824691</v>
      </c>
      <c r="DT185" s="60">
        <f ca="1">AVERAGE(OFFSET($DS$3,0,0,'Données projet'!$E$14+1,1))-AVERAGE(OFFSET($H$3,0,0,'Données projet'!$E$14+1,1))</f>
        <v>312.59632808777332</v>
      </c>
      <c r="DU185" s="60">
        <f t="shared" si="152"/>
        <v>302.59481222418219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1.7053025658242404E-13</v>
      </c>
      <c r="EK185" s="18">
        <f>EJ185*VLOOKUP('Données projet'!$B$15,Paramètres!$A$1:$I$89,3,0)*VLOOKUP('Données projet'!$B$15,Paramètres!$A$1:$I$89,5,0)</f>
        <v>1.1439169611549005E-13</v>
      </c>
      <c r="EL185" s="14">
        <f t="shared" si="179"/>
        <v>1.6918016515029816E-12</v>
      </c>
      <c r="EM185" s="22">
        <f t="shared" si="180"/>
        <v>3.1457867471021712E-12</v>
      </c>
      <c r="EN185" s="60">
        <f t="shared" si="128"/>
        <v>289.54032746824754</v>
      </c>
      <c r="EO185" s="60">
        <f ca="1">AVERAGE(OFFSET($EN$3,0,0,'Données projet'!$E$15+1,1))-AVERAGE(OFFSET($H$3,0,0,'Données projet'!$E$15+1,1))</f>
        <v>344.62096650402731</v>
      </c>
      <c r="EP185" s="60">
        <f t="shared" si="154"/>
        <v>277.30931495079346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3.4106051316484809E-13</v>
      </c>
      <c r="FF185" s="18">
        <f>FE185*VLOOKUP('Données projet'!$B$16,Paramètres!$A$1:$I$89,3,0)*VLOOKUP('Données projet'!$B$16,Paramètres!$A$1:$I$89,5,0)</f>
        <v>2.9795046430081134E-13</v>
      </c>
      <c r="FG185" s="14">
        <f t="shared" si="182"/>
        <v>3.9419014464513778E-12</v>
      </c>
      <c r="FH185" s="22">
        <f t="shared" si="183"/>
        <v>7.384408744560063E-12</v>
      </c>
      <c r="FI185" s="60">
        <f t="shared" si="131"/>
        <v>289.5403274682518</v>
      </c>
      <c r="FJ185" s="60">
        <f ca="1">AVERAGE(OFFSET($FI$3,0,0,'Données projet'!$E$16+1,1))-AVERAGE(OFFSET($H$3,0,0,'Données projet'!$E$16+1,1))</f>
        <v>363.28611056308665</v>
      </c>
      <c r="FK185" s="60">
        <f t="shared" si="156"/>
        <v>389.43647559455974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-9.6633812063373625E-13</v>
      </c>
      <c r="GA185" s="18">
        <f>FZ185*VLOOKUP('Données projet'!$B$17,Paramètres!$A$1:$I$89,3,0)*VLOOKUP('Données projet'!$B$17,Paramètres!$A$1:$I$89,5,0)</f>
        <v>-1.0401663530501537E-12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542.90832990875208</v>
      </c>
      <c r="GF185" s="60">
        <f t="shared" si="158"/>
        <v>304.94365539329362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2.7134774427395314E-13</v>
      </c>
      <c r="P186" s="14">
        <f t="shared" si="141"/>
        <v>3.6292411711343559E-12</v>
      </c>
      <c r="Q186" s="22">
        <f t="shared" si="162"/>
        <v>6.7935256943361388E-12</v>
      </c>
      <c r="R186" s="60">
        <f t="shared" si="109"/>
        <v>289.60612764011978</v>
      </c>
      <c r="S186" s="60">
        <f ca="1">AVERAGE(OFFSET($R$3,0,0,'Données projet'!$E$9+1,1))-AVERAGE(OFFSET($H$3,0,0,'Données projet'!$E$9+1,1))</f>
        <v>336.25341821407534</v>
      </c>
      <c r="T186" s="60">
        <f t="shared" si="142"/>
        <v>360.3246221345039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516.30971934066179</v>
      </c>
      <c r="AO186" s="60">
        <f t="shared" si="144"/>
        <v>290.84286505723571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0">
        <f t="shared" si="116"/>
        <v>289.60612764011978</v>
      </c>
      <c r="BI186" s="60">
        <f ca="1">AVERAGE(OFFSET($BH$3,0,0,'Données projet'!$E$11+1,1))-AVERAGE(OFFSET($H$3,0,0,'Données projet'!$E$11+1,1))</f>
        <v>336.25341821407534</v>
      </c>
      <c r="BJ186" s="60">
        <f t="shared" si="146"/>
        <v>360.3246221345039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1.0818439477588981E-13</v>
      </c>
      <c r="CA186" s="14">
        <f t="shared" si="170"/>
        <v>1.6104228458716316E-12</v>
      </c>
      <c r="CB186" s="22">
        <f t="shared" si="171"/>
        <v>2.9932409441277661E-12</v>
      </c>
      <c r="CC186" s="60">
        <f t="shared" si="119"/>
        <v>289.60612764011597</v>
      </c>
      <c r="CD186" s="60">
        <f ca="1">AVERAGE(OFFSET($CC$3,0,0,'Données projet'!$E$12+1,1))-AVERAGE(OFFSET($H$3,0,0,'Données projet'!$E$12+1,1))</f>
        <v>398.29746143975166</v>
      </c>
      <c r="CE186" s="60">
        <f t="shared" si="148"/>
        <v>300.63705521148802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-9.3464223027694966E-13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496.33873798282525</v>
      </c>
      <c r="CZ186" s="60">
        <f t="shared" si="150"/>
        <v>280.25465074992246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8.8675733422860506E-14</v>
      </c>
      <c r="DQ186" s="14">
        <f t="shared" si="176"/>
        <v>1.3509285393066301E-12</v>
      </c>
      <c r="DR186" s="22">
        <f t="shared" si="177"/>
        <v>2.5073107750038623E-12</v>
      </c>
      <c r="DS186" s="60">
        <f t="shared" si="125"/>
        <v>289.60612764011546</v>
      </c>
      <c r="DT186" s="60">
        <f ca="1">AVERAGE(OFFSET($DS$3,0,0,'Données projet'!$E$14+1,1))-AVERAGE(OFFSET($H$3,0,0,'Données projet'!$E$14+1,1))</f>
        <v>312.59632808777332</v>
      </c>
      <c r="DU186" s="60">
        <f t="shared" si="152"/>
        <v>302.59481222418219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1.7053025658242404E-13</v>
      </c>
      <c r="EK186" s="18">
        <f>EJ186*VLOOKUP('Données projet'!$B$15,Paramètres!$A$1:$I$89,3,0)*VLOOKUP('Données projet'!$B$15,Paramètres!$A$1:$I$89,5,0)</f>
        <v>1.1439169611549005E-13</v>
      </c>
      <c r="EL186" s="14">
        <f t="shared" si="179"/>
        <v>1.6918016515029816E-12</v>
      </c>
      <c r="EM186" s="22">
        <f t="shared" si="180"/>
        <v>3.1457867471021712E-12</v>
      </c>
      <c r="EN186" s="60">
        <f t="shared" si="128"/>
        <v>289.60612764011609</v>
      </c>
      <c r="EO186" s="60">
        <f ca="1">AVERAGE(OFFSET($EN$3,0,0,'Données projet'!$E$15+1,1))-AVERAGE(OFFSET($H$3,0,0,'Données projet'!$E$15+1,1))</f>
        <v>344.62096650402731</v>
      </c>
      <c r="EP186" s="60">
        <f t="shared" si="154"/>
        <v>277.30931495079346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3.4106051316484809E-13</v>
      </c>
      <c r="FF186" s="18">
        <f>FE186*VLOOKUP('Données projet'!$B$16,Paramètres!$A$1:$I$89,3,0)*VLOOKUP('Données projet'!$B$16,Paramètres!$A$1:$I$89,5,0)</f>
        <v>2.9795046430081134E-13</v>
      </c>
      <c r="FG186" s="14">
        <f t="shared" si="182"/>
        <v>3.9419014464513778E-12</v>
      </c>
      <c r="FH186" s="22">
        <f t="shared" si="183"/>
        <v>7.384408744560063E-12</v>
      </c>
      <c r="FI186" s="60">
        <f t="shared" si="131"/>
        <v>289.60612764012035</v>
      </c>
      <c r="FJ186" s="60">
        <f ca="1">AVERAGE(OFFSET($FI$3,0,0,'Données projet'!$E$16+1,1))-AVERAGE(OFFSET($H$3,0,0,'Données projet'!$E$16+1,1))</f>
        <v>363.28611056308665</v>
      </c>
      <c r="FK186" s="60">
        <f t="shared" si="156"/>
        <v>389.43647559455974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-9.6633812063373625E-13</v>
      </c>
      <c r="GA186" s="18">
        <f>FZ186*VLOOKUP('Données projet'!$B$17,Paramètres!$A$1:$I$89,3,0)*VLOOKUP('Données projet'!$B$17,Paramètres!$A$1:$I$89,5,0)</f>
        <v>-1.0401663530501537E-12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542.90832990875208</v>
      </c>
      <c r="GF186" s="60">
        <f t="shared" si="158"/>
        <v>304.94365539329362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2.7134774427395314E-13</v>
      </c>
      <c r="P187" s="14">
        <f t="shared" si="141"/>
        <v>3.6292411711343559E-12</v>
      </c>
      <c r="Q187" s="22">
        <f t="shared" si="162"/>
        <v>6.7935256943361388E-12</v>
      </c>
      <c r="R187" s="60">
        <f t="shared" si="109"/>
        <v>289.67078632611356</v>
      </c>
      <c r="S187" s="60">
        <f ca="1">AVERAGE(OFFSET($R$3,0,0,'Données projet'!$E$9+1,1))-AVERAGE(OFFSET($H$3,0,0,'Données projet'!$E$9+1,1))</f>
        <v>336.25341821407534</v>
      </c>
      <c r="T187" s="60">
        <f t="shared" si="142"/>
        <v>360.3246221345039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516.30971934066179</v>
      </c>
      <c r="AO187" s="60">
        <f t="shared" si="144"/>
        <v>290.84286505723571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0">
        <f t="shared" si="116"/>
        <v>289.67078632611356</v>
      </c>
      <c r="BI187" s="60">
        <f ca="1">AVERAGE(OFFSET($BH$3,0,0,'Données projet'!$E$11+1,1))-AVERAGE(OFFSET($H$3,0,0,'Données projet'!$E$11+1,1))</f>
        <v>336.25341821407534</v>
      </c>
      <c r="BJ187" s="60">
        <f t="shared" si="146"/>
        <v>360.3246221345039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1.0818439477588981E-13</v>
      </c>
      <c r="CA187" s="14">
        <f t="shared" si="170"/>
        <v>1.6104228458716316E-12</v>
      </c>
      <c r="CB187" s="22">
        <f t="shared" si="171"/>
        <v>2.9932409441277661E-12</v>
      </c>
      <c r="CC187" s="60">
        <f t="shared" si="119"/>
        <v>289.67078632610975</v>
      </c>
      <c r="CD187" s="60">
        <f ca="1">AVERAGE(OFFSET($CC$3,0,0,'Données projet'!$E$12+1,1))-AVERAGE(OFFSET($H$3,0,0,'Données projet'!$E$12+1,1))</f>
        <v>398.29746143975166</v>
      </c>
      <c r="CE187" s="60">
        <f t="shared" si="148"/>
        <v>300.63705521148802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-9.3464223027694966E-13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496.33873798282525</v>
      </c>
      <c r="CZ187" s="60">
        <f t="shared" si="150"/>
        <v>280.25465074992246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8.8675733422860506E-14</v>
      </c>
      <c r="DQ187" s="14">
        <f t="shared" si="176"/>
        <v>1.3509285393066301E-12</v>
      </c>
      <c r="DR187" s="22">
        <f t="shared" si="177"/>
        <v>2.5073107750038623E-12</v>
      </c>
      <c r="DS187" s="60">
        <f t="shared" si="125"/>
        <v>289.67078632610924</v>
      </c>
      <c r="DT187" s="60">
        <f ca="1">AVERAGE(OFFSET($DS$3,0,0,'Données projet'!$E$14+1,1))-AVERAGE(OFFSET($H$3,0,0,'Données projet'!$E$14+1,1))</f>
        <v>312.59632808777332</v>
      </c>
      <c r="DU187" s="60">
        <f t="shared" si="152"/>
        <v>302.59481222418219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1.7053025658242404E-13</v>
      </c>
      <c r="EK187" s="18">
        <f>EJ187*VLOOKUP('Données projet'!$B$15,Paramètres!$A$1:$I$89,3,0)*VLOOKUP('Données projet'!$B$15,Paramètres!$A$1:$I$89,5,0)</f>
        <v>1.1439169611549005E-13</v>
      </c>
      <c r="EL187" s="14">
        <f t="shared" si="179"/>
        <v>1.6918016515029816E-12</v>
      </c>
      <c r="EM187" s="22">
        <f t="shared" si="180"/>
        <v>3.1457867471021712E-12</v>
      </c>
      <c r="EN187" s="60">
        <f t="shared" si="128"/>
        <v>289.67078632610986</v>
      </c>
      <c r="EO187" s="60">
        <f ca="1">AVERAGE(OFFSET($EN$3,0,0,'Données projet'!$E$15+1,1))-AVERAGE(OFFSET($H$3,0,0,'Données projet'!$E$15+1,1))</f>
        <v>344.62096650402731</v>
      </c>
      <c r="EP187" s="60">
        <f t="shared" si="154"/>
        <v>277.30931495079346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3.4106051316484809E-13</v>
      </c>
      <c r="FF187" s="18">
        <f>FE187*VLOOKUP('Données projet'!$B$16,Paramètres!$A$1:$I$89,3,0)*VLOOKUP('Données projet'!$B$16,Paramètres!$A$1:$I$89,5,0)</f>
        <v>2.9795046430081134E-13</v>
      </c>
      <c r="FG187" s="14">
        <f t="shared" si="182"/>
        <v>3.9419014464513778E-12</v>
      </c>
      <c r="FH187" s="22">
        <f t="shared" si="183"/>
        <v>7.384408744560063E-12</v>
      </c>
      <c r="FI187" s="60">
        <f t="shared" si="131"/>
        <v>289.67078632611413</v>
      </c>
      <c r="FJ187" s="60">
        <f ca="1">AVERAGE(OFFSET($FI$3,0,0,'Données projet'!$E$16+1,1))-AVERAGE(OFFSET($H$3,0,0,'Données projet'!$E$16+1,1))</f>
        <v>363.28611056308665</v>
      </c>
      <c r="FK187" s="60">
        <f t="shared" si="156"/>
        <v>389.43647559455974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-9.6633812063373625E-13</v>
      </c>
      <c r="GA187" s="18">
        <f>FZ187*VLOOKUP('Données projet'!$B$17,Paramètres!$A$1:$I$89,3,0)*VLOOKUP('Données projet'!$B$17,Paramètres!$A$1:$I$89,5,0)</f>
        <v>-1.0401663530501537E-12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542.90832990875208</v>
      </c>
      <c r="GF187" s="60">
        <f t="shared" si="158"/>
        <v>304.94365539329362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2.7134774427395314E-13</v>
      </c>
      <c r="P188" s="14">
        <f t="shared" si="141"/>
        <v>3.6292411711343559E-12</v>
      </c>
      <c r="Q188" s="22">
        <f t="shared" si="162"/>
        <v>6.7935256943361388E-12</v>
      </c>
      <c r="R188" s="60">
        <f t="shared" si="109"/>
        <v>289.73432332846056</v>
      </c>
      <c r="S188" s="60">
        <f ca="1">AVERAGE(OFFSET($R$3,0,0,'Données projet'!$E$9+1,1))-AVERAGE(OFFSET($H$3,0,0,'Données projet'!$E$9+1,1))</f>
        <v>336.25341821407534</v>
      </c>
      <c r="T188" s="60">
        <f t="shared" si="142"/>
        <v>360.3246221345039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516.30971934066179</v>
      </c>
      <c r="AO188" s="60">
        <f t="shared" si="144"/>
        <v>290.84286505723571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0">
        <f t="shared" si="116"/>
        <v>289.73432332846056</v>
      </c>
      <c r="BI188" s="60">
        <f ca="1">AVERAGE(OFFSET($BH$3,0,0,'Données projet'!$E$11+1,1))-AVERAGE(OFFSET($H$3,0,0,'Données projet'!$E$11+1,1))</f>
        <v>336.25341821407534</v>
      </c>
      <c r="BJ188" s="60">
        <f t="shared" si="146"/>
        <v>360.3246221345039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1.0818439477588981E-13</v>
      </c>
      <c r="CA188" s="14">
        <f t="shared" si="170"/>
        <v>1.6104228458716316E-12</v>
      </c>
      <c r="CB188" s="22">
        <f t="shared" si="171"/>
        <v>2.9932409441277661E-12</v>
      </c>
      <c r="CC188" s="60">
        <f t="shared" si="119"/>
        <v>289.73432332845675</v>
      </c>
      <c r="CD188" s="60">
        <f ca="1">AVERAGE(OFFSET($CC$3,0,0,'Données projet'!$E$12+1,1))-AVERAGE(OFFSET($H$3,0,0,'Données projet'!$E$12+1,1))</f>
        <v>398.29746143975166</v>
      </c>
      <c r="CE188" s="60">
        <f t="shared" si="148"/>
        <v>300.63705521148802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-9.3464223027694966E-13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496.33873798282525</v>
      </c>
      <c r="CZ188" s="60">
        <f t="shared" si="150"/>
        <v>280.25465074992246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8.8675733422860506E-14</v>
      </c>
      <c r="DQ188" s="14">
        <f t="shared" si="176"/>
        <v>1.3509285393066301E-12</v>
      </c>
      <c r="DR188" s="22">
        <f t="shared" si="177"/>
        <v>2.5073107750038623E-12</v>
      </c>
      <c r="DS188" s="60">
        <f t="shared" si="125"/>
        <v>289.73432332845624</v>
      </c>
      <c r="DT188" s="60">
        <f ca="1">AVERAGE(OFFSET($DS$3,0,0,'Données projet'!$E$14+1,1))-AVERAGE(OFFSET($H$3,0,0,'Données projet'!$E$14+1,1))</f>
        <v>312.59632808777332</v>
      </c>
      <c r="DU188" s="60">
        <f t="shared" si="152"/>
        <v>302.59481222418219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1.7053025658242404E-13</v>
      </c>
      <c r="EK188" s="18">
        <f>EJ188*VLOOKUP('Données projet'!$B$15,Paramètres!$A$1:$I$89,3,0)*VLOOKUP('Données projet'!$B$15,Paramètres!$A$1:$I$89,5,0)</f>
        <v>1.1439169611549005E-13</v>
      </c>
      <c r="EL188" s="14">
        <f t="shared" si="179"/>
        <v>1.6918016515029816E-12</v>
      </c>
      <c r="EM188" s="22">
        <f t="shared" si="180"/>
        <v>3.1457867471021712E-12</v>
      </c>
      <c r="EN188" s="60">
        <f t="shared" si="128"/>
        <v>289.73432332845687</v>
      </c>
      <c r="EO188" s="60">
        <f ca="1">AVERAGE(OFFSET($EN$3,0,0,'Données projet'!$E$15+1,1))-AVERAGE(OFFSET($H$3,0,0,'Données projet'!$E$15+1,1))</f>
        <v>344.62096650402731</v>
      </c>
      <c r="EP188" s="60">
        <f t="shared" si="154"/>
        <v>277.30931495079346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3.4106051316484809E-13</v>
      </c>
      <c r="FF188" s="18">
        <f>FE188*VLOOKUP('Données projet'!$B$16,Paramètres!$A$1:$I$89,3,0)*VLOOKUP('Données projet'!$B$16,Paramètres!$A$1:$I$89,5,0)</f>
        <v>2.9795046430081134E-13</v>
      </c>
      <c r="FG188" s="14">
        <f t="shared" si="182"/>
        <v>3.9419014464513778E-12</v>
      </c>
      <c r="FH188" s="22">
        <f t="shared" si="183"/>
        <v>7.384408744560063E-12</v>
      </c>
      <c r="FI188" s="60">
        <f t="shared" si="131"/>
        <v>289.73432332846113</v>
      </c>
      <c r="FJ188" s="60">
        <f ca="1">AVERAGE(OFFSET($FI$3,0,0,'Données projet'!$E$16+1,1))-AVERAGE(OFFSET($H$3,0,0,'Données projet'!$E$16+1,1))</f>
        <v>363.28611056308665</v>
      </c>
      <c r="FK188" s="60">
        <f t="shared" si="156"/>
        <v>389.43647559455974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-9.6633812063373625E-13</v>
      </c>
      <c r="GA188" s="18">
        <f>FZ188*VLOOKUP('Données projet'!$B$17,Paramètres!$A$1:$I$89,3,0)*VLOOKUP('Données projet'!$B$17,Paramètres!$A$1:$I$89,5,0)</f>
        <v>-1.0401663530501537E-12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542.90832990875208</v>
      </c>
      <c r="GF188" s="60">
        <f t="shared" si="158"/>
        <v>304.94365539329362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2.7134774427395314E-13</v>
      </c>
      <c r="P189" s="14">
        <f t="shared" si="141"/>
        <v>3.6292411711343559E-12</v>
      </c>
      <c r="Q189" s="22">
        <f t="shared" si="162"/>
        <v>6.7935256943361388E-12</v>
      </c>
      <c r="R189" s="60">
        <f t="shared" si="109"/>
        <v>289.79675810586423</v>
      </c>
      <c r="S189" s="60">
        <f ca="1">AVERAGE(OFFSET($R$3,0,0,'Données projet'!$E$9+1,1))-AVERAGE(OFFSET($H$3,0,0,'Données projet'!$E$9+1,1))</f>
        <v>336.25341821407534</v>
      </c>
      <c r="T189" s="60">
        <f t="shared" si="142"/>
        <v>360.3246221345039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516.30971934066179</v>
      </c>
      <c r="AO189" s="60">
        <f t="shared" si="144"/>
        <v>290.84286505723571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0">
        <f t="shared" si="116"/>
        <v>289.79675810586423</v>
      </c>
      <c r="BI189" s="60">
        <f ca="1">AVERAGE(OFFSET($BH$3,0,0,'Données projet'!$E$11+1,1))-AVERAGE(OFFSET($H$3,0,0,'Données projet'!$E$11+1,1))</f>
        <v>336.25341821407534</v>
      </c>
      <c r="BJ189" s="60">
        <f t="shared" si="146"/>
        <v>360.3246221345039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1.0818439477588981E-13</v>
      </c>
      <c r="CA189" s="14">
        <f t="shared" si="170"/>
        <v>1.6104228458716316E-12</v>
      </c>
      <c r="CB189" s="22">
        <f t="shared" si="171"/>
        <v>2.9932409441277661E-12</v>
      </c>
      <c r="CC189" s="60">
        <f t="shared" si="119"/>
        <v>289.79675810586042</v>
      </c>
      <c r="CD189" s="60">
        <f ca="1">AVERAGE(OFFSET($CC$3,0,0,'Données projet'!$E$12+1,1))-AVERAGE(OFFSET($H$3,0,0,'Données projet'!$E$12+1,1))</f>
        <v>398.29746143975166</v>
      </c>
      <c r="CE189" s="60">
        <f t="shared" si="148"/>
        <v>300.63705521148802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-9.3464223027694966E-13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496.33873798282525</v>
      </c>
      <c r="CZ189" s="60">
        <f t="shared" si="150"/>
        <v>280.25465074992246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8.8675733422860506E-14</v>
      </c>
      <c r="DQ189" s="14">
        <f t="shared" si="176"/>
        <v>1.3509285393066301E-12</v>
      </c>
      <c r="DR189" s="22">
        <f t="shared" si="177"/>
        <v>2.5073107750038623E-12</v>
      </c>
      <c r="DS189" s="60">
        <f t="shared" si="125"/>
        <v>289.79675810585991</v>
      </c>
      <c r="DT189" s="60">
        <f ca="1">AVERAGE(OFFSET($DS$3,0,0,'Données projet'!$E$14+1,1))-AVERAGE(OFFSET($H$3,0,0,'Données projet'!$E$14+1,1))</f>
        <v>312.59632808777332</v>
      </c>
      <c r="DU189" s="60">
        <f t="shared" si="152"/>
        <v>302.59481222418219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1.7053025658242404E-13</v>
      </c>
      <c r="EK189" s="18">
        <f>EJ189*VLOOKUP('Données projet'!$B$15,Paramètres!$A$1:$I$89,3,0)*VLOOKUP('Données projet'!$B$15,Paramètres!$A$1:$I$89,5,0)</f>
        <v>1.1439169611549005E-13</v>
      </c>
      <c r="EL189" s="14">
        <f t="shared" si="179"/>
        <v>1.6918016515029816E-12</v>
      </c>
      <c r="EM189" s="22">
        <f t="shared" si="180"/>
        <v>3.1457867471021712E-12</v>
      </c>
      <c r="EN189" s="60">
        <f t="shared" si="128"/>
        <v>289.79675810586053</v>
      </c>
      <c r="EO189" s="60">
        <f ca="1">AVERAGE(OFFSET($EN$3,0,0,'Données projet'!$E$15+1,1))-AVERAGE(OFFSET($H$3,0,0,'Données projet'!$E$15+1,1))</f>
        <v>344.62096650402731</v>
      </c>
      <c r="EP189" s="60">
        <f t="shared" si="154"/>
        <v>277.30931495079346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3.4106051316484809E-13</v>
      </c>
      <c r="FF189" s="18">
        <f>FE189*VLOOKUP('Données projet'!$B$16,Paramètres!$A$1:$I$89,3,0)*VLOOKUP('Données projet'!$B$16,Paramètres!$A$1:$I$89,5,0)</f>
        <v>2.9795046430081134E-13</v>
      </c>
      <c r="FG189" s="14">
        <f t="shared" si="182"/>
        <v>3.9419014464513778E-12</v>
      </c>
      <c r="FH189" s="22">
        <f t="shared" si="183"/>
        <v>7.384408744560063E-12</v>
      </c>
      <c r="FI189" s="60">
        <f t="shared" si="131"/>
        <v>289.7967581058648</v>
      </c>
      <c r="FJ189" s="60">
        <f ca="1">AVERAGE(OFFSET($FI$3,0,0,'Données projet'!$E$16+1,1))-AVERAGE(OFFSET($H$3,0,0,'Données projet'!$E$16+1,1))</f>
        <v>363.28611056308665</v>
      </c>
      <c r="FK189" s="60">
        <f t="shared" si="156"/>
        <v>389.43647559455974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-9.6633812063373625E-13</v>
      </c>
      <c r="GA189" s="18">
        <f>FZ189*VLOOKUP('Données projet'!$B$17,Paramètres!$A$1:$I$89,3,0)*VLOOKUP('Données projet'!$B$17,Paramètres!$A$1:$I$89,5,0)</f>
        <v>-1.0401663530501537E-12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542.90832990875208</v>
      </c>
      <c r="GF189" s="60">
        <f t="shared" si="158"/>
        <v>304.94365539329362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2.7134774427395314E-13</v>
      </c>
      <c r="P190" s="14">
        <f t="shared" si="141"/>
        <v>3.6292411711343559E-12</v>
      </c>
      <c r="Q190" s="22">
        <f t="shared" si="162"/>
        <v>6.7935256943361388E-12</v>
      </c>
      <c r="R190" s="60">
        <f t="shared" si="109"/>
        <v>289.85810977946323</v>
      </c>
      <c r="S190" s="60">
        <f ca="1">AVERAGE(OFFSET($R$3,0,0,'Données projet'!$E$9+1,1))-AVERAGE(OFFSET($H$3,0,0,'Données projet'!$E$9+1,1))</f>
        <v>336.25341821407534</v>
      </c>
      <c r="T190" s="60">
        <f t="shared" si="142"/>
        <v>360.3246221345039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516.30971934066179</v>
      </c>
      <c r="AO190" s="60">
        <f t="shared" si="144"/>
        <v>290.84286505723571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0">
        <f t="shared" si="116"/>
        <v>289.85810977946323</v>
      </c>
      <c r="BI190" s="60">
        <f ca="1">AVERAGE(OFFSET($BH$3,0,0,'Données projet'!$E$11+1,1))-AVERAGE(OFFSET($H$3,0,0,'Données projet'!$E$11+1,1))</f>
        <v>336.25341821407534</v>
      </c>
      <c r="BJ190" s="60">
        <f t="shared" si="146"/>
        <v>360.3246221345039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1.0818439477588981E-13</v>
      </c>
      <c r="CA190" s="14">
        <f t="shared" si="170"/>
        <v>1.6104228458716316E-12</v>
      </c>
      <c r="CB190" s="22">
        <f t="shared" si="171"/>
        <v>2.9932409441277661E-12</v>
      </c>
      <c r="CC190" s="60">
        <f t="shared" si="119"/>
        <v>289.85810977945943</v>
      </c>
      <c r="CD190" s="60">
        <f ca="1">AVERAGE(OFFSET($CC$3,0,0,'Données projet'!$E$12+1,1))-AVERAGE(OFFSET($H$3,0,0,'Données projet'!$E$12+1,1))</f>
        <v>398.29746143975166</v>
      </c>
      <c r="CE190" s="60">
        <f t="shared" si="148"/>
        <v>300.63705521148802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-9.3464223027694966E-13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496.33873798282525</v>
      </c>
      <c r="CZ190" s="60">
        <f t="shared" si="150"/>
        <v>280.25465074992246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8.8675733422860506E-14</v>
      </c>
      <c r="DQ190" s="14">
        <f t="shared" si="176"/>
        <v>1.3509285393066301E-12</v>
      </c>
      <c r="DR190" s="22">
        <f t="shared" si="177"/>
        <v>2.5073107750038623E-12</v>
      </c>
      <c r="DS190" s="60">
        <f t="shared" si="125"/>
        <v>289.85810977945891</v>
      </c>
      <c r="DT190" s="60">
        <f ca="1">AVERAGE(OFFSET($DS$3,0,0,'Données projet'!$E$14+1,1))-AVERAGE(OFFSET($H$3,0,0,'Données projet'!$E$14+1,1))</f>
        <v>312.59632808777332</v>
      </c>
      <c r="DU190" s="60">
        <f t="shared" si="152"/>
        <v>302.59481222418219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1.7053025658242404E-13</v>
      </c>
      <c r="EK190" s="18">
        <f>EJ190*VLOOKUP('Données projet'!$B$15,Paramètres!$A$1:$I$89,3,0)*VLOOKUP('Données projet'!$B$15,Paramètres!$A$1:$I$89,5,0)</f>
        <v>1.1439169611549005E-13</v>
      </c>
      <c r="EL190" s="14">
        <f t="shared" si="179"/>
        <v>1.6918016515029816E-12</v>
      </c>
      <c r="EM190" s="22">
        <f t="shared" si="180"/>
        <v>3.1457867471021712E-12</v>
      </c>
      <c r="EN190" s="60">
        <f t="shared" si="128"/>
        <v>289.85810977945954</v>
      </c>
      <c r="EO190" s="60">
        <f ca="1">AVERAGE(OFFSET($EN$3,0,0,'Données projet'!$E$15+1,1))-AVERAGE(OFFSET($H$3,0,0,'Données projet'!$E$15+1,1))</f>
        <v>344.62096650402731</v>
      </c>
      <c r="EP190" s="60">
        <f t="shared" si="154"/>
        <v>277.30931495079346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3.4106051316484809E-13</v>
      </c>
      <c r="FF190" s="18">
        <f>FE190*VLOOKUP('Données projet'!$B$16,Paramètres!$A$1:$I$89,3,0)*VLOOKUP('Données projet'!$B$16,Paramètres!$A$1:$I$89,5,0)</f>
        <v>2.9795046430081134E-13</v>
      </c>
      <c r="FG190" s="14">
        <f t="shared" si="182"/>
        <v>3.9419014464513778E-12</v>
      </c>
      <c r="FH190" s="22">
        <f t="shared" si="183"/>
        <v>7.384408744560063E-12</v>
      </c>
      <c r="FI190" s="60">
        <f t="shared" si="131"/>
        <v>289.8581097794638</v>
      </c>
      <c r="FJ190" s="60">
        <f ca="1">AVERAGE(OFFSET($FI$3,0,0,'Données projet'!$E$16+1,1))-AVERAGE(OFFSET($H$3,0,0,'Données projet'!$E$16+1,1))</f>
        <v>363.28611056308665</v>
      </c>
      <c r="FK190" s="60">
        <f t="shared" si="156"/>
        <v>389.43647559455974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-9.6633812063373625E-13</v>
      </c>
      <c r="GA190" s="18">
        <f>FZ190*VLOOKUP('Données projet'!$B$17,Paramètres!$A$1:$I$89,3,0)*VLOOKUP('Données projet'!$B$17,Paramètres!$A$1:$I$89,5,0)</f>
        <v>-1.0401663530501537E-12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542.90832990875208</v>
      </c>
      <c r="GF190" s="60">
        <f t="shared" si="158"/>
        <v>304.94365539329362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2.7134774427395314E-13</v>
      </c>
      <c r="P191" s="14">
        <f t="shared" si="141"/>
        <v>3.6292411711343559E-12</v>
      </c>
      <c r="Q191" s="22">
        <f t="shared" si="162"/>
        <v>6.7935256943361388E-12</v>
      </c>
      <c r="R191" s="60">
        <f t="shared" si="109"/>
        <v>289.91839713868706</v>
      </c>
      <c r="S191" s="60">
        <f ca="1">AVERAGE(OFFSET($R$3,0,0,'Données projet'!$E$9+1,1))-AVERAGE(OFFSET($H$3,0,0,'Données projet'!$E$9+1,1))</f>
        <v>336.25341821407534</v>
      </c>
      <c r="T191" s="60">
        <f t="shared" si="142"/>
        <v>360.3246221345039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516.30971934066179</v>
      </c>
      <c r="AO191" s="60">
        <f t="shared" si="144"/>
        <v>290.84286505723571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0">
        <f t="shared" si="116"/>
        <v>289.91839713868706</v>
      </c>
      <c r="BI191" s="60">
        <f ca="1">AVERAGE(OFFSET($BH$3,0,0,'Données projet'!$E$11+1,1))-AVERAGE(OFFSET($H$3,0,0,'Données projet'!$E$11+1,1))</f>
        <v>336.25341821407534</v>
      </c>
      <c r="BJ191" s="60">
        <f t="shared" si="146"/>
        <v>360.3246221345039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1.0818439477588981E-13</v>
      </c>
      <c r="CA191" s="14">
        <f t="shared" si="170"/>
        <v>1.6104228458716316E-12</v>
      </c>
      <c r="CB191" s="22">
        <f t="shared" si="171"/>
        <v>2.9932409441277661E-12</v>
      </c>
      <c r="CC191" s="60">
        <f t="shared" si="119"/>
        <v>289.91839713868325</v>
      </c>
      <c r="CD191" s="60">
        <f ca="1">AVERAGE(OFFSET($CC$3,0,0,'Données projet'!$E$12+1,1))-AVERAGE(OFFSET($H$3,0,0,'Données projet'!$E$12+1,1))</f>
        <v>398.29746143975166</v>
      </c>
      <c r="CE191" s="60">
        <f t="shared" si="148"/>
        <v>300.63705521148802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-9.3464223027694966E-13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496.33873798282525</v>
      </c>
      <c r="CZ191" s="60">
        <f t="shared" si="150"/>
        <v>280.25465074992246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8.8675733422860506E-14</v>
      </c>
      <c r="DQ191" s="14">
        <f t="shared" si="176"/>
        <v>1.3509285393066301E-12</v>
      </c>
      <c r="DR191" s="22">
        <f t="shared" si="177"/>
        <v>2.5073107750038623E-12</v>
      </c>
      <c r="DS191" s="60">
        <f t="shared" si="125"/>
        <v>289.91839713868274</v>
      </c>
      <c r="DT191" s="60">
        <f ca="1">AVERAGE(OFFSET($DS$3,0,0,'Données projet'!$E$14+1,1))-AVERAGE(OFFSET($H$3,0,0,'Données projet'!$E$14+1,1))</f>
        <v>312.59632808777332</v>
      </c>
      <c r="DU191" s="60">
        <f t="shared" si="152"/>
        <v>302.59481222418219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1.7053025658242404E-13</v>
      </c>
      <c r="EK191" s="18">
        <f>EJ191*VLOOKUP('Données projet'!$B$15,Paramètres!$A$1:$I$89,3,0)*VLOOKUP('Données projet'!$B$15,Paramètres!$A$1:$I$89,5,0)</f>
        <v>1.1439169611549005E-13</v>
      </c>
      <c r="EL191" s="14">
        <f t="shared" si="179"/>
        <v>1.6918016515029816E-12</v>
      </c>
      <c r="EM191" s="22">
        <f t="shared" si="180"/>
        <v>3.1457867471021712E-12</v>
      </c>
      <c r="EN191" s="60">
        <f t="shared" si="128"/>
        <v>289.91839713868336</v>
      </c>
      <c r="EO191" s="60">
        <f ca="1">AVERAGE(OFFSET($EN$3,0,0,'Données projet'!$E$15+1,1))-AVERAGE(OFFSET($H$3,0,0,'Données projet'!$E$15+1,1))</f>
        <v>344.62096650402731</v>
      </c>
      <c r="EP191" s="60">
        <f t="shared" si="154"/>
        <v>277.30931495079346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3.4106051316484809E-13</v>
      </c>
      <c r="FF191" s="18">
        <f>FE191*VLOOKUP('Données projet'!$B$16,Paramètres!$A$1:$I$89,3,0)*VLOOKUP('Données projet'!$B$16,Paramètres!$A$1:$I$89,5,0)</f>
        <v>2.9795046430081134E-13</v>
      </c>
      <c r="FG191" s="14">
        <f t="shared" si="182"/>
        <v>3.9419014464513778E-12</v>
      </c>
      <c r="FH191" s="22">
        <f t="shared" si="183"/>
        <v>7.384408744560063E-12</v>
      </c>
      <c r="FI191" s="60">
        <f t="shared" si="131"/>
        <v>289.91839713868762</v>
      </c>
      <c r="FJ191" s="60">
        <f ca="1">AVERAGE(OFFSET($FI$3,0,0,'Données projet'!$E$16+1,1))-AVERAGE(OFFSET($H$3,0,0,'Données projet'!$E$16+1,1))</f>
        <v>363.28611056308665</v>
      </c>
      <c r="FK191" s="60">
        <f t="shared" si="156"/>
        <v>389.43647559455974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-9.6633812063373625E-13</v>
      </c>
      <c r="GA191" s="18">
        <f>FZ191*VLOOKUP('Données projet'!$B$17,Paramètres!$A$1:$I$89,3,0)*VLOOKUP('Données projet'!$B$17,Paramètres!$A$1:$I$89,5,0)</f>
        <v>-1.0401663530501537E-12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542.90832990875208</v>
      </c>
      <c r="GF191" s="60">
        <f t="shared" si="158"/>
        <v>304.94365539329362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2.7134774427395314E-13</v>
      </c>
      <c r="P192" s="14">
        <f t="shared" si="141"/>
        <v>3.6292411711343559E-12</v>
      </c>
      <c r="Q192" s="22">
        <f t="shared" si="162"/>
        <v>6.7935256943361388E-12</v>
      </c>
      <c r="R192" s="60">
        <f t="shared" si="109"/>
        <v>289.97763864701068</v>
      </c>
      <c r="S192" s="60">
        <f ca="1">AVERAGE(OFFSET($R$3,0,0,'Données projet'!$E$9+1,1))-AVERAGE(OFFSET($H$3,0,0,'Données projet'!$E$9+1,1))</f>
        <v>336.25341821407534</v>
      </c>
      <c r="T192" s="60">
        <f t="shared" si="142"/>
        <v>360.3246221345039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516.30971934066179</v>
      </c>
      <c r="AO192" s="60">
        <f t="shared" si="144"/>
        <v>290.84286505723571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0">
        <f t="shared" si="116"/>
        <v>289.97763864701068</v>
      </c>
      <c r="BI192" s="60">
        <f ca="1">AVERAGE(OFFSET($BH$3,0,0,'Données projet'!$E$11+1,1))-AVERAGE(OFFSET($H$3,0,0,'Données projet'!$E$11+1,1))</f>
        <v>336.25341821407534</v>
      </c>
      <c r="BJ192" s="60">
        <f t="shared" si="146"/>
        <v>360.3246221345039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1.0818439477588981E-13</v>
      </c>
      <c r="CA192" s="14">
        <f t="shared" si="170"/>
        <v>1.6104228458716316E-12</v>
      </c>
      <c r="CB192" s="22">
        <f t="shared" si="171"/>
        <v>2.9932409441277661E-12</v>
      </c>
      <c r="CC192" s="60">
        <f t="shared" si="119"/>
        <v>289.97763864700687</v>
      </c>
      <c r="CD192" s="60">
        <f ca="1">AVERAGE(OFFSET($CC$3,0,0,'Données projet'!$E$12+1,1))-AVERAGE(OFFSET($H$3,0,0,'Données projet'!$E$12+1,1))</f>
        <v>398.29746143975166</v>
      </c>
      <c r="CE192" s="60">
        <f t="shared" si="148"/>
        <v>300.63705521148802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-9.3464223027694966E-13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496.33873798282525</v>
      </c>
      <c r="CZ192" s="60">
        <f t="shared" si="150"/>
        <v>280.25465074992246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8.8675733422860506E-14</v>
      </c>
      <c r="DQ192" s="14">
        <f t="shared" si="176"/>
        <v>1.3509285393066301E-12</v>
      </c>
      <c r="DR192" s="22">
        <f t="shared" si="177"/>
        <v>2.5073107750038623E-12</v>
      </c>
      <c r="DS192" s="60">
        <f t="shared" si="125"/>
        <v>289.97763864700636</v>
      </c>
      <c r="DT192" s="60">
        <f ca="1">AVERAGE(OFFSET($DS$3,0,0,'Données projet'!$E$14+1,1))-AVERAGE(OFFSET($H$3,0,0,'Données projet'!$E$14+1,1))</f>
        <v>312.59632808777332</v>
      </c>
      <c r="DU192" s="60">
        <f t="shared" si="152"/>
        <v>302.59481222418219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1.7053025658242404E-13</v>
      </c>
      <c r="EK192" s="18">
        <f>EJ192*VLOOKUP('Données projet'!$B$15,Paramètres!$A$1:$I$89,3,0)*VLOOKUP('Données projet'!$B$15,Paramètres!$A$1:$I$89,5,0)</f>
        <v>1.1439169611549005E-13</v>
      </c>
      <c r="EL192" s="14">
        <f t="shared" si="179"/>
        <v>1.6918016515029816E-12</v>
      </c>
      <c r="EM192" s="22">
        <f t="shared" si="180"/>
        <v>3.1457867471021712E-12</v>
      </c>
      <c r="EN192" s="60">
        <f t="shared" si="128"/>
        <v>289.97763864700698</v>
      </c>
      <c r="EO192" s="60">
        <f ca="1">AVERAGE(OFFSET($EN$3,0,0,'Données projet'!$E$15+1,1))-AVERAGE(OFFSET($H$3,0,0,'Données projet'!$E$15+1,1))</f>
        <v>344.62096650402731</v>
      </c>
      <c r="EP192" s="60">
        <f t="shared" si="154"/>
        <v>277.30931495079346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3.4106051316484809E-13</v>
      </c>
      <c r="FF192" s="18">
        <f>FE192*VLOOKUP('Données projet'!$B$16,Paramètres!$A$1:$I$89,3,0)*VLOOKUP('Données projet'!$B$16,Paramètres!$A$1:$I$89,5,0)</f>
        <v>2.9795046430081134E-13</v>
      </c>
      <c r="FG192" s="14">
        <f t="shared" si="182"/>
        <v>3.9419014464513778E-12</v>
      </c>
      <c r="FH192" s="22">
        <f t="shared" si="183"/>
        <v>7.384408744560063E-12</v>
      </c>
      <c r="FI192" s="60">
        <f t="shared" si="131"/>
        <v>289.97763864701125</v>
      </c>
      <c r="FJ192" s="60">
        <f ca="1">AVERAGE(OFFSET($FI$3,0,0,'Données projet'!$E$16+1,1))-AVERAGE(OFFSET($H$3,0,0,'Données projet'!$E$16+1,1))</f>
        <v>363.28611056308665</v>
      </c>
      <c r="FK192" s="60">
        <f t="shared" si="156"/>
        <v>389.43647559455974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-9.6633812063373625E-13</v>
      </c>
      <c r="GA192" s="18">
        <f>FZ192*VLOOKUP('Données projet'!$B$17,Paramètres!$A$1:$I$89,3,0)*VLOOKUP('Données projet'!$B$17,Paramètres!$A$1:$I$89,5,0)</f>
        <v>-1.0401663530501537E-12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542.90832990875208</v>
      </c>
      <c r="GF192" s="60">
        <f t="shared" si="158"/>
        <v>304.94365539329362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2.7134774427395314E-13</v>
      </c>
      <c r="P193" s="14">
        <f t="shared" si="141"/>
        <v>3.6292411711343559E-12</v>
      </c>
      <c r="Q193" s="22">
        <f t="shared" si="162"/>
        <v>6.7935256943361388E-12</v>
      </c>
      <c r="R193" s="60">
        <f t="shared" si="109"/>
        <v>290.0358524476091</v>
      </c>
      <c r="S193" s="60">
        <f ca="1">AVERAGE(OFFSET($R$3,0,0,'Données projet'!$E$9+1,1))-AVERAGE(OFFSET($H$3,0,0,'Données projet'!$E$9+1,1))</f>
        <v>336.25341821407534</v>
      </c>
      <c r="T193" s="60">
        <f t="shared" si="142"/>
        <v>360.3246221345039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516.30971934066179</v>
      </c>
      <c r="AO193" s="60">
        <f t="shared" si="144"/>
        <v>290.84286505723571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0">
        <f t="shared" si="116"/>
        <v>290.0358524476091</v>
      </c>
      <c r="BI193" s="60">
        <f ca="1">AVERAGE(OFFSET($BH$3,0,0,'Données projet'!$E$11+1,1))-AVERAGE(OFFSET($H$3,0,0,'Données projet'!$E$11+1,1))</f>
        <v>336.25341821407534</v>
      </c>
      <c r="BJ193" s="60">
        <f t="shared" si="146"/>
        <v>360.3246221345039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1.0818439477588981E-13</v>
      </c>
      <c r="CA193" s="14">
        <f t="shared" si="170"/>
        <v>1.6104228458716316E-12</v>
      </c>
      <c r="CB193" s="22">
        <f t="shared" si="171"/>
        <v>2.9932409441277661E-12</v>
      </c>
      <c r="CC193" s="60">
        <f t="shared" si="119"/>
        <v>290.03585244760529</v>
      </c>
      <c r="CD193" s="60">
        <f ca="1">AVERAGE(OFFSET($CC$3,0,0,'Données projet'!$E$12+1,1))-AVERAGE(OFFSET($H$3,0,0,'Données projet'!$E$12+1,1))</f>
        <v>398.29746143975166</v>
      </c>
      <c r="CE193" s="60">
        <f t="shared" si="148"/>
        <v>300.63705521148802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-9.3464223027694966E-13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496.33873798282525</v>
      </c>
      <c r="CZ193" s="60">
        <f t="shared" si="150"/>
        <v>280.25465074992246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8.8675733422860506E-14</v>
      </c>
      <c r="DQ193" s="14">
        <f t="shared" si="176"/>
        <v>1.3509285393066301E-12</v>
      </c>
      <c r="DR193" s="22">
        <f t="shared" si="177"/>
        <v>2.5073107750038623E-12</v>
      </c>
      <c r="DS193" s="60">
        <f t="shared" si="125"/>
        <v>290.03585244760478</v>
      </c>
      <c r="DT193" s="60">
        <f ca="1">AVERAGE(OFFSET($DS$3,0,0,'Données projet'!$E$14+1,1))-AVERAGE(OFFSET($H$3,0,0,'Données projet'!$E$14+1,1))</f>
        <v>312.59632808777332</v>
      </c>
      <c r="DU193" s="60">
        <f t="shared" si="152"/>
        <v>302.59481222418219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1.7053025658242404E-13</v>
      </c>
      <c r="EK193" s="18">
        <f>EJ193*VLOOKUP('Données projet'!$B$15,Paramètres!$A$1:$I$89,3,0)*VLOOKUP('Données projet'!$B$15,Paramètres!$A$1:$I$89,5,0)</f>
        <v>1.1439169611549005E-13</v>
      </c>
      <c r="EL193" s="14">
        <f t="shared" si="179"/>
        <v>1.6918016515029816E-12</v>
      </c>
      <c r="EM193" s="22">
        <f t="shared" si="180"/>
        <v>3.1457867471021712E-12</v>
      </c>
      <c r="EN193" s="60">
        <f t="shared" si="128"/>
        <v>290.03585244760541</v>
      </c>
      <c r="EO193" s="60">
        <f ca="1">AVERAGE(OFFSET($EN$3,0,0,'Données projet'!$E$15+1,1))-AVERAGE(OFFSET($H$3,0,0,'Données projet'!$E$15+1,1))</f>
        <v>344.62096650402731</v>
      </c>
      <c r="EP193" s="60">
        <f t="shared" si="154"/>
        <v>277.30931495079346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3.4106051316484809E-13</v>
      </c>
      <c r="FF193" s="18">
        <f>FE193*VLOOKUP('Données projet'!$B$16,Paramètres!$A$1:$I$89,3,0)*VLOOKUP('Données projet'!$B$16,Paramètres!$A$1:$I$89,5,0)</f>
        <v>2.9795046430081134E-13</v>
      </c>
      <c r="FG193" s="14">
        <f t="shared" si="182"/>
        <v>3.9419014464513778E-12</v>
      </c>
      <c r="FH193" s="22">
        <f t="shared" si="183"/>
        <v>7.384408744560063E-12</v>
      </c>
      <c r="FI193" s="60">
        <f t="shared" si="131"/>
        <v>290.03585244760967</v>
      </c>
      <c r="FJ193" s="60">
        <f ca="1">AVERAGE(OFFSET($FI$3,0,0,'Données projet'!$E$16+1,1))-AVERAGE(OFFSET($H$3,0,0,'Données projet'!$E$16+1,1))</f>
        <v>363.28611056308665</v>
      </c>
      <c r="FK193" s="60">
        <f t="shared" si="156"/>
        <v>389.43647559455974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-9.6633812063373625E-13</v>
      </c>
      <c r="GA193" s="18">
        <f>FZ193*VLOOKUP('Données projet'!$B$17,Paramètres!$A$1:$I$89,3,0)*VLOOKUP('Données projet'!$B$17,Paramètres!$A$1:$I$89,5,0)</f>
        <v>-1.0401663530501537E-12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542.90832990875208</v>
      </c>
      <c r="GF193" s="60">
        <f t="shared" si="158"/>
        <v>304.94365539329362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2.7134774427395314E-13</v>
      </c>
      <c r="P194" s="14">
        <f t="shared" si="141"/>
        <v>3.6292411711343559E-12</v>
      </c>
      <c r="Q194" s="22">
        <f t="shared" si="162"/>
        <v>6.7935256943361388E-12</v>
      </c>
      <c r="R194" s="60">
        <f t="shared" si="109"/>
        <v>290.09305636891366</v>
      </c>
      <c r="S194" s="60">
        <f ca="1">AVERAGE(OFFSET($R$3,0,0,'Données projet'!$E$9+1,1))-AVERAGE(OFFSET($H$3,0,0,'Données projet'!$E$9+1,1))</f>
        <v>336.25341821407534</v>
      </c>
      <c r="T194" s="60">
        <f t="shared" si="142"/>
        <v>360.3246221345039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516.30971934066179</v>
      </c>
      <c r="AO194" s="60">
        <f t="shared" si="144"/>
        <v>290.84286505723571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0">
        <f t="shared" si="116"/>
        <v>290.09305636891366</v>
      </c>
      <c r="BI194" s="60">
        <f ca="1">AVERAGE(OFFSET($BH$3,0,0,'Données projet'!$E$11+1,1))-AVERAGE(OFFSET($H$3,0,0,'Données projet'!$E$11+1,1))</f>
        <v>336.25341821407534</v>
      </c>
      <c r="BJ194" s="60">
        <f t="shared" si="146"/>
        <v>360.3246221345039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1.0818439477588981E-13</v>
      </c>
      <c r="CA194" s="14">
        <f t="shared" si="170"/>
        <v>1.6104228458716316E-12</v>
      </c>
      <c r="CB194" s="22">
        <f t="shared" si="171"/>
        <v>2.9932409441277661E-12</v>
      </c>
      <c r="CC194" s="60">
        <f t="shared" si="119"/>
        <v>290.09305636890986</v>
      </c>
      <c r="CD194" s="60">
        <f ca="1">AVERAGE(OFFSET($CC$3,0,0,'Données projet'!$E$12+1,1))-AVERAGE(OFFSET($H$3,0,0,'Données projet'!$E$12+1,1))</f>
        <v>398.29746143975166</v>
      </c>
      <c r="CE194" s="60">
        <f t="shared" si="148"/>
        <v>300.63705521148802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-9.3464223027694966E-13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496.33873798282525</v>
      </c>
      <c r="CZ194" s="60">
        <f t="shared" si="150"/>
        <v>280.25465074992246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8.8675733422860506E-14</v>
      </c>
      <c r="DQ194" s="14">
        <f t="shared" si="176"/>
        <v>1.3509285393066301E-12</v>
      </c>
      <c r="DR194" s="22">
        <f t="shared" si="177"/>
        <v>2.5073107750038623E-12</v>
      </c>
      <c r="DS194" s="60">
        <f t="shared" si="125"/>
        <v>290.09305636890934</v>
      </c>
      <c r="DT194" s="60">
        <f ca="1">AVERAGE(OFFSET($DS$3,0,0,'Données projet'!$E$14+1,1))-AVERAGE(OFFSET($H$3,0,0,'Données projet'!$E$14+1,1))</f>
        <v>312.59632808777332</v>
      </c>
      <c r="DU194" s="60">
        <f t="shared" si="152"/>
        <v>302.59481222418219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1.7053025658242404E-13</v>
      </c>
      <c r="EK194" s="18">
        <f>EJ194*VLOOKUP('Données projet'!$B$15,Paramètres!$A$1:$I$89,3,0)*VLOOKUP('Données projet'!$B$15,Paramètres!$A$1:$I$89,5,0)</f>
        <v>1.1439169611549005E-13</v>
      </c>
      <c r="EL194" s="14">
        <f t="shared" si="179"/>
        <v>1.6918016515029816E-12</v>
      </c>
      <c r="EM194" s="22">
        <f t="shared" si="180"/>
        <v>3.1457867471021712E-12</v>
      </c>
      <c r="EN194" s="60">
        <f t="shared" si="128"/>
        <v>290.09305636890997</v>
      </c>
      <c r="EO194" s="60">
        <f ca="1">AVERAGE(OFFSET($EN$3,0,0,'Données projet'!$E$15+1,1))-AVERAGE(OFFSET($H$3,0,0,'Données projet'!$E$15+1,1))</f>
        <v>344.62096650402731</v>
      </c>
      <c r="EP194" s="60">
        <f t="shared" si="154"/>
        <v>277.30931495079346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3.4106051316484809E-13</v>
      </c>
      <c r="FF194" s="18">
        <f>FE194*VLOOKUP('Données projet'!$B$16,Paramètres!$A$1:$I$89,3,0)*VLOOKUP('Données projet'!$B$16,Paramètres!$A$1:$I$89,5,0)</f>
        <v>2.9795046430081134E-13</v>
      </c>
      <c r="FG194" s="14">
        <f t="shared" si="182"/>
        <v>3.9419014464513778E-12</v>
      </c>
      <c r="FH194" s="22">
        <f t="shared" si="183"/>
        <v>7.384408744560063E-12</v>
      </c>
      <c r="FI194" s="60">
        <f t="shared" si="131"/>
        <v>290.09305636891423</v>
      </c>
      <c r="FJ194" s="60">
        <f ca="1">AVERAGE(OFFSET($FI$3,0,0,'Données projet'!$E$16+1,1))-AVERAGE(OFFSET($H$3,0,0,'Données projet'!$E$16+1,1))</f>
        <v>363.28611056308665</v>
      </c>
      <c r="FK194" s="60">
        <f t="shared" si="156"/>
        <v>389.43647559455974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-9.6633812063373625E-13</v>
      </c>
      <c r="GA194" s="18">
        <f>FZ194*VLOOKUP('Données projet'!$B$17,Paramètres!$A$1:$I$89,3,0)*VLOOKUP('Données projet'!$B$17,Paramètres!$A$1:$I$89,5,0)</f>
        <v>-1.0401663530501537E-12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542.90832990875208</v>
      </c>
      <c r="GF194" s="60">
        <f t="shared" si="158"/>
        <v>304.94365539329362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2.7134774427395314E-13</v>
      </c>
      <c r="P195" s="14">
        <f t="shared" si="141"/>
        <v>3.6292411711343559E-12</v>
      </c>
      <c r="Q195" s="22">
        <f t="shared" si="162"/>
        <v>6.7935256943361388E-12</v>
      </c>
      <c r="R195" s="60">
        <f t="shared" ref="R195:R203" si="191">Q195+(I195+J195)*44/12</f>
        <v>290.14926793007248</v>
      </c>
      <c r="S195" s="60">
        <f ca="1">AVERAGE(OFFSET($R$3,0,0,'Données projet'!$E$9+1,1))-AVERAGE(OFFSET($H$3,0,0,'Données projet'!$E$9+1,1))</f>
        <v>336.25341821407534</v>
      </c>
      <c r="T195" s="60">
        <f t="shared" si="142"/>
        <v>360.3246221345039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516.30971934066179</v>
      </c>
      <c r="AO195" s="60">
        <f t="shared" si="144"/>
        <v>290.84286505723571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0">
        <f t="shared" si="116"/>
        <v>290.14926793007248</v>
      </c>
      <c r="BI195" s="60">
        <f ca="1">AVERAGE(OFFSET($BH$3,0,0,'Données projet'!$E$11+1,1))-AVERAGE(OFFSET($H$3,0,0,'Données projet'!$E$11+1,1))</f>
        <v>336.25341821407534</v>
      </c>
      <c r="BJ195" s="60">
        <f t="shared" si="146"/>
        <v>360.3246221345039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1.0818439477588981E-13</v>
      </c>
      <c r="CA195" s="14">
        <f t="shared" si="170"/>
        <v>1.6104228458716316E-12</v>
      </c>
      <c r="CB195" s="22">
        <f t="shared" si="171"/>
        <v>2.9932409441277661E-12</v>
      </c>
      <c r="CC195" s="60">
        <f t="shared" si="119"/>
        <v>290.14926793006867</v>
      </c>
      <c r="CD195" s="60">
        <f ca="1">AVERAGE(OFFSET($CC$3,0,0,'Données projet'!$E$12+1,1))-AVERAGE(OFFSET($H$3,0,0,'Données projet'!$E$12+1,1))</f>
        <v>398.29746143975166</v>
      </c>
      <c r="CE195" s="60">
        <f t="shared" si="148"/>
        <v>300.63705521148802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-9.3464223027694966E-13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496.33873798282525</v>
      </c>
      <c r="CZ195" s="60">
        <f t="shared" si="150"/>
        <v>280.25465074992246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8.8675733422860506E-14</v>
      </c>
      <c r="DQ195" s="14">
        <f t="shared" si="176"/>
        <v>1.3509285393066301E-12</v>
      </c>
      <c r="DR195" s="22">
        <f t="shared" si="177"/>
        <v>2.5073107750038623E-12</v>
      </c>
      <c r="DS195" s="60">
        <f t="shared" si="125"/>
        <v>290.14926793006816</v>
      </c>
      <c r="DT195" s="60">
        <f ca="1">AVERAGE(OFFSET($DS$3,0,0,'Données projet'!$E$14+1,1))-AVERAGE(OFFSET($H$3,0,0,'Données projet'!$E$14+1,1))</f>
        <v>312.59632808777332</v>
      </c>
      <c r="DU195" s="60">
        <f t="shared" si="152"/>
        <v>302.59481222418219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1.7053025658242404E-13</v>
      </c>
      <c r="EK195" s="18">
        <f>EJ195*VLOOKUP('Données projet'!$B$15,Paramètres!$A$1:$I$89,3,0)*VLOOKUP('Données projet'!$B$15,Paramètres!$A$1:$I$89,5,0)</f>
        <v>1.1439169611549005E-13</v>
      </c>
      <c r="EL195" s="14">
        <f t="shared" si="179"/>
        <v>1.6918016515029816E-12</v>
      </c>
      <c r="EM195" s="22">
        <f t="shared" si="180"/>
        <v>3.1457867471021712E-12</v>
      </c>
      <c r="EN195" s="60">
        <f t="shared" si="128"/>
        <v>290.14926793006879</v>
      </c>
      <c r="EO195" s="60">
        <f ca="1">AVERAGE(OFFSET($EN$3,0,0,'Données projet'!$E$15+1,1))-AVERAGE(OFFSET($H$3,0,0,'Données projet'!$E$15+1,1))</f>
        <v>344.62096650402731</v>
      </c>
      <c r="EP195" s="60">
        <f t="shared" si="154"/>
        <v>277.30931495079346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3.4106051316484809E-13</v>
      </c>
      <c r="FF195" s="18">
        <f>FE195*VLOOKUP('Données projet'!$B$16,Paramètres!$A$1:$I$89,3,0)*VLOOKUP('Données projet'!$B$16,Paramètres!$A$1:$I$89,5,0)</f>
        <v>2.9795046430081134E-13</v>
      </c>
      <c r="FG195" s="14">
        <f t="shared" si="182"/>
        <v>3.9419014464513778E-12</v>
      </c>
      <c r="FH195" s="22">
        <f t="shared" si="183"/>
        <v>7.384408744560063E-12</v>
      </c>
      <c r="FI195" s="60">
        <f t="shared" si="131"/>
        <v>290.14926793007305</v>
      </c>
      <c r="FJ195" s="60">
        <f ca="1">AVERAGE(OFFSET($FI$3,0,0,'Données projet'!$E$16+1,1))-AVERAGE(OFFSET($H$3,0,0,'Données projet'!$E$16+1,1))</f>
        <v>363.28611056308665</v>
      </c>
      <c r="FK195" s="60">
        <f t="shared" si="156"/>
        <v>389.43647559455974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-9.6633812063373625E-13</v>
      </c>
      <c r="GA195" s="18">
        <f>FZ195*VLOOKUP('Données projet'!$B$17,Paramètres!$A$1:$I$89,3,0)*VLOOKUP('Données projet'!$B$17,Paramètres!$A$1:$I$89,5,0)</f>
        <v>-1.0401663530501537E-12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542.90832990875208</v>
      </c>
      <c r="GF195" s="60">
        <f t="shared" si="158"/>
        <v>304.94365539329362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2.7134774427395314E-13</v>
      </c>
      <c r="P196" s="14">
        <f t="shared" si="141"/>
        <v>3.6292411711343559E-12</v>
      </c>
      <c r="Q196" s="22">
        <f t="shared" si="162"/>
        <v>6.7935256943361388E-12</v>
      </c>
      <c r="R196" s="60">
        <f t="shared" si="191"/>
        <v>290.20450434631533</v>
      </c>
      <c r="S196" s="60">
        <f ca="1">AVERAGE(OFFSET($R$3,0,0,'Données projet'!$E$9+1,1))-AVERAGE(OFFSET($H$3,0,0,'Données projet'!$E$9+1,1))</f>
        <v>336.25341821407534</v>
      </c>
      <c r="T196" s="60">
        <f t="shared" si="142"/>
        <v>360.3246221345039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516.30971934066179</v>
      </c>
      <c r="AO196" s="60">
        <f t="shared" si="144"/>
        <v>290.84286505723571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0">
        <f t="shared" ref="BH196:BH203" si="194">BG196+(AY196+AZ196)*44/12</f>
        <v>290.20450434631533</v>
      </c>
      <c r="BI196" s="60">
        <f ca="1">AVERAGE(OFFSET($BH$3,0,0,'Données projet'!$E$11+1,1))-AVERAGE(OFFSET($H$3,0,0,'Données projet'!$E$11+1,1))</f>
        <v>336.25341821407534</v>
      </c>
      <c r="BJ196" s="60">
        <f t="shared" si="146"/>
        <v>360.3246221345039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1.0818439477588981E-13</v>
      </c>
      <c r="CA196" s="14">
        <f t="shared" si="170"/>
        <v>1.6104228458716316E-12</v>
      </c>
      <c r="CB196" s="22">
        <f t="shared" si="171"/>
        <v>2.9932409441277661E-12</v>
      </c>
      <c r="CC196" s="60">
        <f t="shared" ref="CC196:CC203" si="195">CB196+(BT196+BU196)*44/12</f>
        <v>290.20450434631152</v>
      </c>
      <c r="CD196" s="60">
        <f ca="1">AVERAGE(OFFSET($CC$3,0,0,'Données projet'!$E$12+1,1))-AVERAGE(OFFSET($H$3,0,0,'Données projet'!$E$12+1,1))</f>
        <v>398.29746143975166</v>
      </c>
      <c r="CE196" s="60">
        <f t="shared" si="148"/>
        <v>300.63705521148802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-9.3464223027694966E-13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496.33873798282525</v>
      </c>
      <c r="CZ196" s="60">
        <f t="shared" si="150"/>
        <v>280.25465074992246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8.8675733422860506E-14</v>
      </c>
      <c r="DQ196" s="14">
        <f t="shared" si="176"/>
        <v>1.3509285393066301E-12</v>
      </c>
      <c r="DR196" s="22">
        <f t="shared" si="177"/>
        <v>2.5073107750038623E-12</v>
      </c>
      <c r="DS196" s="60">
        <f t="shared" ref="DS196:DS203" si="197">DR196+(DJ196+DK196)*44/12</f>
        <v>290.20450434631101</v>
      </c>
      <c r="DT196" s="60">
        <f ca="1">AVERAGE(OFFSET($DS$3,0,0,'Données projet'!$E$14+1,1))-AVERAGE(OFFSET($H$3,0,0,'Données projet'!$E$14+1,1))</f>
        <v>312.59632808777332</v>
      </c>
      <c r="DU196" s="60">
        <f t="shared" si="152"/>
        <v>302.59481222418219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1.7053025658242404E-13</v>
      </c>
      <c r="EK196" s="18">
        <f>EJ196*VLOOKUP('Données projet'!$B$15,Paramètres!$A$1:$I$89,3,0)*VLOOKUP('Données projet'!$B$15,Paramètres!$A$1:$I$89,5,0)</f>
        <v>1.1439169611549005E-13</v>
      </c>
      <c r="EL196" s="14">
        <f t="shared" si="179"/>
        <v>1.6918016515029816E-12</v>
      </c>
      <c r="EM196" s="22">
        <f t="shared" si="180"/>
        <v>3.1457867471021712E-12</v>
      </c>
      <c r="EN196" s="60">
        <f t="shared" ref="EN196:EN203" si="198">EM196+(EE196+EF196)*44/12</f>
        <v>290.20450434631164</v>
      </c>
      <c r="EO196" s="60">
        <f ca="1">AVERAGE(OFFSET($EN$3,0,0,'Données projet'!$E$15+1,1))-AVERAGE(OFFSET($H$3,0,0,'Données projet'!$E$15+1,1))</f>
        <v>344.62096650402731</v>
      </c>
      <c r="EP196" s="60">
        <f t="shared" si="154"/>
        <v>277.30931495079346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3.4106051316484809E-13</v>
      </c>
      <c r="FF196" s="18">
        <f>FE196*VLOOKUP('Données projet'!$B$16,Paramètres!$A$1:$I$89,3,0)*VLOOKUP('Données projet'!$B$16,Paramètres!$A$1:$I$89,5,0)</f>
        <v>2.9795046430081134E-13</v>
      </c>
      <c r="FG196" s="14">
        <f t="shared" si="182"/>
        <v>3.9419014464513778E-12</v>
      </c>
      <c r="FH196" s="22">
        <f t="shared" si="183"/>
        <v>7.384408744560063E-12</v>
      </c>
      <c r="FI196" s="60">
        <f t="shared" ref="FI196:FI203" si="199">FH196+(EZ196+FA196)*44/12</f>
        <v>290.2045043463159</v>
      </c>
      <c r="FJ196" s="60">
        <f ca="1">AVERAGE(OFFSET($FI$3,0,0,'Données projet'!$E$16+1,1))-AVERAGE(OFFSET($H$3,0,0,'Données projet'!$E$16+1,1))</f>
        <v>363.28611056308665</v>
      </c>
      <c r="FK196" s="60">
        <f t="shared" si="156"/>
        <v>389.43647559455974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-9.6633812063373625E-13</v>
      </c>
      <c r="GA196" s="18">
        <f>FZ196*VLOOKUP('Données projet'!$B$17,Paramètres!$A$1:$I$89,3,0)*VLOOKUP('Données projet'!$B$17,Paramètres!$A$1:$I$89,5,0)</f>
        <v>-1.0401663530501537E-12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542.90832990875208</v>
      </c>
      <c r="GF196" s="60">
        <f t="shared" si="158"/>
        <v>304.94365539329362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2.7134774427395314E-13</v>
      </c>
      <c r="P197" s="14">
        <f t="shared" ref="P197:P203" si="203">EXP(-1.0587+0.8836*LN(O197)+0.284)</f>
        <v>3.6292411711343559E-12</v>
      </c>
      <c r="Q197" s="22">
        <f t="shared" si="162"/>
        <v>6.7935256943361388E-12</v>
      </c>
      <c r="R197" s="60">
        <f t="shared" si="191"/>
        <v>290.25878253422655</v>
      </c>
      <c r="S197" s="60">
        <f ca="1">AVERAGE(OFFSET($R$3,0,0,'Données projet'!$E$9+1,1))-AVERAGE(OFFSET($H$3,0,0,'Données projet'!$E$9+1,1))</f>
        <v>336.25341821407534</v>
      </c>
      <c r="T197" s="60">
        <f t="shared" ref="T197:T203" si="204">$T$3</f>
        <v>360.3246221345039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516.30971934066179</v>
      </c>
      <c r="AO197" s="60">
        <f t="shared" ref="AO197:AO203" si="205">$AO$3</f>
        <v>290.84286505723571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0">
        <f t="shared" si="194"/>
        <v>290.25878253422655</v>
      </c>
      <c r="BI197" s="60">
        <f ca="1">AVERAGE(OFFSET($BH$3,0,0,'Données projet'!$E$11+1,1))-AVERAGE(OFFSET($H$3,0,0,'Données projet'!$E$11+1,1))</f>
        <v>336.25341821407534</v>
      </c>
      <c r="BJ197" s="60">
        <f t="shared" ref="BJ197:BJ203" si="206">$BJ$3</f>
        <v>360.3246221345039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1.0818439477588981E-13</v>
      </c>
      <c r="CA197" s="14">
        <f t="shared" si="170"/>
        <v>1.6104228458716316E-12</v>
      </c>
      <c r="CB197" s="22">
        <f t="shared" si="171"/>
        <v>2.9932409441277661E-12</v>
      </c>
      <c r="CC197" s="60">
        <f t="shared" si="195"/>
        <v>290.25878253422275</v>
      </c>
      <c r="CD197" s="60">
        <f ca="1">AVERAGE(OFFSET($CC$3,0,0,'Données projet'!$E$12+1,1))-AVERAGE(OFFSET($H$3,0,0,'Données projet'!$E$12+1,1))</f>
        <v>398.29746143975166</v>
      </c>
      <c r="CE197" s="60">
        <f t="shared" ref="CE197:CE203" si="207">$CE$3</f>
        <v>300.63705521148802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-9.3464223027694966E-13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496.33873798282525</v>
      </c>
      <c r="CZ197" s="60">
        <f t="shared" ref="CZ197:CZ203" si="208">$CZ$3</f>
        <v>280.25465074992246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8.8675733422860506E-14</v>
      </c>
      <c r="DQ197" s="14">
        <f t="shared" si="176"/>
        <v>1.3509285393066301E-12</v>
      </c>
      <c r="DR197" s="22">
        <f t="shared" si="177"/>
        <v>2.5073107750038623E-12</v>
      </c>
      <c r="DS197" s="60">
        <f t="shared" si="197"/>
        <v>290.25878253422223</v>
      </c>
      <c r="DT197" s="60">
        <f ca="1">AVERAGE(OFFSET($DS$3,0,0,'Données projet'!$E$14+1,1))-AVERAGE(OFFSET($H$3,0,0,'Données projet'!$E$14+1,1))</f>
        <v>312.59632808777332</v>
      </c>
      <c r="DU197" s="60">
        <f t="shared" ref="DU197:DU203" si="209">$DU$3</f>
        <v>302.59481222418219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1.7053025658242404E-13</v>
      </c>
      <c r="EK197" s="18">
        <f>EJ197*VLOOKUP('Données projet'!$B$15,Paramètres!$A$1:$I$89,3,0)*VLOOKUP('Données projet'!$B$15,Paramètres!$A$1:$I$89,5,0)</f>
        <v>1.1439169611549005E-13</v>
      </c>
      <c r="EL197" s="14">
        <f t="shared" si="179"/>
        <v>1.6918016515029816E-12</v>
      </c>
      <c r="EM197" s="22">
        <f t="shared" si="180"/>
        <v>3.1457867471021712E-12</v>
      </c>
      <c r="EN197" s="60">
        <f t="shared" si="198"/>
        <v>290.25878253422286</v>
      </c>
      <c r="EO197" s="60">
        <f ca="1">AVERAGE(OFFSET($EN$3,0,0,'Données projet'!$E$15+1,1))-AVERAGE(OFFSET($H$3,0,0,'Données projet'!$E$15+1,1))</f>
        <v>344.62096650402731</v>
      </c>
      <c r="EP197" s="60">
        <f t="shared" ref="EP197:EP203" si="210">$EP$3</f>
        <v>277.30931495079346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3.4106051316484809E-13</v>
      </c>
      <c r="FF197" s="18">
        <f>FE197*VLOOKUP('Données projet'!$B$16,Paramètres!$A$1:$I$89,3,0)*VLOOKUP('Données projet'!$B$16,Paramètres!$A$1:$I$89,5,0)</f>
        <v>2.9795046430081134E-13</v>
      </c>
      <c r="FG197" s="14">
        <f t="shared" si="182"/>
        <v>3.9419014464513778E-12</v>
      </c>
      <c r="FH197" s="22">
        <f t="shared" si="183"/>
        <v>7.384408744560063E-12</v>
      </c>
      <c r="FI197" s="60">
        <f t="shared" si="199"/>
        <v>290.25878253422712</v>
      </c>
      <c r="FJ197" s="60">
        <f ca="1">AVERAGE(OFFSET($FI$3,0,0,'Données projet'!$E$16+1,1))-AVERAGE(OFFSET($H$3,0,0,'Données projet'!$E$16+1,1))</f>
        <v>363.28611056308665</v>
      </c>
      <c r="FK197" s="60">
        <f t="shared" ref="FK197:FK203" si="211">$FK$3</f>
        <v>389.43647559455974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-9.6633812063373625E-13</v>
      </c>
      <c r="GA197" s="18">
        <f>FZ197*VLOOKUP('Données projet'!$B$17,Paramètres!$A$1:$I$89,3,0)*VLOOKUP('Données projet'!$B$17,Paramètres!$A$1:$I$89,5,0)</f>
        <v>-1.0401663530501537E-12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542.90832990875208</v>
      </c>
      <c r="GF197" s="60">
        <f t="shared" ref="GF197:GF203" si="212">$GF$3</f>
        <v>304.94365539329362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2.7134774427395314E-13</v>
      </c>
      <c r="P198" s="14">
        <f t="shared" si="203"/>
        <v>3.6292411711343559E-12</v>
      </c>
      <c r="Q198" s="22">
        <f t="shared" si="162"/>
        <v>6.7935256943361388E-12</v>
      </c>
      <c r="R198" s="60">
        <f t="shared" si="191"/>
        <v>290.31211911692532</v>
      </c>
      <c r="S198" s="60">
        <f ca="1">AVERAGE(OFFSET($R$3,0,0,'Données projet'!$E$9+1,1))-AVERAGE(OFFSET($H$3,0,0,'Données projet'!$E$9+1,1))</f>
        <v>336.25341821407534</v>
      </c>
      <c r="T198" s="60">
        <f t="shared" si="204"/>
        <v>360.3246221345039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516.30971934066179</v>
      </c>
      <c r="AO198" s="60">
        <f t="shared" si="205"/>
        <v>290.84286505723571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0">
        <f t="shared" si="194"/>
        <v>290.31211911692532</v>
      </c>
      <c r="BI198" s="60">
        <f ca="1">AVERAGE(OFFSET($BH$3,0,0,'Données projet'!$E$11+1,1))-AVERAGE(OFFSET($H$3,0,0,'Données projet'!$E$11+1,1))</f>
        <v>336.25341821407534</v>
      </c>
      <c r="BJ198" s="60">
        <f t="shared" si="206"/>
        <v>360.3246221345039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1.0818439477588981E-13</v>
      </c>
      <c r="CA198" s="14">
        <f t="shared" si="170"/>
        <v>1.6104228458716316E-12</v>
      </c>
      <c r="CB198" s="22">
        <f t="shared" si="171"/>
        <v>2.9932409441277661E-12</v>
      </c>
      <c r="CC198" s="60">
        <f t="shared" si="195"/>
        <v>290.31211911692151</v>
      </c>
      <c r="CD198" s="60">
        <f ca="1">AVERAGE(OFFSET($CC$3,0,0,'Données projet'!$E$12+1,1))-AVERAGE(OFFSET($H$3,0,0,'Données projet'!$E$12+1,1))</f>
        <v>398.29746143975166</v>
      </c>
      <c r="CE198" s="60">
        <f t="shared" si="207"/>
        <v>300.63705521148802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-9.3464223027694966E-13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496.33873798282525</v>
      </c>
      <c r="CZ198" s="60">
        <f t="shared" si="208"/>
        <v>280.25465074992246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8.8675733422860506E-14</v>
      </c>
      <c r="DQ198" s="14">
        <f t="shared" si="176"/>
        <v>1.3509285393066301E-12</v>
      </c>
      <c r="DR198" s="22">
        <f t="shared" si="177"/>
        <v>2.5073107750038623E-12</v>
      </c>
      <c r="DS198" s="60">
        <f t="shared" si="197"/>
        <v>290.312119116921</v>
      </c>
      <c r="DT198" s="60">
        <f ca="1">AVERAGE(OFFSET($DS$3,0,0,'Données projet'!$E$14+1,1))-AVERAGE(OFFSET($H$3,0,0,'Données projet'!$E$14+1,1))</f>
        <v>312.59632808777332</v>
      </c>
      <c r="DU198" s="60">
        <f t="shared" si="209"/>
        <v>302.59481222418219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1.7053025658242404E-13</v>
      </c>
      <c r="EK198" s="18">
        <f>EJ198*VLOOKUP('Données projet'!$B$15,Paramètres!$A$1:$I$89,3,0)*VLOOKUP('Données projet'!$B$15,Paramètres!$A$1:$I$89,5,0)</f>
        <v>1.1439169611549005E-13</v>
      </c>
      <c r="EL198" s="14">
        <f t="shared" si="179"/>
        <v>1.6918016515029816E-12</v>
      </c>
      <c r="EM198" s="22">
        <f t="shared" si="180"/>
        <v>3.1457867471021712E-12</v>
      </c>
      <c r="EN198" s="60">
        <f t="shared" si="198"/>
        <v>290.31211911692162</v>
      </c>
      <c r="EO198" s="60">
        <f ca="1">AVERAGE(OFFSET($EN$3,0,0,'Données projet'!$E$15+1,1))-AVERAGE(OFFSET($H$3,0,0,'Données projet'!$E$15+1,1))</f>
        <v>344.62096650402731</v>
      </c>
      <c r="EP198" s="60">
        <f t="shared" si="210"/>
        <v>277.30931495079346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3.4106051316484809E-13</v>
      </c>
      <c r="FF198" s="18">
        <f>FE198*VLOOKUP('Données projet'!$B$16,Paramètres!$A$1:$I$89,3,0)*VLOOKUP('Données projet'!$B$16,Paramètres!$A$1:$I$89,5,0)</f>
        <v>2.9795046430081134E-13</v>
      </c>
      <c r="FG198" s="14">
        <f t="shared" si="182"/>
        <v>3.9419014464513778E-12</v>
      </c>
      <c r="FH198" s="22">
        <f t="shared" si="183"/>
        <v>7.384408744560063E-12</v>
      </c>
      <c r="FI198" s="60">
        <f t="shared" si="199"/>
        <v>290.31211911692589</v>
      </c>
      <c r="FJ198" s="60">
        <f ca="1">AVERAGE(OFFSET($FI$3,0,0,'Données projet'!$E$16+1,1))-AVERAGE(OFFSET($H$3,0,0,'Données projet'!$E$16+1,1))</f>
        <v>363.28611056308665</v>
      </c>
      <c r="FK198" s="60">
        <f t="shared" si="211"/>
        <v>389.43647559455974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-9.6633812063373625E-13</v>
      </c>
      <c r="GA198" s="18">
        <f>FZ198*VLOOKUP('Données projet'!$B$17,Paramètres!$A$1:$I$89,3,0)*VLOOKUP('Données projet'!$B$17,Paramètres!$A$1:$I$89,5,0)</f>
        <v>-1.0401663530501537E-12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542.90832990875208</v>
      </c>
      <c r="GF198" s="60">
        <f t="shared" si="212"/>
        <v>304.94365539329362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2.7134774427395314E-13</v>
      </c>
      <c r="P199" s="14">
        <f t="shared" si="203"/>
        <v>3.6292411711343559E-12</v>
      </c>
      <c r="Q199" s="22">
        <f t="shared" si="162"/>
        <v>6.7935256943361388E-12</v>
      </c>
      <c r="R199" s="60">
        <f t="shared" si="191"/>
        <v>290.36453042915701</v>
      </c>
      <c r="S199" s="60">
        <f ca="1">AVERAGE(OFFSET($R$3,0,0,'Données projet'!$E$9+1,1))-AVERAGE(OFFSET($H$3,0,0,'Données projet'!$E$9+1,1))</f>
        <v>336.25341821407534</v>
      </c>
      <c r="T199" s="60">
        <f t="shared" si="204"/>
        <v>360.3246221345039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516.30971934066179</v>
      </c>
      <c r="AO199" s="60">
        <f t="shared" si="205"/>
        <v>290.84286505723571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0">
        <f t="shared" si="194"/>
        <v>290.36453042915701</v>
      </c>
      <c r="BI199" s="60">
        <f ca="1">AVERAGE(OFFSET($BH$3,0,0,'Données projet'!$E$11+1,1))-AVERAGE(OFFSET($H$3,0,0,'Données projet'!$E$11+1,1))</f>
        <v>336.25341821407534</v>
      </c>
      <c r="BJ199" s="60">
        <f t="shared" si="206"/>
        <v>360.3246221345039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1.0818439477588981E-13</v>
      </c>
      <c r="CA199" s="14">
        <f t="shared" si="170"/>
        <v>1.6104228458716316E-12</v>
      </c>
      <c r="CB199" s="22">
        <f t="shared" si="171"/>
        <v>2.9932409441277661E-12</v>
      </c>
      <c r="CC199" s="60">
        <f t="shared" si="195"/>
        <v>290.36453042915321</v>
      </c>
      <c r="CD199" s="60">
        <f ca="1">AVERAGE(OFFSET($CC$3,0,0,'Données projet'!$E$12+1,1))-AVERAGE(OFFSET($H$3,0,0,'Données projet'!$E$12+1,1))</f>
        <v>398.29746143975166</v>
      </c>
      <c r="CE199" s="60">
        <f t="shared" si="207"/>
        <v>300.63705521148802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-9.3464223027694966E-13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496.33873798282525</v>
      </c>
      <c r="CZ199" s="60">
        <f t="shared" si="208"/>
        <v>280.25465074992246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8.8675733422860506E-14</v>
      </c>
      <c r="DQ199" s="14">
        <f t="shared" si="176"/>
        <v>1.3509285393066301E-12</v>
      </c>
      <c r="DR199" s="22">
        <f t="shared" si="177"/>
        <v>2.5073107750038623E-12</v>
      </c>
      <c r="DS199" s="60">
        <f t="shared" si="197"/>
        <v>290.36453042915269</v>
      </c>
      <c r="DT199" s="60">
        <f ca="1">AVERAGE(OFFSET($DS$3,0,0,'Données projet'!$E$14+1,1))-AVERAGE(OFFSET($H$3,0,0,'Données projet'!$E$14+1,1))</f>
        <v>312.59632808777332</v>
      </c>
      <c r="DU199" s="60">
        <f t="shared" si="209"/>
        <v>302.59481222418219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1.7053025658242404E-13</v>
      </c>
      <c r="EK199" s="18">
        <f>EJ199*VLOOKUP('Données projet'!$B$15,Paramètres!$A$1:$I$89,3,0)*VLOOKUP('Données projet'!$B$15,Paramètres!$A$1:$I$89,5,0)</f>
        <v>1.1439169611549005E-13</v>
      </c>
      <c r="EL199" s="14">
        <f t="shared" si="179"/>
        <v>1.6918016515029816E-12</v>
      </c>
      <c r="EM199" s="22">
        <f t="shared" si="180"/>
        <v>3.1457867471021712E-12</v>
      </c>
      <c r="EN199" s="60">
        <f t="shared" si="198"/>
        <v>290.36453042915332</v>
      </c>
      <c r="EO199" s="60">
        <f ca="1">AVERAGE(OFFSET($EN$3,0,0,'Données projet'!$E$15+1,1))-AVERAGE(OFFSET($H$3,0,0,'Données projet'!$E$15+1,1))</f>
        <v>344.62096650402731</v>
      </c>
      <c r="EP199" s="60">
        <f t="shared" si="210"/>
        <v>277.30931495079346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3.4106051316484809E-13</v>
      </c>
      <c r="FF199" s="18">
        <f>FE199*VLOOKUP('Données projet'!$B$16,Paramètres!$A$1:$I$89,3,0)*VLOOKUP('Données projet'!$B$16,Paramètres!$A$1:$I$89,5,0)</f>
        <v>2.9795046430081134E-13</v>
      </c>
      <c r="FG199" s="14">
        <f t="shared" si="182"/>
        <v>3.9419014464513778E-12</v>
      </c>
      <c r="FH199" s="22">
        <f t="shared" si="183"/>
        <v>7.384408744560063E-12</v>
      </c>
      <c r="FI199" s="60">
        <f t="shared" si="199"/>
        <v>290.36453042915758</v>
      </c>
      <c r="FJ199" s="60">
        <f ca="1">AVERAGE(OFFSET($FI$3,0,0,'Données projet'!$E$16+1,1))-AVERAGE(OFFSET($H$3,0,0,'Données projet'!$E$16+1,1))</f>
        <v>363.28611056308665</v>
      </c>
      <c r="FK199" s="60">
        <f t="shared" si="211"/>
        <v>389.43647559455974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-9.6633812063373625E-13</v>
      </c>
      <c r="GA199" s="18">
        <f>FZ199*VLOOKUP('Données projet'!$B$17,Paramètres!$A$1:$I$89,3,0)*VLOOKUP('Données projet'!$B$17,Paramètres!$A$1:$I$89,5,0)</f>
        <v>-1.0401663530501537E-12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542.90832990875208</v>
      </c>
      <c r="GF199" s="60">
        <f t="shared" si="212"/>
        <v>304.94365539329362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2.7134774427395314E-13</v>
      </c>
      <c r="P200" s="14">
        <f t="shared" si="203"/>
        <v>3.6292411711343559E-12</v>
      </c>
      <c r="Q200" s="22">
        <f t="shared" si="162"/>
        <v>6.7935256943361388E-12</v>
      </c>
      <c r="R200" s="60">
        <f t="shared" si="191"/>
        <v>290.41603252229561</v>
      </c>
      <c r="S200" s="60">
        <f ca="1">AVERAGE(OFFSET($R$3,0,0,'Données projet'!$E$9+1,1))-AVERAGE(OFFSET($H$3,0,0,'Données projet'!$E$9+1,1))</f>
        <v>336.25341821407534</v>
      </c>
      <c r="T200" s="60">
        <f t="shared" si="204"/>
        <v>360.3246221345039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516.30971934066179</v>
      </c>
      <c r="AO200" s="60">
        <f t="shared" si="205"/>
        <v>290.84286505723571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0">
        <f t="shared" si="194"/>
        <v>290.41603252229561</v>
      </c>
      <c r="BI200" s="60">
        <f ca="1">AVERAGE(OFFSET($BH$3,0,0,'Données projet'!$E$11+1,1))-AVERAGE(OFFSET($H$3,0,0,'Données projet'!$E$11+1,1))</f>
        <v>336.25341821407534</v>
      </c>
      <c r="BJ200" s="60">
        <f t="shared" si="206"/>
        <v>360.3246221345039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1.0818439477588981E-13</v>
      </c>
      <c r="CA200" s="14">
        <f t="shared" si="170"/>
        <v>1.6104228458716316E-12</v>
      </c>
      <c r="CB200" s="22">
        <f t="shared" si="171"/>
        <v>2.9932409441277661E-12</v>
      </c>
      <c r="CC200" s="60">
        <f t="shared" si="195"/>
        <v>290.4160325222918</v>
      </c>
      <c r="CD200" s="60">
        <f ca="1">AVERAGE(OFFSET($CC$3,0,0,'Données projet'!$E$12+1,1))-AVERAGE(OFFSET($H$3,0,0,'Données projet'!$E$12+1,1))</f>
        <v>398.29746143975166</v>
      </c>
      <c r="CE200" s="60">
        <f t="shared" si="207"/>
        <v>300.63705521148802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-9.3464223027694966E-13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496.33873798282525</v>
      </c>
      <c r="CZ200" s="60">
        <f t="shared" si="208"/>
        <v>280.25465074992246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8.8675733422860506E-14</v>
      </c>
      <c r="DQ200" s="14">
        <f t="shared" si="176"/>
        <v>1.3509285393066301E-12</v>
      </c>
      <c r="DR200" s="22">
        <f t="shared" si="177"/>
        <v>2.5073107750038623E-12</v>
      </c>
      <c r="DS200" s="60">
        <f t="shared" si="197"/>
        <v>290.41603252229129</v>
      </c>
      <c r="DT200" s="60">
        <f ca="1">AVERAGE(OFFSET($DS$3,0,0,'Données projet'!$E$14+1,1))-AVERAGE(OFFSET($H$3,0,0,'Données projet'!$E$14+1,1))</f>
        <v>312.59632808777332</v>
      </c>
      <c r="DU200" s="60">
        <f t="shared" si="209"/>
        <v>302.59481222418219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1.7053025658242404E-13</v>
      </c>
      <c r="EK200" s="18">
        <f>EJ200*VLOOKUP('Données projet'!$B$15,Paramètres!$A$1:$I$89,3,0)*VLOOKUP('Données projet'!$B$15,Paramètres!$A$1:$I$89,5,0)</f>
        <v>1.1439169611549005E-13</v>
      </c>
      <c r="EL200" s="14">
        <f t="shared" si="179"/>
        <v>1.6918016515029816E-12</v>
      </c>
      <c r="EM200" s="22">
        <f t="shared" si="180"/>
        <v>3.1457867471021712E-12</v>
      </c>
      <c r="EN200" s="60">
        <f t="shared" si="198"/>
        <v>290.41603252229191</v>
      </c>
      <c r="EO200" s="60">
        <f ca="1">AVERAGE(OFFSET($EN$3,0,0,'Données projet'!$E$15+1,1))-AVERAGE(OFFSET($H$3,0,0,'Données projet'!$E$15+1,1))</f>
        <v>344.62096650402731</v>
      </c>
      <c r="EP200" s="60">
        <f t="shared" si="210"/>
        <v>277.30931495079346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3.4106051316484809E-13</v>
      </c>
      <c r="FF200" s="18">
        <f>FE200*VLOOKUP('Données projet'!$B$16,Paramètres!$A$1:$I$89,3,0)*VLOOKUP('Données projet'!$B$16,Paramètres!$A$1:$I$89,5,0)</f>
        <v>2.9795046430081134E-13</v>
      </c>
      <c r="FG200" s="14">
        <f t="shared" si="182"/>
        <v>3.9419014464513778E-12</v>
      </c>
      <c r="FH200" s="22">
        <f t="shared" si="183"/>
        <v>7.384408744560063E-12</v>
      </c>
      <c r="FI200" s="60">
        <f t="shared" si="199"/>
        <v>290.41603252229618</v>
      </c>
      <c r="FJ200" s="60">
        <f ca="1">AVERAGE(OFFSET($FI$3,0,0,'Données projet'!$E$16+1,1))-AVERAGE(OFFSET($H$3,0,0,'Données projet'!$E$16+1,1))</f>
        <v>363.28611056308665</v>
      </c>
      <c r="FK200" s="60">
        <f t="shared" si="211"/>
        <v>389.43647559455974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-9.6633812063373625E-13</v>
      </c>
      <c r="GA200" s="18">
        <f>FZ200*VLOOKUP('Données projet'!$B$17,Paramètres!$A$1:$I$89,3,0)*VLOOKUP('Données projet'!$B$17,Paramètres!$A$1:$I$89,5,0)</f>
        <v>-1.0401663530501537E-12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542.90832990875208</v>
      </c>
      <c r="GF200" s="60">
        <f t="shared" si="212"/>
        <v>304.94365539329362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2.7134774427395314E-13</v>
      </c>
      <c r="P201" s="14">
        <f t="shared" si="203"/>
        <v>3.6292411711343559E-12</v>
      </c>
      <c r="Q201" s="22">
        <f t="shared" si="162"/>
        <v>6.7935256943361388E-12</v>
      </c>
      <c r="R201" s="60">
        <f t="shared" si="191"/>
        <v>290.46664116925973</v>
      </c>
      <c r="S201" s="60">
        <f ca="1">AVERAGE(OFFSET($R$3,0,0,'Données projet'!$E$9+1,1))-AVERAGE(OFFSET($H$3,0,0,'Données projet'!$E$9+1,1))</f>
        <v>336.25341821407534</v>
      </c>
      <c r="T201" s="60">
        <f t="shared" si="204"/>
        <v>360.3246221345039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516.30971934066179</v>
      </c>
      <c r="AO201" s="60">
        <f t="shared" si="205"/>
        <v>290.84286505723571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0">
        <f t="shared" si="194"/>
        <v>290.46664116925973</v>
      </c>
      <c r="BI201" s="60">
        <f ca="1">AVERAGE(OFFSET($BH$3,0,0,'Données projet'!$E$11+1,1))-AVERAGE(OFFSET($H$3,0,0,'Données projet'!$E$11+1,1))</f>
        <v>336.25341821407534</v>
      </c>
      <c r="BJ201" s="60">
        <f t="shared" si="206"/>
        <v>360.3246221345039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1.0818439477588981E-13</v>
      </c>
      <c r="CA201" s="14">
        <f t="shared" si="170"/>
        <v>1.6104228458716316E-12</v>
      </c>
      <c r="CB201" s="22">
        <f t="shared" si="171"/>
        <v>2.9932409441277661E-12</v>
      </c>
      <c r="CC201" s="60">
        <f t="shared" si="195"/>
        <v>290.46664116925592</v>
      </c>
      <c r="CD201" s="60">
        <f ca="1">AVERAGE(OFFSET($CC$3,0,0,'Données projet'!$E$12+1,1))-AVERAGE(OFFSET($H$3,0,0,'Données projet'!$E$12+1,1))</f>
        <v>398.29746143975166</v>
      </c>
      <c r="CE201" s="60">
        <f t="shared" si="207"/>
        <v>300.63705521148802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-9.3464223027694966E-13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496.33873798282525</v>
      </c>
      <c r="CZ201" s="60">
        <f t="shared" si="208"/>
        <v>280.25465074992246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8.8675733422860506E-14</v>
      </c>
      <c r="DQ201" s="14">
        <f t="shared" si="176"/>
        <v>1.3509285393066301E-12</v>
      </c>
      <c r="DR201" s="22">
        <f t="shared" si="177"/>
        <v>2.5073107750038623E-12</v>
      </c>
      <c r="DS201" s="60">
        <f t="shared" si="197"/>
        <v>290.46664116925541</v>
      </c>
      <c r="DT201" s="60">
        <f ca="1">AVERAGE(OFFSET($DS$3,0,0,'Données projet'!$E$14+1,1))-AVERAGE(OFFSET($H$3,0,0,'Données projet'!$E$14+1,1))</f>
        <v>312.59632808777332</v>
      </c>
      <c r="DU201" s="60">
        <f t="shared" si="209"/>
        <v>302.59481222418219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1.7053025658242404E-13</v>
      </c>
      <c r="EK201" s="18">
        <f>EJ201*VLOOKUP('Données projet'!$B$15,Paramètres!$A$1:$I$89,3,0)*VLOOKUP('Données projet'!$B$15,Paramètres!$A$1:$I$89,5,0)</f>
        <v>1.1439169611549005E-13</v>
      </c>
      <c r="EL201" s="14">
        <f t="shared" si="179"/>
        <v>1.6918016515029816E-12</v>
      </c>
      <c r="EM201" s="22">
        <f t="shared" si="180"/>
        <v>3.1457867471021712E-12</v>
      </c>
      <c r="EN201" s="60">
        <f t="shared" si="198"/>
        <v>290.46664116925604</v>
      </c>
      <c r="EO201" s="60">
        <f ca="1">AVERAGE(OFFSET($EN$3,0,0,'Données projet'!$E$15+1,1))-AVERAGE(OFFSET($H$3,0,0,'Données projet'!$E$15+1,1))</f>
        <v>344.62096650402731</v>
      </c>
      <c r="EP201" s="60">
        <f t="shared" si="210"/>
        <v>277.30931495079346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3.4106051316484809E-13</v>
      </c>
      <c r="FF201" s="18">
        <f>FE201*VLOOKUP('Données projet'!$B$16,Paramètres!$A$1:$I$89,3,0)*VLOOKUP('Données projet'!$B$16,Paramètres!$A$1:$I$89,5,0)</f>
        <v>2.9795046430081134E-13</v>
      </c>
      <c r="FG201" s="14">
        <f t="shared" si="182"/>
        <v>3.9419014464513778E-12</v>
      </c>
      <c r="FH201" s="22">
        <f t="shared" si="183"/>
        <v>7.384408744560063E-12</v>
      </c>
      <c r="FI201" s="60">
        <f t="shared" si="199"/>
        <v>290.4666411692603</v>
      </c>
      <c r="FJ201" s="60">
        <f ca="1">AVERAGE(OFFSET($FI$3,0,0,'Données projet'!$E$16+1,1))-AVERAGE(OFFSET($H$3,0,0,'Données projet'!$E$16+1,1))</f>
        <v>363.28611056308665</v>
      </c>
      <c r="FK201" s="60">
        <f t="shared" si="211"/>
        <v>389.43647559455974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-9.6633812063373625E-13</v>
      </c>
      <c r="GA201" s="18">
        <f>FZ201*VLOOKUP('Données projet'!$B$17,Paramètres!$A$1:$I$89,3,0)*VLOOKUP('Données projet'!$B$17,Paramètres!$A$1:$I$89,5,0)</f>
        <v>-1.0401663530501537E-12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542.90832990875208</v>
      </c>
      <c r="GF201" s="60">
        <f t="shared" si="212"/>
        <v>304.94365539329362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2.7134774427395314E-13</v>
      </c>
      <c r="P202" s="14">
        <f t="shared" si="203"/>
        <v>3.6292411711343559E-12</v>
      </c>
      <c r="Q202" s="22">
        <f t="shared" si="162"/>
        <v>6.7935256943361388E-12</v>
      </c>
      <c r="R202" s="60">
        <f t="shared" si="191"/>
        <v>290.51637186934295</v>
      </c>
      <c r="S202" s="60">
        <f ca="1">AVERAGE(OFFSET($R$3,0,0,'Données projet'!$E$9+1,1))-AVERAGE(OFFSET($H$3,0,0,'Données projet'!$E$9+1,1))</f>
        <v>336.25341821407534</v>
      </c>
      <c r="T202" s="60">
        <f t="shared" si="204"/>
        <v>360.3246221345039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516.30971934066179</v>
      </c>
      <c r="AO202" s="60">
        <f t="shared" si="205"/>
        <v>290.84286505723571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0">
        <f t="shared" si="194"/>
        <v>290.51637186934295</v>
      </c>
      <c r="BI202" s="60">
        <f ca="1">AVERAGE(OFFSET($BH$3,0,0,'Données projet'!$E$11+1,1))-AVERAGE(OFFSET($H$3,0,0,'Données projet'!$E$11+1,1))</f>
        <v>336.25341821407534</v>
      </c>
      <c r="BJ202" s="60">
        <f t="shared" si="206"/>
        <v>360.3246221345039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1.0818439477588981E-13</v>
      </c>
      <c r="CA202" s="14">
        <f t="shared" si="170"/>
        <v>1.6104228458716316E-12</v>
      </c>
      <c r="CB202" s="22">
        <f t="shared" si="171"/>
        <v>2.9932409441277661E-12</v>
      </c>
      <c r="CC202" s="60">
        <f t="shared" si="195"/>
        <v>290.51637186933914</v>
      </c>
      <c r="CD202" s="60">
        <f ca="1">AVERAGE(OFFSET($CC$3,0,0,'Données projet'!$E$12+1,1))-AVERAGE(OFFSET($H$3,0,0,'Données projet'!$E$12+1,1))</f>
        <v>398.29746143975166</v>
      </c>
      <c r="CE202" s="60">
        <f t="shared" si="207"/>
        <v>300.63705521148802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-9.3464223027694966E-13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496.33873798282525</v>
      </c>
      <c r="CZ202" s="60">
        <f t="shared" si="208"/>
        <v>280.25465074992246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8.8675733422860506E-14</v>
      </c>
      <c r="DQ202" s="14">
        <f t="shared" si="176"/>
        <v>1.3509285393066301E-12</v>
      </c>
      <c r="DR202" s="22">
        <f t="shared" si="177"/>
        <v>2.5073107750038623E-12</v>
      </c>
      <c r="DS202" s="60">
        <f t="shared" si="197"/>
        <v>290.51637186933863</v>
      </c>
      <c r="DT202" s="60">
        <f ca="1">AVERAGE(OFFSET($DS$3,0,0,'Données projet'!$E$14+1,1))-AVERAGE(OFFSET($H$3,0,0,'Données projet'!$E$14+1,1))</f>
        <v>312.59632808777332</v>
      </c>
      <c r="DU202" s="60">
        <f t="shared" si="209"/>
        <v>302.59481222418219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1.7053025658242404E-13</v>
      </c>
      <c r="EK202" s="18">
        <f>EJ202*VLOOKUP('Données projet'!$B$15,Paramètres!$A$1:$I$89,3,0)*VLOOKUP('Données projet'!$B$15,Paramètres!$A$1:$I$89,5,0)</f>
        <v>1.1439169611549005E-13</v>
      </c>
      <c r="EL202" s="14">
        <f t="shared" si="179"/>
        <v>1.6918016515029816E-12</v>
      </c>
      <c r="EM202" s="22">
        <f t="shared" si="180"/>
        <v>3.1457867471021712E-12</v>
      </c>
      <c r="EN202" s="60">
        <f t="shared" si="198"/>
        <v>290.51637186933925</v>
      </c>
      <c r="EO202" s="60">
        <f ca="1">AVERAGE(OFFSET($EN$3,0,0,'Données projet'!$E$15+1,1))-AVERAGE(OFFSET($H$3,0,0,'Données projet'!$E$15+1,1))</f>
        <v>344.62096650402731</v>
      </c>
      <c r="EP202" s="60">
        <f t="shared" si="210"/>
        <v>277.30931495079346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3.4106051316484809E-13</v>
      </c>
      <c r="FF202" s="18">
        <f>FE202*VLOOKUP('Données projet'!$B$16,Paramètres!$A$1:$I$89,3,0)*VLOOKUP('Données projet'!$B$16,Paramètres!$A$1:$I$89,5,0)</f>
        <v>2.9795046430081134E-13</v>
      </c>
      <c r="FG202" s="14">
        <f t="shared" si="182"/>
        <v>3.9419014464513778E-12</v>
      </c>
      <c r="FH202" s="22">
        <f t="shared" si="183"/>
        <v>7.384408744560063E-12</v>
      </c>
      <c r="FI202" s="60">
        <f t="shared" si="199"/>
        <v>290.51637186934352</v>
      </c>
      <c r="FJ202" s="60">
        <f ca="1">AVERAGE(OFFSET($FI$3,0,0,'Données projet'!$E$16+1,1))-AVERAGE(OFFSET($H$3,0,0,'Données projet'!$E$16+1,1))</f>
        <v>363.28611056308665</v>
      </c>
      <c r="FK202" s="60">
        <f t="shared" si="211"/>
        <v>389.43647559455974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-9.6633812063373625E-13</v>
      </c>
      <c r="GA202" s="18">
        <f>FZ202*VLOOKUP('Données projet'!$B$17,Paramètres!$A$1:$I$89,3,0)*VLOOKUP('Données projet'!$B$17,Paramètres!$A$1:$I$89,5,0)</f>
        <v>-1.0401663530501537E-12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542.90832990875208</v>
      </c>
      <c r="GF202" s="60">
        <f t="shared" si="212"/>
        <v>304.94365539329362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2.7134774427395314E-13</v>
      </c>
      <c r="P203" s="14">
        <f t="shared" si="203"/>
        <v>3.6292411711343559E-12</v>
      </c>
      <c r="Q203" s="22">
        <f t="shared" si="162"/>
        <v>6.7935256943361388E-12</v>
      </c>
      <c r="R203" s="60">
        <f t="shared" si="191"/>
        <v>290.56523985296093</v>
      </c>
      <c r="S203" s="60">
        <f ca="1">AVERAGE(OFFSET($R$3,0,0,'Données projet'!$E$9+1,1))-AVERAGE(OFFSET($H$3,0,0,'Données projet'!$E$9+1,1))</f>
        <v>336.25341821407534</v>
      </c>
      <c r="T203" s="60">
        <f t="shared" si="204"/>
        <v>360.3246221345039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516.30971934066179</v>
      </c>
      <c r="AO203" s="60">
        <f t="shared" si="205"/>
        <v>290.84286505723571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0">
        <f t="shared" si="194"/>
        <v>290.56523985296093</v>
      </c>
      <c r="BI203" s="60">
        <f ca="1">AVERAGE(OFFSET($BH$3,0,0,'Données projet'!$E$11+1,1))-AVERAGE(OFFSET($H$3,0,0,'Données projet'!$E$11+1,1))</f>
        <v>336.25341821407534</v>
      </c>
      <c r="BJ203" s="60">
        <f t="shared" si="206"/>
        <v>360.3246221345039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1.0818439477588981E-13</v>
      </c>
      <c r="CA203" s="14">
        <f t="shared" si="170"/>
        <v>1.6104228458716316E-12</v>
      </c>
      <c r="CB203" s="22">
        <f t="shared" si="171"/>
        <v>2.9932409441277661E-12</v>
      </c>
      <c r="CC203" s="60">
        <f t="shared" si="195"/>
        <v>290.56523985295712</v>
      </c>
      <c r="CD203" s="60">
        <f ca="1">AVERAGE(OFFSET($CC$3,0,0,'Données projet'!$E$12+1,1))-AVERAGE(OFFSET($H$3,0,0,'Données projet'!$E$12+1,1))</f>
        <v>398.29746143975166</v>
      </c>
      <c r="CE203" s="60">
        <f t="shared" si="207"/>
        <v>300.63705521148802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-9.3464223027694966E-13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496.33873798282525</v>
      </c>
      <c r="CZ203" s="60">
        <f t="shared" si="208"/>
        <v>280.25465074992246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8.8675733422860506E-14</v>
      </c>
      <c r="DQ203" s="14">
        <f t="shared" si="176"/>
        <v>1.3509285393066301E-12</v>
      </c>
      <c r="DR203" s="22">
        <f t="shared" si="177"/>
        <v>2.5073107750038623E-12</v>
      </c>
      <c r="DS203" s="60">
        <f t="shared" si="197"/>
        <v>290.56523985295661</v>
      </c>
      <c r="DT203" s="60">
        <f ca="1">AVERAGE(OFFSET($DS$3,0,0,'Données projet'!$E$14+1,1))-AVERAGE(OFFSET($H$3,0,0,'Données projet'!$E$14+1,1))</f>
        <v>312.59632808777332</v>
      </c>
      <c r="DU203" s="60">
        <f t="shared" si="209"/>
        <v>302.59481222418219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1.7053025658242404E-13</v>
      </c>
      <c r="EK203" s="18">
        <f>EJ203*VLOOKUP('Données projet'!$B$15,Paramètres!$A$1:$I$89,3,0)*VLOOKUP('Données projet'!$B$15,Paramètres!$A$1:$I$89,5,0)</f>
        <v>1.1439169611549005E-13</v>
      </c>
      <c r="EL203" s="14">
        <f t="shared" si="179"/>
        <v>1.6918016515029816E-12</v>
      </c>
      <c r="EM203" s="22">
        <f t="shared" si="180"/>
        <v>3.1457867471021712E-12</v>
      </c>
      <c r="EN203" s="60">
        <f t="shared" si="198"/>
        <v>290.56523985295723</v>
      </c>
      <c r="EO203" s="60">
        <f ca="1">AVERAGE(OFFSET($EN$3,0,0,'Données projet'!$E$15+1,1))-AVERAGE(OFFSET($H$3,0,0,'Données projet'!$E$15+1,1))</f>
        <v>344.62096650402731</v>
      </c>
      <c r="EP203" s="60">
        <f t="shared" si="210"/>
        <v>277.30931495079346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3.4106051316484809E-13</v>
      </c>
      <c r="FF203" s="18">
        <f>FE203*VLOOKUP('Données projet'!$B$16,Paramètres!$A$1:$I$89,3,0)*VLOOKUP('Données projet'!$B$16,Paramètres!$A$1:$I$89,5,0)</f>
        <v>2.9795046430081134E-13</v>
      </c>
      <c r="FG203" s="14">
        <f t="shared" si="182"/>
        <v>3.9419014464513778E-12</v>
      </c>
      <c r="FH203" s="22">
        <f t="shared" si="183"/>
        <v>7.384408744560063E-12</v>
      </c>
      <c r="FI203" s="60">
        <f t="shared" si="199"/>
        <v>290.5652398529615</v>
      </c>
      <c r="FJ203" s="60">
        <f ca="1">AVERAGE(OFFSET($FI$3,0,0,'Données projet'!$E$16+1,1))-AVERAGE(OFFSET($H$3,0,0,'Données projet'!$E$16+1,1))</f>
        <v>363.28611056308665</v>
      </c>
      <c r="FK203" s="60">
        <f t="shared" si="211"/>
        <v>389.43647559455974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-9.6633812063373625E-13</v>
      </c>
      <c r="GA203" s="18">
        <f>FZ203*VLOOKUP('Données projet'!$B$17,Paramètres!$A$1:$I$89,3,0)*VLOOKUP('Données projet'!$B$17,Paramètres!$A$1:$I$89,5,0)</f>
        <v>-1.0401663530501537E-12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542.90832990875208</v>
      </c>
      <c r="GF203" s="60">
        <f t="shared" si="212"/>
        <v>304.94365539329362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1.2730870686066207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1.2730870686066207</v>
      </c>
      <c r="BV205" s="86">
        <f>EXP(LN('Données projet'!B114)/'Données projet'!A114)</f>
        <v>1.2711106295585217</v>
      </c>
      <c r="CQ205" s="86">
        <f>EXP(LN('Données projet'!B140)/'Données projet'!A140)</f>
        <v>1.2054868146447177</v>
      </c>
      <c r="DL205" s="86">
        <f>EXP(LN('Données projet'!B166)/'Données projet'!A166)</f>
        <v>1.2788040393997409</v>
      </c>
      <c r="EG205" s="86">
        <f>EXP(LN('Données projet'!B192)/'Données projet'!A192)</f>
        <v>1.2979700365523266</v>
      </c>
      <c r="FB205" s="86">
        <f>EXP(LN('Données projet'!B218)/'Données projet'!A218)</f>
        <v>1.2730870686066207</v>
      </c>
      <c r="FW205" s="86">
        <f>EXP(LN('Données projet'!B244)/'Données projet'!A244)</f>
        <v>1.2054868146447177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Erable sycomore</v>
      </c>
      <c r="B6" s="153">
        <f>'Données projet'!D9</f>
        <v>1.054</v>
      </c>
      <c r="C6" s="154">
        <f ca="1">IF(OR('Données projet'!B9="",'Données projet'!C9="",'Données projet'!C9=0%),0,Calculateur!S3)</f>
        <v>336.25341821407534</v>
      </c>
      <c r="D6" s="154">
        <f>IF(OR('Données projet'!B9="",'Données projet'!C9="",'Données projet'!C9=0%),0,Calculateur!T3)</f>
        <v>360.3246221345039</v>
      </c>
      <c r="E6" s="154">
        <f ca="1">MIN(C6,D6)</f>
        <v>336.25341821407534</v>
      </c>
      <c r="F6" s="154">
        <f ca="1">E6*B6</f>
        <v>354.41110279763541</v>
      </c>
      <c r="G6" s="154">
        <f ca="1">F6*(100%-'Données projet'!$C$24)*(100%-'Données projet'!$C$25)*(100%-'Données projet'!$C$26)*(100%-'Données projet'!$C$27)</f>
        <v>318.9699925178719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26.112849999999998</v>
      </c>
      <c r="K6" s="158">
        <f>J6*(100%-'Données projet'!$C$24)*(100%-'Données projet'!$C$25)*(100%-'Données projet'!$C$26)*(100%-'Données projet'!$C$27)</f>
        <v>23.501564999999999</v>
      </c>
      <c r="L6" s="159">
        <f ca="1">G6+I6+K6</f>
        <v>342.47155751787193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pubescent</v>
      </c>
      <c r="B7" s="161">
        <f>'Données projet'!D10</f>
        <v>1</v>
      </c>
      <c r="C7" s="154">
        <f ca="1">IF(OR('Données projet'!B10="",'Données projet'!C10="",'Données projet'!C10=0%),0,Calculateur!AN3)</f>
        <v>516.30971934066179</v>
      </c>
      <c r="D7" s="154">
        <f>IF(OR('Données projet'!B10="",'Données projet'!C10="",'Données projet'!C10=0%),0,Calculateur!AO3)</f>
        <v>290.84286505723571</v>
      </c>
      <c r="E7" s="154">
        <f t="shared" ref="E7:E15" ca="1" si="0">MIN(C7,D7)</f>
        <v>290.84286505723571</v>
      </c>
      <c r="F7" s="154">
        <f t="shared" ref="F7:F15" ca="1" si="1">E7*B7</f>
        <v>290.84286505723571</v>
      </c>
      <c r="G7" s="154">
        <f ca="1">F7*(100%-'Données projet'!$C$24)*(100%-'Données projet'!$C$25)*(100%-'Données projet'!$C$26)*(100%-'Données projet'!$C$27)</f>
        <v>261.75857855151213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7.25</v>
      </c>
      <c r="K7" s="158">
        <f>J7*(100%-'Données projet'!$C$24)*(100%-'Données projet'!$C$25)*(100%-'Données projet'!$C$26)*(100%-'Données projet'!$C$27)</f>
        <v>6.5250000000000004</v>
      </c>
      <c r="L7" s="159">
        <f t="shared" ref="L7:L15" ca="1" si="2">G7+I7+K7</f>
        <v>268.28357855151211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Erable plane</v>
      </c>
      <c r="B8" s="161">
        <f>'Données projet'!D11</f>
        <v>0.7</v>
      </c>
      <c r="C8" s="154">
        <f ca="1">IF(OR('Données projet'!B11="",'Données projet'!C11="",'Données projet'!C11=0%),0,Calculateur!BI3)</f>
        <v>336.25341821407534</v>
      </c>
      <c r="D8" s="154">
        <f>IF(OR('Données projet'!B11="",'Données projet'!C11="",'Données projet'!C11=0%),0,Calculateur!BJ3)</f>
        <v>360.3246221345039</v>
      </c>
      <c r="E8" s="154">
        <f t="shared" ca="1" si="0"/>
        <v>336.25341821407534</v>
      </c>
      <c r="F8" s="154">
        <f t="shared" ca="1" si="1"/>
        <v>235.37739274985273</v>
      </c>
      <c r="G8" s="154">
        <f ca="1">F8*(100%-'Données projet'!$C$24)*(100%-'Données projet'!$C$25)*(100%-'Données projet'!$C$26)*(100%-'Données projet'!$C$27)</f>
        <v>211.83965347486748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17.342499999999998</v>
      </c>
      <c r="K8" s="158">
        <f>J8*(100%-'Données projet'!$C$24)*(100%-'Données projet'!$C$25)*(100%-'Données projet'!$C$26)*(100%-'Données projet'!$C$27)</f>
        <v>15.608249999999998</v>
      </c>
      <c r="L8" s="159">
        <f t="shared" ca="1" si="2"/>
        <v>227.44790347486747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Charme</v>
      </c>
      <c r="B9" s="161">
        <f>'Données projet'!D12</f>
        <v>0.35</v>
      </c>
      <c r="C9" s="154">
        <f ca="1">IF(OR('Données projet'!B12="",'Données projet'!C12="",'Données projet'!C12=0%),0,Calculateur!CD3)</f>
        <v>398.29746143975166</v>
      </c>
      <c r="D9" s="154">
        <f>IF(OR('Données projet'!B12="",'Données projet'!C12="",'Données projet'!C12=0%),0,Calculateur!CE3)</f>
        <v>300.63705521148802</v>
      </c>
      <c r="E9" s="154">
        <f t="shared" ca="1" si="0"/>
        <v>300.63705521148802</v>
      </c>
      <c r="F9" s="154">
        <f t="shared" ca="1" si="1"/>
        <v>105.2229693240208</v>
      </c>
      <c r="G9" s="154">
        <f ca="1">F9*(100%-'Données projet'!$C$24)*(100%-'Données projet'!$C$25)*(100%-'Données projet'!$C$26)*(100%-'Données projet'!$C$27)</f>
        <v>94.700672391618724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3.7019230769230766</v>
      </c>
      <c r="K9" s="158">
        <f>J9*(100%-'Données projet'!$C$24)*(100%-'Données projet'!$C$25)*(100%-'Données projet'!$C$26)*(100%-'Données projet'!$C$27)</f>
        <v>3.3317307692307692</v>
      </c>
      <c r="L9" s="159">
        <f t="shared" ca="1" si="2"/>
        <v>98.032403160849498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Alisier torminal</v>
      </c>
      <c r="B10" s="161">
        <f>'Données projet'!D13</f>
        <v>0.35</v>
      </c>
      <c r="C10" s="154">
        <f ca="1">IF(OR('Données projet'!B13="",'Données projet'!C13="",'Données projet'!C13=0%),0,Calculateur!CY3)</f>
        <v>496.33873798282525</v>
      </c>
      <c r="D10" s="154">
        <f>IF(OR('Données projet'!B13="",'Données projet'!C13="",'Données projet'!C13=0%),0,Calculateur!CZ3)</f>
        <v>280.25465074992246</v>
      </c>
      <c r="E10" s="154">
        <f t="shared" ca="1" si="0"/>
        <v>280.25465074992246</v>
      </c>
      <c r="F10" s="154">
        <f t="shared" ca="1" si="1"/>
        <v>98.089127762472856</v>
      </c>
      <c r="G10" s="154">
        <f ca="1">F10*(100%-'Données projet'!$C$24)*(100%-'Données projet'!$C$25)*(100%-'Données projet'!$C$26)*(100%-'Données projet'!$C$27)</f>
        <v>88.280214986225573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2.5374999999999996</v>
      </c>
      <c r="K10" s="158">
        <f>J10*(100%-'Données projet'!$C$24)*(100%-'Données projet'!$C$25)*(100%-'Données projet'!$C$26)*(100%-'Données projet'!$C$27)</f>
        <v>2.2837499999999999</v>
      </c>
      <c r="L10" s="159">
        <f t="shared" ca="1" si="2"/>
        <v>90.563964986225571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Merisier</v>
      </c>
      <c r="B11" s="161">
        <f>'Données projet'!D14</f>
        <v>0.17519999999999999</v>
      </c>
      <c r="C11" s="154">
        <f ca="1">IF(OR('Données projet'!B14="",'Données projet'!C14="",'Données projet'!C14=0%),0,Calculateur!DT3)</f>
        <v>312.59632808777332</v>
      </c>
      <c r="D11" s="154">
        <f>IF(OR('Données projet'!B14="",'Données projet'!C14="",'Données projet'!C14=0%),0,Calculateur!DU3)</f>
        <v>302.59481222418219</v>
      </c>
      <c r="E11" s="154">
        <f t="shared" ca="1" si="0"/>
        <v>302.59481222418219</v>
      </c>
      <c r="F11" s="154">
        <f t="shared" ca="1" si="1"/>
        <v>53.014611101676721</v>
      </c>
      <c r="G11" s="154">
        <f ca="1">F11*(100%-'Données projet'!$C$24)*(100%-'Données projet'!$C$25)*(100%-'Données projet'!$C$26)*(100%-'Données projet'!$C$27)</f>
        <v>47.713149991509049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2.4089999999999998</v>
      </c>
      <c r="K11" s="158">
        <f>J11*(100%-'Données projet'!$C$24)*(100%-'Données projet'!$C$25)*(100%-'Données projet'!$C$26)*(100%-'Données projet'!$C$27)</f>
        <v>2.1680999999999999</v>
      </c>
      <c r="L11" s="159">
        <f t="shared" ca="1" si="2"/>
        <v>49.881249991509051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Tilleul</v>
      </c>
      <c r="B12" s="161">
        <f>'Données projet'!D15</f>
        <v>0.17519999999999999</v>
      </c>
      <c r="C12" s="154">
        <f ca="1">IF(OR('Données projet'!B15="",'Données projet'!C15="",'Données projet'!C15=0%),0,Calculateur!EO3)</f>
        <v>344.62096650402731</v>
      </c>
      <c r="D12" s="154">
        <f>IF(OR('Données projet'!B15="",'Données projet'!C15="",'Données projet'!C15=0%),0,Calculateur!EP3)</f>
        <v>277.30931495079346</v>
      </c>
      <c r="E12" s="154">
        <f t="shared" ca="1" si="0"/>
        <v>277.30931495079346</v>
      </c>
      <c r="F12" s="154">
        <f t="shared" ca="1" si="1"/>
        <v>48.584591979379013</v>
      </c>
      <c r="G12" s="154">
        <f ca="1">F12*(100%-'Données projet'!$C$24)*(100%-'Données projet'!$C$25)*(100%-'Données projet'!$C$26)*(100%-'Données projet'!$C$27)</f>
        <v>43.726132781441116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2.4988461538461539</v>
      </c>
      <c r="K12" s="158">
        <f>J12*(100%-'Données projet'!$C$24)*(100%-'Données projet'!$C$25)*(100%-'Données projet'!$C$26)*(100%-'Données projet'!$C$27)</f>
        <v>2.2489615384615385</v>
      </c>
      <c r="L12" s="159">
        <f t="shared" ca="1" si="2"/>
        <v>45.975094319902652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Erable champêtre</v>
      </c>
      <c r="B13" s="161">
        <f>'Données projet'!D16</f>
        <v>7.5200000000000003E-2</v>
      </c>
      <c r="C13" s="154">
        <f ca="1">IF(OR('Données projet'!B16="",'Données projet'!C16="",'Données projet'!C16=0%),0,Calculateur!FJ3)</f>
        <v>363.28611056308665</v>
      </c>
      <c r="D13" s="154">
        <f>IF(OR('Données projet'!B16="",'Données projet'!C16="",'Données projet'!C16=0%),0,Calculateur!FK3)</f>
        <v>389.43647559455974</v>
      </c>
      <c r="E13" s="154">
        <f t="shared" ca="1" si="0"/>
        <v>363.28611056308665</v>
      </c>
      <c r="F13" s="154">
        <f t="shared" ca="1" si="1"/>
        <v>27.319115514344116</v>
      </c>
      <c r="G13" s="154">
        <f ca="1">F13*(100%-'Données projet'!$C$24)*(100%-'Données projet'!$C$25)*(100%-'Données projet'!$C$26)*(100%-'Données projet'!$C$27)</f>
        <v>24.587203962909705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1.8630800000000001</v>
      </c>
      <c r="K13" s="158">
        <f>J13*(100%-'Données projet'!$C$24)*(100%-'Données projet'!$C$25)*(100%-'Données projet'!$C$26)*(100%-'Données projet'!$C$27)</f>
        <v>1.6767720000000002</v>
      </c>
      <c r="L13" s="159">
        <f t="shared" ca="1" si="2"/>
        <v>26.263975962909704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Cormier</v>
      </c>
      <c r="B14" s="161">
        <f>'Données projet'!D17</f>
        <v>7.5200000000000003E-2</v>
      </c>
      <c r="C14" s="154">
        <f ca="1">IF(OR('Données projet'!B17="",'Données projet'!C17="",'Données projet'!C17=0%),0,Calculateur!GE3)</f>
        <v>542.90832990875208</v>
      </c>
      <c r="D14" s="154">
        <f>IF(OR('Données projet'!B17="",'Données projet'!C17="",'Données projet'!C17=0%),0,Calculateur!GF3)</f>
        <v>304.94365539329362</v>
      </c>
      <c r="E14" s="154">
        <f t="shared" ca="1" si="0"/>
        <v>304.94365539329362</v>
      </c>
      <c r="F14" s="154">
        <f t="shared" ca="1" si="1"/>
        <v>22.931762885575683</v>
      </c>
      <c r="G14" s="154">
        <f ca="1">F14*(100%-'Données projet'!$C$24)*(100%-'Données projet'!$C$25)*(100%-'Données projet'!$C$26)*(100%-'Données projet'!$C$27)</f>
        <v>20.638586597018115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0.54520000000000002</v>
      </c>
      <c r="K14" s="158">
        <f>J14*(100%-'Données projet'!$C$24)*(100%-'Données projet'!$C$25)*(100%-'Données projet'!$C$26)*(100%-'Données projet'!$C$27)</f>
        <v>0.49068000000000001</v>
      </c>
      <c r="L14" s="159">
        <f t="shared" ca="1" si="2"/>
        <v>21.129266597018116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1235.7935391721928</v>
      </c>
      <c r="G16" s="173">
        <f t="shared" ca="1" si="3"/>
        <v>1112.2141852549735</v>
      </c>
      <c r="H16" s="174">
        <f t="shared" si="3"/>
        <v>0</v>
      </c>
      <c r="I16" s="174">
        <f t="shared" si="3"/>
        <v>0</v>
      </c>
      <c r="J16" s="175">
        <f t="shared" si="3"/>
        <v>64.260899230769226</v>
      </c>
      <c r="K16" s="175">
        <f t="shared" si="3"/>
        <v>57.834809307692296</v>
      </c>
      <c r="L16" s="176">
        <f t="shared" ca="1" si="3"/>
        <v>1170.0489945626659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Erable sycomore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Erable plane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Charme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Merisier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Tilleul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Erable champêtre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Cormier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7" zoomScale="80" zoomScaleNormal="80" workbookViewId="0">
      <selection activeCell="T23" sqref="T23:V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Erable sycomore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1683.8493794567451</v>
      </c>
      <c r="U10" s="188">
        <f>'Données projet'!D9</f>
        <v>1.054</v>
      </c>
      <c r="V10" s="187">
        <f>U10*T10</f>
        <v>1774.7772459474093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730.58923669376043</v>
      </c>
      <c r="U11" s="188">
        <f>'Données projet'!D10</f>
        <v>1</v>
      </c>
      <c r="V11" s="187">
        <f t="shared" ref="V11" si="0">U11*T11</f>
        <v>730.58923669376043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plane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1683.8493794567451</v>
      </c>
      <c r="U12" s="188">
        <f>'Données projet'!D11</f>
        <v>0.7</v>
      </c>
      <c r="V12" s="187">
        <f t="shared" ref="V12:V19" si="1">U12*T12</f>
        <v>1178.6945656197215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Charme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650.8250343208116</v>
      </c>
      <c r="U13" s="188">
        <f>'Données projet'!D12</f>
        <v>0.35</v>
      </c>
      <c r="V13" s="187">
        <f t="shared" si="1"/>
        <v>227.78876201228405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Erable sycomore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730.58923669376043</v>
      </c>
      <c r="U14" s="188">
        <f>'Données projet'!D13</f>
        <v>0.35</v>
      </c>
      <c r="V14" s="187">
        <f t="shared" si="1"/>
        <v>255.70623284281612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Merisier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3965.312637620189</v>
      </c>
      <c r="U15" s="188">
        <f>'Données projet'!D14</f>
        <v>0.17519999999999999</v>
      </c>
      <c r="V15" s="187">
        <f t="shared" si="1"/>
        <v>694.72277411105711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Tilleul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586.42588496661313</v>
      </c>
      <c r="U16" s="188">
        <f>'Données projet'!D15</f>
        <v>0.17519999999999999</v>
      </c>
      <c r="V16" s="187">
        <f t="shared" si="1"/>
        <v>102.74181504615062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Erable champêtre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1515.596829214463</v>
      </c>
      <c r="U17" s="188">
        <f>'Données projet'!D16</f>
        <v>7.5200000000000003E-2</v>
      </c>
      <c r="V17" s="187">
        <f t="shared" si="1"/>
        <v>113.97288155692762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Cormier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730.58923669376043</v>
      </c>
      <c r="U18" s="188">
        <f>'Données projet'!D17</f>
        <v>7.5200000000000003E-2</v>
      </c>
      <c r="V18" s="187">
        <f t="shared" si="1"/>
        <v>54.94031059937079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7987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15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-26814.0661755705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20</v>
      </c>
      <c r="B24" s="191">
        <f>'Données projet'!D37</f>
        <v>43.1</v>
      </c>
      <c r="C24" s="202">
        <v>10</v>
      </c>
      <c r="D24" s="192">
        <f t="shared" ref="D24:D42" si="2">B24*C24</f>
        <v>431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115212.27590080294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25</v>
      </c>
      <c r="B25" s="191">
        <f>'Données projet'!D38</f>
        <v>0</v>
      </c>
      <c r="C25" s="202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1300</v>
      </c>
      <c r="Q25" s="263"/>
      <c r="R25" s="25"/>
      <c r="S25" s="196" t="s">
        <v>266</v>
      </c>
      <c r="T25" s="334">
        <f ca="1">T23-T24</f>
        <v>-142026.34207637343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30</v>
      </c>
      <c r="B26" s="191">
        <f>'Données projet'!D39</f>
        <v>56</v>
      </c>
      <c r="C26" s="202">
        <v>15</v>
      </c>
      <c r="D26" s="192">
        <f t="shared" si="2"/>
        <v>840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35</v>
      </c>
      <c r="B27" s="191">
        <f>'Données projet'!D40</f>
        <v>0</v>
      </c>
      <c r="C27" s="202"/>
      <c r="D27" s="192">
        <f t="shared" si="2"/>
        <v>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40</v>
      </c>
      <c r="B28" s="191">
        <f>'Données projet'!D41</f>
        <v>56</v>
      </c>
      <c r="C28" s="202">
        <v>20</v>
      </c>
      <c r="D28" s="192">
        <f t="shared" si="2"/>
        <v>1120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45</v>
      </c>
      <c r="B29" s="191">
        <f>'Données projet'!D42</f>
        <v>0</v>
      </c>
      <c r="C29" s="202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50</v>
      </c>
      <c r="B30" s="191">
        <f>'Données projet'!D43</f>
        <v>38.299999999999997</v>
      </c>
      <c r="C30" s="202">
        <v>30</v>
      </c>
      <c r="D30" s="192">
        <f t="shared" si="2"/>
        <v>1149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28803.068975200735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55</v>
      </c>
      <c r="B31" s="191">
        <f>'Données projet'!D44</f>
        <v>0</v>
      </c>
      <c r="C31" s="202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60</v>
      </c>
      <c r="B32" s="191">
        <f>'Données projet'!D45</f>
        <v>25.200000000000003</v>
      </c>
      <c r="C32" s="202">
        <v>40</v>
      </c>
      <c r="D32" s="192">
        <f t="shared" si="2"/>
        <v>1008.0000000000001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65</v>
      </c>
      <c r="B33" s="191">
        <f>'Données projet'!D46</f>
        <v>0</v>
      </c>
      <c r="C33" s="202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1300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70</v>
      </c>
      <c r="B34" s="191">
        <f>'Données projet'!D47</f>
        <v>20.9</v>
      </c>
      <c r="C34" s="202">
        <v>50</v>
      </c>
      <c r="D34" s="192">
        <f t="shared" si="2"/>
        <v>1045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1244.019138755981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75</v>
      </c>
      <c r="B35" s="191">
        <f>'Données projet'!D48</f>
        <v>0</v>
      </c>
      <c r="C35" s="202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1190.4489366085943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80</v>
      </c>
      <c r="B36" s="191">
        <f>'Données projet'!D49</f>
        <v>284.60000000000002</v>
      </c>
      <c r="C36" s="204">
        <v>100</v>
      </c>
      <c r="D36" s="192">
        <f t="shared" si="2"/>
        <v>28460.000000000004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1139.185585271382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1090.1297466711794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1043.1863604508894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998.26445976161688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955.27699498719312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914.14066505951519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874.77575603781361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837.10598663905625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801.05836042014948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766.56302432550217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733.55313332583933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701.96472088597079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671.73657501049831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642.81011962727143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615.12930107872853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588.64047950117583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563.29232488150797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539.03571758995986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515.82365319613382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493.61115138386032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472.35516878838303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452.01451558696948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42</v>
      </c>
      <c r="C58" s="202">
        <v>15</v>
      </c>
      <c r="D58" s="189">
        <f t="shared" si="4"/>
        <v>630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432.54977568131056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413.9232303170437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42</v>
      </c>
      <c r="C60" s="202">
        <v>20</v>
      </c>
      <c r="D60" s="189">
        <f t="shared" si="4"/>
        <v>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396.0987849923863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55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379.04189951424536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42</v>
      </c>
      <c r="C62" s="202">
        <v>30</v>
      </c>
      <c r="D62" s="189">
        <f t="shared" si="4"/>
        <v>1260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362.71952106626344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65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347.10002015910391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42</v>
      </c>
      <c r="C64" s="202">
        <v>40</v>
      </c>
      <c r="D64" s="189">
        <f t="shared" si="4"/>
        <v>1680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332.15312933885536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75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317.84988453478996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80</v>
      </c>
      <c r="B66" s="191">
        <f>'Données projet'!D74</f>
        <v>42</v>
      </c>
      <c r="C66" s="202">
        <v>50</v>
      </c>
      <c r="D66" s="189">
        <f t="shared" si="4"/>
        <v>2100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304.16256893281343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42</v>
      </c>
      <c r="C67" s="202">
        <v>60</v>
      </c>
      <c r="D67" s="189">
        <f t="shared" si="4"/>
        <v>2520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291.0646592658502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100</v>
      </c>
      <c r="B68" s="191">
        <f>'Données projet'!D76</f>
        <v>42</v>
      </c>
      <c r="C68" s="202">
        <v>70</v>
      </c>
      <c r="D68" s="189">
        <f t="shared" si="4"/>
        <v>2940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278.53077441708155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110</v>
      </c>
      <c r="B69" s="191">
        <f>'Données projet'!D77</f>
        <v>39</v>
      </c>
      <c r="C69" s="202">
        <v>80</v>
      </c>
      <c r="D69" s="189">
        <f t="shared" si="4"/>
        <v>3120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266.53662623644169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120</v>
      </c>
      <c r="B70" s="191">
        <f>'Données projet'!D78</f>
        <v>35</v>
      </c>
      <c r="C70" s="202">
        <v>90</v>
      </c>
      <c r="D70" s="189">
        <f t="shared" si="4"/>
        <v>3150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255.05897247506385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130</v>
      </c>
      <c r="B71" s="191">
        <f>'Données projet'!D79</f>
        <v>31</v>
      </c>
      <c r="C71" s="202">
        <v>100</v>
      </c>
      <c r="D71" s="189">
        <f t="shared" si="4"/>
        <v>3100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244.0755717464726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140</v>
      </c>
      <c r="B72" s="191">
        <f>'Données projet'!D80</f>
        <v>27</v>
      </c>
      <c r="C72" s="202">
        <v>150</v>
      </c>
      <c r="D72" s="189">
        <f t="shared" si="4"/>
        <v>4050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233.56514042724652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150</v>
      </c>
      <c r="B73" s="191">
        <f>'Données projet'!D81</f>
        <v>293</v>
      </c>
      <c r="C73" s="202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223.50731141363309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213.88259465419438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204.67233938200422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Erable plane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195.85869797320979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187.42459136192326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179.35367594442417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171.63031190853991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164.23953292683242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157.16701715486366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150.39905947833842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143.9225449553478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137.7249234022467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131.79418507392032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43.1</v>
      </c>
      <c r="C86" s="202">
        <v>10</v>
      </c>
      <c r="D86" s="189">
        <f t="shared" ref="D86:D104" si="6">B86*C86</f>
        <v>431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126.1188373913113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120.68788267111134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56</v>
      </c>
      <c r="C88" s="202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115.49079681446059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110.51750891335945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56</v>
      </c>
      <c r="C90" s="202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105.75838173527221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101.2041930481074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38.299999999999997</v>
      </c>
      <c r="C92" s="202">
        <v>30</v>
      </c>
      <c r="D92" s="189">
        <f t="shared" si="6"/>
        <v>1149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96.846117749385073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92.675710764961806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25.200000000000003</v>
      </c>
      <c r="C94" s="202">
        <v>40</v>
      </c>
      <c r="D94" s="189">
        <f t="shared" si="6"/>
        <v>1008.0000000000001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88.684890684173965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84.865924099688044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20.9</v>
      </c>
      <c r="C96" s="202">
        <v>50</v>
      </c>
      <c r="D96" s="189">
        <f t="shared" si="6"/>
        <v>1045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81.211410621711025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77.714268537522557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284.60000000000002</v>
      </c>
      <c r="C98" s="204">
        <v>100</v>
      </c>
      <c r="D98" s="189">
        <f t="shared" si="6"/>
        <v>28460.000000000004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74.367721088538332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4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71.165283338314211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68.100749606042299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65.168181441188821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62.361896115970168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Charme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16.666666666666668</v>
      </c>
      <c r="C117" s="202">
        <v>10</v>
      </c>
      <c r="D117" s="189">
        <f t="shared" ref="D117:D135" si="8">B117*C117</f>
        <v>166.66666666666669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30</v>
      </c>
      <c r="B119" s="191">
        <f>'Données projet'!D117</f>
        <v>25.641025641025639</v>
      </c>
      <c r="C119" s="202">
        <v>15</v>
      </c>
      <c r="D119" s="189">
        <f t="shared" si="8"/>
        <v>384.61538461538458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35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40</v>
      </c>
      <c r="B121" s="191">
        <f>'Données projet'!D119</f>
        <v>28.846153846153847</v>
      </c>
      <c r="C121" s="202">
        <v>20</v>
      </c>
      <c r="D121" s="189">
        <f t="shared" si="8"/>
        <v>576.92307692307691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45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50</v>
      </c>
      <c r="B123" s="191">
        <f>'Données projet'!D121</f>
        <v>30.769230769230766</v>
      </c>
      <c r="C123" s="202">
        <v>25</v>
      </c>
      <c r="D123" s="189">
        <f t="shared" si="8"/>
        <v>769.23076923076917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55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60</v>
      </c>
      <c r="B125" s="191">
        <f>'Données projet'!D123</f>
        <v>29.487179487179485</v>
      </c>
      <c r="C125" s="202">
        <v>30</v>
      </c>
      <c r="D125" s="189">
        <f t="shared" si="8"/>
        <v>884.61538461538453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65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70</v>
      </c>
      <c r="B127" s="191">
        <f>'Données projet'!D125</f>
        <v>28.846153846153847</v>
      </c>
      <c r="C127" s="202">
        <v>35</v>
      </c>
      <c r="D127" s="189">
        <f t="shared" si="8"/>
        <v>1009.6153846153846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75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80</v>
      </c>
      <c r="B129" s="191">
        <f>'Données projet'!D127</f>
        <v>27.564102564102562</v>
      </c>
      <c r="C129" s="202">
        <v>40</v>
      </c>
      <c r="D129" s="189">
        <f t="shared" si="8"/>
        <v>1102.5641025641025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85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90</v>
      </c>
      <c r="B131" s="191">
        <f>'Données projet'!D129</f>
        <v>25.641025641025639</v>
      </c>
      <c r="C131" s="202">
        <v>45</v>
      </c>
      <c r="D131" s="189">
        <f t="shared" si="8"/>
        <v>1153.8461538461538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95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100</v>
      </c>
      <c r="B133" s="191">
        <f>'Données projet'!D131</f>
        <v>23.717948717948715</v>
      </c>
      <c r="C133" s="202">
        <v>50</v>
      </c>
      <c r="D133" s="189">
        <f t="shared" si="8"/>
        <v>1185.8974358974358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110</v>
      </c>
      <c r="B134" s="191">
        <f>'Données projet'!D132</f>
        <v>22.435897435897434</v>
      </c>
      <c r="C134" s="202">
        <v>60</v>
      </c>
      <c r="D134" s="189">
        <f t="shared" si="8"/>
        <v>1346.153846153846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120</v>
      </c>
      <c r="B135" s="191">
        <f>'Données projet'!D133</f>
        <v>259.61538461538458</v>
      </c>
      <c r="C135" s="202">
        <v>80</v>
      </c>
      <c r="D135" s="189">
        <f t="shared" si="8"/>
        <v>20769.230769230766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29</v>
      </c>
      <c r="C149" s="202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42</v>
      </c>
      <c r="C151" s="202">
        <v>15</v>
      </c>
      <c r="D151" s="192">
        <f t="shared" si="10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42</v>
      </c>
      <c r="C153" s="202">
        <v>20</v>
      </c>
      <c r="D153" s="192">
        <f t="shared" si="10"/>
        <v>840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42</v>
      </c>
      <c r="C155" s="202">
        <v>30</v>
      </c>
      <c r="D155" s="192">
        <f t="shared" si="10"/>
        <v>1260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42</v>
      </c>
      <c r="C157" s="202">
        <v>40</v>
      </c>
      <c r="D157" s="192">
        <f t="shared" si="10"/>
        <v>1680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42</v>
      </c>
      <c r="C159" s="202">
        <v>50</v>
      </c>
      <c r="D159" s="192">
        <f t="shared" si="10"/>
        <v>2100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42</v>
      </c>
      <c r="C160" s="202">
        <v>60</v>
      </c>
      <c r="D160" s="192">
        <f t="shared" si="10"/>
        <v>2520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42</v>
      </c>
      <c r="C161" s="202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39</v>
      </c>
      <c r="C162" s="202">
        <v>80</v>
      </c>
      <c r="D162" s="192">
        <f t="shared" si="10"/>
        <v>3120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35</v>
      </c>
      <c r="C163" s="202">
        <v>90</v>
      </c>
      <c r="D163" s="192">
        <f t="shared" si="10"/>
        <v>3150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31</v>
      </c>
      <c r="C164" s="202">
        <v>100</v>
      </c>
      <c r="D164" s="192">
        <f t="shared" si="10"/>
        <v>3100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27</v>
      </c>
      <c r="C165" s="202">
        <v>150</v>
      </c>
      <c r="D165" s="192">
        <f t="shared" si="10"/>
        <v>4050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293</v>
      </c>
      <c r="C166" s="202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Merisier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55</v>
      </c>
      <c r="C180" s="202">
        <v>10</v>
      </c>
      <c r="D180" s="189">
        <f t="shared" si="11"/>
        <v>550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31</v>
      </c>
      <c r="B181" s="191">
        <f>'Données projet'!D169</f>
        <v>36</v>
      </c>
      <c r="C181" s="202">
        <v>10</v>
      </c>
      <c r="D181" s="189">
        <f t="shared" si="11"/>
        <v>360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37</v>
      </c>
      <c r="B182" s="191">
        <f>'Données projet'!D170</f>
        <v>36</v>
      </c>
      <c r="C182" s="202">
        <v>15</v>
      </c>
      <c r="D182" s="189">
        <f t="shared" si="11"/>
        <v>540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44</v>
      </c>
      <c r="B183" s="191">
        <f>'Données projet'!D171</f>
        <v>43</v>
      </c>
      <c r="C183" s="202">
        <v>20</v>
      </c>
      <c r="D183" s="189">
        <f t="shared" si="11"/>
        <v>860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52</v>
      </c>
      <c r="B184" s="191">
        <f>'Données projet'!D172</f>
        <v>48</v>
      </c>
      <c r="C184" s="202">
        <v>30</v>
      </c>
      <c r="D184" s="189">
        <f t="shared" si="11"/>
        <v>1440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47</v>
      </c>
      <c r="C185" s="202">
        <v>50</v>
      </c>
      <c r="D185" s="189">
        <f t="shared" si="11"/>
        <v>2350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69</v>
      </c>
      <c r="B186" s="191">
        <f>'Données projet'!D174</f>
        <v>328</v>
      </c>
      <c r="C186" s="202">
        <v>200</v>
      </c>
      <c r="D186" s="189">
        <f t="shared" si="11"/>
        <v>65600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Tilleul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24.358974358974358</v>
      </c>
      <c r="C210" s="204">
        <v>10</v>
      </c>
      <c r="D210" s="189">
        <f t="shared" ref="D210:D228" si="12">B210*C210</f>
        <v>243.58974358974359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32.692307692307693</v>
      </c>
      <c r="C212" s="204">
        <v>10</v>
      </c>
      <c r="D212" s="189">
        <f t="shared" si="12"/>
        <v>326.92307692307691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34.615384615384613</v>
      </c>
      <c r="C214" s="204">
        <v>10</v>
      </c>
      <c r="D214" s="189">
        <f t="shared" si="12"/>
        <v>346.15384615384613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32.692307692307693</v>
      </c>
      <c r="C216" s="204">
        <v>15</v>
      </c>
      <c r="D216" s="189">
        <f t="shared" si="12"/>
        <v>490.38461538461542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60</v>
      </c>
      <c r="B218" s="191">
        <f>'Données projet'!D201</f>
        <v>30.128205128205128</v>
      </c>
      <c r="C218" s="204">
        <v>20</v>
      </c>
      <c r="D218" s="189">
        <f t="shared" si="12"/>
        <v>602.56410256410254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65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70</v>
      </c>
      <c r="B220" s="191">
        <f>'Données projet'!D203</f>
        <v>27.564102564102562</v>
      </c>
      <c r="C220" s="204">
        <v>30</v>
      </c>
      <c r="D220" s="189">
        <f t="shared" si="12"/>
        <v>826.92307692307691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75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80</v>
      </c>
      <c r="B222" s="191">
        <f>'Données projet'!D205</f>
        <v>26.282051282051281</v>
      </c>
      <c r="C222" s="204">
        <v>30</v>
      </c>
      <c r="D222" s="189">
        <f t="shared" si="12"/>
        <v>788.46153846153845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85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90</v>
      </c>
      <c r="B224" s="191">
        <f>'Données projet'!D207</f>
        <v>24.358974358974358</v>
      </c>
      <c r="C224" s="204">
        <v>40</v>
      </c>
      <c r="D224" s="189">
        <f t="shared" si="12"/>
        <v>974.35897435897436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95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100</v>
      </c>
      <c r="B226" s="191">
        <f>'Données projet'!D209</f>
        <v>22.435897435897434</v>
      </c>
      <c r="C226" s="204">
        <v>40</v>
      </c>
      <c r="D226" s="189">
        <f t="shared" si="12"/>
        <v>897.43589743589735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105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110</v>
      </c>
      <c r="B228" s="191">
        <f>'Données projet'!D211</f>
        <v>317.94871794871796</v>
      </c>
      <c r="C228" s="204">
        <v>60</v>
      </c>
      <c r="D228" s="189">
        <f t="shared" si="12"/>
        <v>19076.923076923078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Erable champêtre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20</v>
      </c>
      <c r="B241" s="191">
        <f>'Données projet'!D219</f>
        <v>43.1</v>
      </c>
      <c r="C241" s="204">
        <v>10</v>
      </c>
      <c r="D241" s="189">
        <f t="shared" ref="D241:D259" si="13">B241*C241</f>
        <v>431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25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30</v>
      </c>
      <c r="B243" s="191">
        <f>'Données projet'!D221</f>
        <v>56</v>
      </c>
      <c r="C243" s="204">
        <v>15</v>
      </c>
      <c r="D243" s="189">
        <f t="shared" si="13"/>
        <v>840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35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40</v>
      </c>
      <c r="B245" s="191">
        <f>'Données projet'!D223</f>
        <v>56</v>
      </c>
      <c r="C245" s="204">
        <v>20</v>
      </c>
      <c r="D245" s="189">
        <f t="shared" si="13"/>
        <v>1120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45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50</v>
      </c>
      <c r="B247" s="191">
        <f>'Données projet'!D225</f>
        <v>38.299999999999997</v>
      </c>
      <c r="C247" s="204">
        <v>30</v>
      </c>
      <c r="D247" s="189">
        <f t="shared" si="13"/>
        <v>1149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55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60</v>
      </c>
      <c r="B249" s="191">
        <f>'Données projet'!D227</f>
        <v>25.200000000000003</v>
      </c>
      <c r="C249" s="204">
        <v>40</v>
      </c>
      <c r="D249" s="189">
        <f t="shared" si="13"/>
        <v>1008.0000000000001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65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70</v>
      </c>
      <c r="B251" s="191">
        <f>'Données projet'!D229</f>
        <v>20.9</v>
      </c>
      <c r="C251" s="204">
        <v>50</v>
      </c>
      <c r="D251" s="189">
        <f t="shared" si="13"/>
        <v>1045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75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80</v>
      </c>
      <c r="B253" s="191">
        <f>'Données projet'!D231</f>
        <v>284.60000000000002</v>
      </c>
      <c r="C253" s="204">
        <v>80</v>
      </c>
      <c r="D253" s="189">
        <f t="shared" si="13"/>
        <v>22768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Cormier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20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25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30</v>
      </c>
      <c r="B273" s="191">
        <f>'Données projet'!D246</f>
        <v>29</v>
      </c>
      <c r="C273" s="202">
        <v>10</v>
      </c>
      <c r="D273" s="189">
        <f t="shared" si="14"/>
        <v>290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35</v>
      </c>
      <c r="B274" s="191">
        <f>'Données projet'!D247</f>
        <v>0</v>
      </c>
      <c r="C274" s="202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40</v>
      </c>
      <c r="B275" s="191">
        <f>'Données projet'!D248</f>
        <v>42</v>
      </c>
      <c r="C275" s="202">
        <v>15</v>
      </c>
      <c r="D275" s="189">
        <f t="shared" si="14"/>
        <v>630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45</v>
      </c>
      <c r="B276" s="191">
        <f>'Données projet'!D249</f>
        <v>0</v>
      </c>
      <c r="C276" s="202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50</v>
      </c>
      <c r="B277" s="191">
        <f>'Données projet'!D250</f>
        <v>42</v>
      </c>
      <c r="C277" s="202">
        <v>20</v>
      </c>
      <c r="D277" s="189">
        <f t="shared" si="14"/>
        <v>840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55</v>
      </c>
      <c r="B278" s="191">
        <f>'Données projet'!D251</f>
        <v>0</v>
      </c>
      <c r="C278" s="202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60</v>
      </c>
      <c r="B279" s="191">
        <f>'Données projet'!D252</f>
        <v>42</v>
      </c>
      <c r="C279" s="202">
        <v>30</v>
      </c>
      <c r="D279" s="189">
        <f t="shared" si="14"/>
        <v>1260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65</v>
      </c>
      <c r="B280" s="191">
        <f>'Données projet'!D253</f>
        <v>0</v>
      </c>
      <c r="C280" s="202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70</v>
      </c>
      <c r="B281" s="191">
        <f>'Données projet'!D254</f>
        <v>42</v>
      </c>
      <c r="C281" s="202">
        <v>40</v>
      </c>
      <c r="D281" s="189">
        <f t="shared" si="14"/>
        <v>1680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75</v>
      </c>
      <c r="B282" s="191">
        <f>'Données projet'!D255</f>
        <v>0</v>
      </c>
      <c r="C282" s="202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80</v>
      </c>
      <c r="B283" s="191">
        <f>'Données projet'!D256</f>
        <v>42</v>
      </c>
      <c r="C283" s="202">
        <v>50</v>
      </c>
      <c r="D283" s="189">
        <f t="shared" si="14"/>
        <v>2100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90</v>
      </c>
      <c r="B284" s="191">
        <f>'Données projet'!D257</f>
        <v>42</v>
      </c>
      <c r="C284" s="202">
        <v>60</v>
      </c>
      <c r="D284" s="189">
        <f t="shared" si="14"/>
        <v>2520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100</v>
      </c>
      <c r="B285" s="191">
        <f>'Données projet'!D258</f>
        <v>42</v>
      </c>
      <c r="C285" s="202">
        <v>70</v>
      </c>
      <c r="D285" s="189">
        <f t="shared" si="14"/>
        <v>2940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110</v>
      </c>
      <c r="B286" s="191">
        <f>'Données projet'!D259</f>
        <v>39</v>
      </c>
      <c r="C286" s="202">
        <v>80</v>
      </c>
      <c r="D286" s="189">
        <f t="shared" si="14"/>
        <v>3120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120</v>
      </c>
      <c r="B287" s="191">
        <f>'Données projet'!D260</f>
        <v>35</v>
      </c>
      <c r="C287" s="202">
        <v>90</v>
      </c>
      <c r="D287" s="189">
        <f t="shared" si="14"/>
        <v>3150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130</v>
      </c>
      <c r="B288" s="191">
        <f>'Données projet'!D261</f>
        <v>31</v>
      </c>
      <c r="C288" s="202">
        <v>100</v>
      </c>
      <c r="D288" s="189">
        <f t="shared" si="14"/>
        <v>3100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140</v>
      </c>
      <c r="B289" s="191">
        <f>'Données projet'!D262</f>
        <v>27</v>
      </c>
      <c r="C289" s="202">
        <v>150</v>
      </c>
      <c r="D289" s="189">
        <f t="shared" si="14"/>
        <v>4050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150</v>
      </c>
      <c r="B290" s="191">
        <f>'Données projet'!D263</f>
        <v>293</v>
      </c>
      <c r="C290" s="202">
        <v>200</v>
      </c>
      <c r="D290" s="189">
        <f t="shared" si="14"/>
        <v>58600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2024-07-19T16:31:26Z</dcterms:modified>
</cp:coreProperties>
</file>