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Anthony BAREL/Saint-Mars-de-Coutais/"/>
    </mc:Choice>
  </mc:AlternateContent>
  <xr:revisionPtr revIDLastSave="0" documentId="14_{FA652BB0-6CD6-4AFF-8526-4C37FF477AC7}" xr6:coauthVersionLast="47" xr6:coauthVersionMax="47" xr10:uidLastSave="{00000000-0000-0000-0000-000000000000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AH163" i="2" a="1"/>
  <c r="AH163" i="2" s="1"/>
  <c r="AH62" i="2" a="1"/>
  <c r="AH6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<sst xmlns="http://schemas.openxmlformats.org/spreadsheetml/2006/main" count="1174" uniqueCount="325">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</sst>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2.6545363919666056</c:v>
                </c:pt>
                <c:pt idx="2">
                  <c:v>3.0498680872909687</c:v>
                </c:pt>
                <c:pt idx="3">
                  <c:v>3.5042863496199099</c:v>
                </c:pt>
                <c:pt idx="4">
                  <c:v>4.0266521169806992</c:v>
                </c:pt>
                <c:pt idx="5">
                  <c:v>4.6271593579498189</c:v>
                </c:pt>
                <c:pt idx="6">
                  <c:v>5.3175362001651179</c:v>
                </c:pt>
                <c:pt idx="7">
                  <c:v>6.1112764875692553</c:v>
                </c:pt>
                <c:pt idx="8">
                  <c:v>7.0239063814266727</c:v>
                </c:pt>
                <c:pt idx="9">
                  <c:v>8.0732913217033442</c:v>
                </c:pt>
                <c:pt idx="10">
                  <c:v>9.2799894738115594</c:v>
                </c:pt>
                <c:pt idx="11">
                  <c:v>10.66765871730995</c:v>
                </c:pt>
                <c:pt idx="12">
                  <c:v>12.26352530671501</c:v>
                </c:pt>
                <c:pt idx="13">
                  <c:v>14.098923571801871</c:v>
                </c:pt>
                <c:pt idx="14">
                  <c:v>16.209917450642156</c:v>
                </c:pt>
                <c:pt idx="15">
                  <c:v>18.638016291961673</c:v>
                </c:pt>
                <c:pt idx="16">
                  <c:v>21.430999257425388</c:v>
                </c:pt>
                <c:pt idx="17">
                  <c:v>24.643864837480283</c:v>
                </c:pt>
                <c:pt idx="18">
                  <c:v>28.339924510581934</c:v>
                </c:pt>
                <c:pt idx="19">
                  <c:v>32.592062475931563</c:v>
                </c:pt>
                <c:pt idx="20">
                  <c:v>37.484186732991283</c:v>
                </c:pt>
                <c:pt idx="21">
                  <c:v>43.112900634753409</c:v>
                </c:pt>
                <c:pt idx="22">
                  <c:v>49.58942848411747</c:v>
                </c:pt>
                <c:pt idx="23">
                  <c:v>57.041833863841269</c:v>
                </c:pt>
                <c:pt idx="24">
                  <c:v>65.61757529424726</c:v>
                </c:pt>
                <c:pt idx="25">
                  <c:v>75.48645061896606</c:v>
                </c:pt>
                <c:pt idx="26">
                  <c:v>86.843989365628133</c:v>
                </c:pt>
                <c:pt idx="27">
                  <c:v>99.915361374894232</c:v>
                </c:pt>
                <c:pt idx="28">
                  <c:v>114.9598804212918</c:v>
                </c:pt>
                <c:pt idx="29">
                  <c:v>132.27619357492748</c:v>
                </c:pt>
                <c:pt idx="30">
                  <c:v>152.20826091870231</c:v>
                </c:pt>
                <c:pt idx="31">
                  <c:v>162.98463072137639</c:v>
                </c:pt>
                <c:pt idx="32">
                  <c:v>173.74415159546285</c:v>
                </c:pt>
                <c:pt idx="33">
                  <c:v>184.48801497982217</c:v>
                </c:pt>
                <c:pt idx="34">
                  <c:v>195.21726202720279</c:v>
                </c:pt>
                <c:pt idx="35">
                  <c:v>205.93280996116789</c:v>
                </c:pt>
                <c:pt idx="36">
                  <c:v>216.6354726500532</c:v>
                </c:pt>
                <c:pt idx="37">
                  <c:v>227.32597689583122</c:v>
                </c:pt>
                <c:pt idx="38">
                  <c:v>238.00497549414197</c:v>
                </c:pt>
                <c:pt idx="39">
                  <c:v>248.67305782470615</c:v>
                </c:pt>
                <c:pt idx="40">
                  <c:v>259.33075852724227</c:v>
                </c:pt>
                <c:pt idx="41">
                  <c:v>269.97856467507779</c:v>
                </c:pt>
                <c:pt idx="42">
                  <c:v>280.61692175681293</c:v>
                </c:pt>
                <c:pt idx="43">
                  <c:v>219.2364936366308</c:v>
                </c:pt>
                <c:pt idx="44">
                  <c:v>233.16817282079023</c:v>
                </c:pt>
                <c:pt idx="45">
                  <c:v>247.08084979641851</c:v>
                </c:pt>
                <c:pt idx="46">
                  <c:v>260.97574553687451</c:v>
                </c:pt>
                <c:pt idx="47">
                  <c:v>274.85394031838462</c:v>
                </c:pt>
                <c:pt idx="48">
                  <c:v>288.71639637046309</c:v>
                </c:pt>
                <c:pt idx="49">
                  <c:v>302.56397594468757</c:v>
                </c:pt>
                <c:pt idx="50">
                  <c:v>316.39745590015349</c:v>
                </c:pt>
                <c:pt idx="51">
                  <c:v>273.38670979243687</c:v>
                </c:pt>
                <c:pt idx="52">
                  <c:v>287.42020429431284</c:v>
                </c:pt>
                <c:pt idx="53">
                  <c:v>301.43837740587037</c:v>
                </c:pt>
                <c:pt idx="54">
                  <c:v>315.44204208522223</c:v>
                </c:pt>
                <c:pt idx="55">
                  <c:v>329.43193320131792</c:v>
                </c:pt>
                <c:pt idx="56">
                  <c:v>343.40871810261575</c:v>
                </c:pt>
                <c:pt idx="57">
                  <c:v>357.37300537454212</c:v>
                </c:pt>
                <c:pt idx="58">
                  <c:v>371.32535215621283</c:v>
                </c:pt>
                <c:pt idx="59">
                  <c:v>315.51183909506216</c:v>
                </c:pt>
                <c:pt idx="60">
                  <c:v>329.05073650276262</c:v>
                </c:pt>
                <c:pt idx="61">
                  <c:v>342.57734336481394</c:v>
                </c:pt>
                <c:pt idx="62">
                  <c:v>356.09221338084268</c:v>
                </c:pt>
                <c:pt idx="63">
                  <c:v>369.59585478551793</c:v>
                </c:pt>
                <c:pt idx="64">
                  <c:v>383.08873564151554</c:v>
                </c:pt>
                <c:pt idx="65">
                  <c:v>396.5712883477056</c:v>
                </c:pt>
                <c:pt idx="66">
                  <c:v>410.0439135021868</c:v>
                </c:pt>
                <c:pt idx="67">
                  <c:v>347.44730241687625</c:v>
                </c:pt>
                <c:pt idx="68">
                  <c:v>360.38278100948378</c:v>
                </c:pt>
                <c:pt idx="69">
                  <c:v>373.30810753560894</c:v>
                </c:pt>
                <c:pt idx="70">
                  <c:v>386.22368305629948</c:v>
                </c:pt>
                <c:pt idx="71">
                  <c:v>399.12987961766686</c:v>
                </c:pt>
                <c:pt idx="72">
                  <c:v>412.02704324015616</c:v>
                </c:pt>
                <c:pt idx="73">
                  <c:v>424.91549651397821</c:v>
                </c:pt>
                <c:pt idx="74">
                  <c:v>437.79554086320655</c:v>
                </c:pt>
                <c:pt idx="75">
                  <c:v>379.41318705628618</c:v>
                </c:pt>
                <c:pt idx="76">
                  <c:v>392.00536505326244</c:v>
                </c:pt>
                <c:pt idx="77">
                  <c:v>404.5887722875338</c:v>
                </c:pt>
                <c:pt idx="78">
                  <c:v>417.16372000047312</c:v>
                </c:pt>
                <c:pt idx="79">
                  <c:v>429.73049913746746</c:v>
                </c:pt>
                <c:pt idx="80">
                  <c:v>442.28938223878066</c:v>
                </c:pt>
                <c:pt idx="81">
                  <c:v>454.84062510445273</c:v>
                </c:pt>
                <c:pt idx="82">
                  <c:v>467.38446826585488</c:v>
                </c:pt>
                <c:pt idx="83">
                  <c:v>479.92113829104784</c:v>
                </c:pt>
                <c:pt idx="84">
                  <c:v>492.45084894664933</c:v>
                </c:pt>
                <c:pt idx="85">
                  <c:v>413.69789366517688</c:v>
                </c:pt>
                <c:pt idx="86">
                  <c:v>425.72326588472441</c:v>
                </c:pt>
                <c:pt idx="87">
                  <c:v>437.74133281024564</c:v>
                </c:pt>
                <c:pt idx="88">
                  <c:v>449.75232328199803</c:v>
                </c:pt>
                <c:pt idx="89">
                  <c:v>461.7564529200472</c:v>
                </c:pt>
                <c:pt idx="90">
                  <c:v>473.75392521910811</c:v>
                </c:pt>
                <c:pt idx="91">
                  <c:v>485.74493252670771</c:v>
                </c:pt>
                <c:pt idx="92">
                  <c:v>497.72965691973968</c:v>
                </c:pt>
                <c:pt idx="93">
                  <c:v>509.70827099220446</c:v>
                </c:pt>
                <c:pt idx="94">
                  <c:v>521.68093856505448</c:v>
                </c:pt>
                <c:pt idx="95">
                  <c:v>442.71309293511808</c:v>
                </c:pt>
                <c:pt idx="96">
                  <c:v>454.37653595908381</c:v>
                </c:pt>
                <c:pt idx="97">
                  <c:v>466.03358176488229</c:v>
                </c:pt>
                <c:pt idx="98">
                  <c:v>477.68441292460778</c:v>
                </c:pt>
                <c:pt idx="99">
                  <c:v>489.32920237793724</c:v>
                </c:pt>
                <c:pt idx="100">
                  <c:v>500.96811416232453</c:v>
                </c:pt>
                <c:pt idx="101">
                  <c:v>512.60130407180907</c:v>
                </c:pt>
                <c:pt idx="102">
                  <c:v>524.22892025291412</c:v>
                </c:pt>
                <c:pt idx="103">
                  <c:v>535.85110374493036</c:v>
                </c:pt>
                <c:pt idx="104">
                  <c:v>547.46798897089673</c:v>
                </c:pt>
                <c:pt idx="105">
                  <c:v>470.83512622667905</c:v>
                </c:pt>
                <c:pt idx="106">
                  <c:v>482.31993060359929</c:v>
                </c:pt>
                <c:pt idx="107">
                  <c:v>493.79892623857194</c:v>
                </c:pt>
                <c:pt idx="108">
                  <c:v>505.27226719263109</c:v>
                </c:pt>
                <c:pt idx="109">
                  <c:v>516.74009995985261</c:v>
                </c:pt>
                <c:pt idx="110">
                  <c:v>528.20256400226049</c:v>
                </c:pt>
                <c:pt idx="111">
                  <c:v>539.65979223588909</c:v>
                </c:pt>
                <c:pt idx="112">
                  <c:v>551.11191147342799</c:v>
                </c:pt>
                <c:pt idx="113">
                  <c:v>562.55904282816812</c:v>
                </c:pt>
                <c:pt idx="114">
                  <c:v>574.00130208336589</c:v>
                </c:pt>
                <c:pt idx="115">
                  <c:v>503.63619118948264</c:v>
                </c:pt>
                <c:pt idx="116">
                  <c:v>515.16004926803487</c:v>
                </c:pt>
                <c:pt idx="117">
                  <c:v>526.67846775173223</c:v>
                </c:pt>
                <c:pt idx="118">
                  <c:v>538.19158235979023</c:v>
                </c:pt>
                <c:pt idx="119">
                  <c:v>549.69952253188956</c:v>
                </c:pt>
                <c:pt idx="120">
                  <c:v>561.2024118468803</c:v>
                </c:pt>
                <c:pt idx="121">
                  <c:v>572.70036840537955</c:v>
                </c:pt>
                <c:pt idx="122">
                  <c:v>584.19350518005501</c:v>
                </c:pt>
                <c:pt idx="123">
                  <c:v>595.68193033691477</c:v>
                </c:pt>
                <c:pt idx="124">
                  <c:v>607.16574753053146</c:v>
                </c:pt>
                <c:pt idx="125">
                  <c:v>542.67444994481593</c:v>
                </c:pt>
                <c:pt idx="126">
                  <c:v>554.28705775501305</c:v>
                </c:pt>
                <c:pt idx="127">
                  <c:v>565.89456923136788</c:v>
                </c:pt>
                <c:pt idx="128">
                  <c:v>577.49710362235521</c:v>
                </c:pt>
                <c:pt idx="129">
                  <c:v>589.09477499506363</c:v>
                </c:pt>
                <c:pt idx="130">
                  <c:v>600.68769256005351</c:v>
                </c:pt>
                <c:pt idx="131">
                  <c:v>612.27596096984428</c:v>
                </c:pt>
                <c:pt idx="132">
                  <c:v>623.8596805936337</c:v>
                </c:pt>
                <c:pt idx="133">
                  <c:v>635.43894777056346</c:v>
                </c:pt>
                <c:pt idx="134">
                  <c:v>647.0138550435679</c:v>
                </c:pt>
                <c:pt idx="135">
                  <c:v>579.21299579651088</c:v>
                </c:pt>
                <c:pt idx="136">
                  <c:v>590.93727564374069</c:v>
                </c:pt>
                <c:pt idx="137">
                  <c:v>602.65671400044437</c:v>
                </c:pt>
                <c:pt idx="138">
                  <c:v>614.37141825894662</c:v>
                </c:pt>
                <c:pt idx="139">
                  <c:v>626.08149138337728</c:v>
                </c:pt>
                <c:pt idx="140">
                  <c:v>637.78703217341183</c:v>
                </c:pt>
                <c:pt idx="141">
                  <c:v>649.48813550765476</c:v>
                </c:pt>
                <c:pt idx="142">
                  <c:v>661.18489256857811</c:v>
                </c:pt>
                <c:pt idx="143">
                  <c:v>672.87739105072149</c:v>
                </c:pt>
                <c:pt idx="144">
                  <c:v>684.56571535367812</c:v>
                </c:pt>
                <c:pt idx="145">
                  <c:v>615.99826184014375</c:v>
                </c:pt>
                <c:pt idx="146">
                  <c:v>627.92166785894335</c:v>
                </c:pt>
                <c:pt idx="147">
                  <c:v>639.84039007045806</c:v>
                </c:pt>
                <c:pt idx="148">
                  <c:v>651.75452798722438</c:v>
                </c:pt>
                <c:pt idx="149">
                  <c:v>663.6641771883518</c:v>
                </c:pt>
                <c:pt idx="150">
                  <c:v>675.56942954427871</c:v>
                </c:pt>
                <c:pt idx="151">
                  <c:v>687.47037342486567</c:v>
                </c:pt>
                <c:pt idx="152">
                  <c:v>699.36709389233977</c:v>
                </c:pt>
                <c:pt idx="153">
                  <c:v>711.25967288043512</c:v>
                </c:pt>
                <c:pt idx="154">
                  <c:v>723.14818936093525</c:v>
                </c:pt>
                <c:pt idx="155">
                  <c:v>656.10481372787308</c:v>
                </c:pt>
                <c:pt idx="156">
                  <c:v>668.18502285411148</c:v>
                </c:pt>
                <c:pt idx="157">
                  <c:v>680.26074198077038</c:v>
                </c:pt>
                <c:pt idx="158">
                  <c:v>692.33206200882375</c:v>
                </c:pt>
                <c:pt idx="159">
                  <c:v>704.39907041247409</c:v>
                </c:pt>
                <c:pt idx="160">
                  <c:v>716.46185142605191</c:v>
                </c:pt>
                <c:pt idx="161">
                  <c:v>728.52048621768233</c:v>
                </c:pt>
                <c:pt idx="162">
                  <c:v>740.57505305086443</c:v>
                </c:pt>
                <c:pt idx="163">
                  <c:v>752.62562743498745</c:v>
                </c:pt>
                <c:pt idx="164">
                  <c:v>764.67228226571467</c:v>
                </c:pt>
                <c:pt idx="165">
                  <c:v>691.65849642549881</c:v>
                </c:pt>
                <c:pt idx="166">
                  <c:v>703.8733396080155</c:v>
                </c:pt>
                <c:pt idx="167">
                  <c:v>716.08384763697256</c:v>
                </c:pt>
                <c:pt idx="168">
                  <c:v>728.29010481250054</c:v>
                </c:pt>
                <c:pt idx="169">
                  <c:v>740.49219238015883</c:v>
                </c:pt>
                <c:pt idx="170">
                  <c:v>752.69018869117497</c:v>
                </c:pt>
                <c:pt idx="171">
                  <c:v>764.88416935176735</c:v>
                </c:pt>
                <c:pt idx="172">
                  <c:v>777.07420736245524</c:v>
                </c:pt>
                <c:pt idx="173">
                  <c:v>789.26037324818117</c:v>
                </c:pt>
                <c:pt idx="174">
                  <c:v>801.44273517998261</c:v>
                </c:pt>
                <c:pt idx="175">
                  <c:v>499.6921135299911</c:v>
                </c:pt>
                <c:pt idx="176">
                  <c:v>507.54522794679673</c:v>
                </c:pt>
                <c:pt idx="177">
                  <c:v>515.39577427024676</c:v>
                </c:pt>
                <c:pt idx="178">
                  <c:v>352.97127757915587</c:v>
                </c:pt>
                <c:pt idx="179">
                  <c:v>357.82672398095787</c:v>
                </c:pt>
                <c:pt idx="180">
                  <c:v>362.68072838718234</c:v>
                </c:pt>
                <c:pt idx="181">
                  <c:v>251.76948295809464</c:v>
                </c:pt>
                <c:pt idx="182">
                  <c:v>254.76218506142436</c:v>
                </c:pt>
                <c:pt idx="183">
                  <c:v>257.75409130952295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2.9625898878490471</c:v>
                </c:pt>
                <c:pt idx="2">
                  <c:v>3.4039612784800823</c:v>
                </c:pt>
                <c:pt idx="3">
                  <c:v>3.9113232846574237</c:v>
                </c:pt>
                <c:pt idx="4">
                  <c:v>4.4945754388931123</c:v>
                </c:pt>
                <c:pt idx="5">
                  <c:v>5.1651070019607603</c:v>
                </c:pt>
                <c:pt idx="6">
                  <c:v>5.9360217973536349</c:v>
                </c:pt>
                <c:pt idx="7">
                  <c:v>6.8223970697716476</c:v>
                </c:pt>
                <c:pt idx="8">
                  <c:v>7.8415815291955733</c:v>
                </c:pt>
                <c:pt idx="9">
                  <c:v>9.0135385269017352</c:v>
                </c:pt>
                <c:pt idx="10">
                  <c:v>10.361241214135799</c:v>
                </c:pt>
                <c:pt idx="11">
                  <c:v>11.911127576351623</c:v>
                </c:pt>
                <c:pt idx="12">
                  <c:v>13.693624436972533</c:v>
                </c:pt>
                <c:pt idx="13">
                  <c:v>15.743750908808332</c:v>
                </c:pt>
                <c:pt idx="14">
                  <c:v>18.101813366532504</c:v>
                </c:pt>
                <c:pt idx="15">
                  <c:v>20.814205852241191</c:v>
                </c:pt>
                <c:pt idx="16">
                  <c:v>23.934331945263509</c:v>
                </c:pt>
                <c:pt idx="17">
                  <c:v>27.523666569948592</c:v>
                </c:pt>
                <c:pt idx="18">
                  <c:v>31.652979030557692</c:v>
                </c:pt>
                <c:pt idx="19">
                  <c:v>36.403741807649943</c:v>
                </c:pt>
                <c:pt idx="20">
                  <c:v>41.869753391206821</c:v>
                </c:pt>
                <c:pt idx="21">
                  <c:v>48.159007738002209</c:v>
                </c:pt>
                <c:pt idx="22">
                  <c:v>55.395847911812147</c:v>
                </c:pt>
                <c:pt idx="23">
                  <c:v>63.723447195789056</c:v>
                </c:pt>
                <c:pt idx="24">
                  <c:v>73.306667572960549</c:v>
                </c:pt>
                <c:pt idx="25">
                  <c:v>84.335353087442456</c:v>
                </c:pt>
                <c:pt idx="26">
                  <c:v>97.028124380213498</c:v>
                </c:pt>
                <c:pt idx="27">
                  <c:v>111.63675081753672</c:v>
                </c:pt>
                <c:pt idx="28">
                  <c:v>128.45118830302636</c:v>
                </c:pt>
                <c:pt idx="29">
                  <c:v>147.8053843231921</c:v>
                </c:pt>
                <c:pt idx="30">
                  <c:v>170.08396729468322</c:v>
                </c:pt>
                <c:pt idx="31">
                  <c:v>182.12930577135731</c:v>
                </c:pt>
                <c:pt idx="32">
                  <c:v>194.15601061422299</c:v>
                </c:pt>
                <c:pt idx="33">
                  <c:v>206.16539946406169</c:v>
                </c:pt>
                <c:pt idx="34">
                  <c:v>218.15862375664324</c:v>
                </c:pt>
                <c:pt idx="35">
                  <c:v>230.13669787148163</c:v>
                </c:pt>
                <c:pt idx="36">
                  <c:v>242.1005218850687</c:v>
                </c:pt>
                <c:pt idx="37">
                  <c:v>254.05089958511962</c:v>
                </c:pt>
                <c:pt idx="38">
                  <c:v>265.98855291397268</c:v>
                </c:pt>
                <c:pt idx="39">
                  <c:v>277.91413368078207</c:v>
                </c:pt>
                <c:pt idx="40">
                  <c:v>289.82823315642196</c:v>
                </c:pt>
                <c:pt idx="41">
                  <c:v>301.73139000695488</c:v>
                </c:pt>
                <c:pt idx="42">
                  <c:v>313.62409690889746</c:v>
                </c:pt>
                <c:pt idx="43">
                  <c:v>245.00805956050667</c:v>
                </c:pt>
                <c:pt idx="44">
                  <c:v>260.58165546253059</c:v>
                </c:pt>
                <c:pt idx="45">
                  <c:v>276.13423636686622</c:v>
                </c:pt>
                <c:pt idx="46">
                  <c:v>291.66715257720438</c:v>
                </c:pt>
                <c:pt idx="47">
                  <c:v>307.18159879690626</c:v>
                </c:pt>
                <c:pt idx="48">
                  <c:v>322.67863917864571</c:v>
                </c:pt>
                <c:pt idx="49">
                  <c:v>338.15922730710116</c:v>
                </c:pt>
                <c:pt idx="50">
                  <c:v>353.62422232935882</c:v>
                </c:pt>
                <c:pt idx="51">
                  <c:v>305.54137138903701</c:v>
                </c:pt>
                <c:pt idx="52">
                  <c:v>321.22959956998608</c:v>
                </c:pt>
                <c:pt idx="53">
                  <c:v>336.90088345829713</c:v>
                </c:pt>
                <c:pt idx="54">
                  <c:v>352.55612212382448</c:v>
                </c:pt>
                <c:pt idx="55">
                  <c:v>368.19612827574633</c:v>
                </c:pt>
                <c:pt idx="56">
                  <c:v>383.82163995071147</c:v>
                </c:pt>
                <c:pt idx="57">
                  <c:v>399.43333019792425</c:v>
                </c:pt>
                <c:pt idx="58">
                  <c:v>415.03181517088109</c:v>
                </c:pt>
                <c:pt idx="59">
                  <c:v>352.63415132381505</c:v>
                </c:pt>
                <c:pt idx="60">
                  <c:v>367.76996710089242</c:v>
                </c:pt>
                <c:pt idx="61">
                  <c:v>382.89219046906743</c:v>
                </c:pt>
                <c:pt idx="62">
                  <c:v>398.001433778023</c:v>
                </c:pt>
                <c:pt idx="63">
                  <c:v>413.09825909665665</c:v>
                </c:pt>
                <c:pt idx="64">
                  <c:v>428.18318406669573</c:v>
                </c:pt>
                <c:pt idx="65">
                  <c:v>443.25668688841091</c:v>
                </c:pt>
                <c:pt idx="66">
                  <c:v>458.31921059283678</c:v>
                </c:pt>
                <c:pt idx="67">
                  <c:v>388.33665130296453</c:v>
                </c:pt>
                <c:pt idx="68">
                  <c:v>402.79819590157194</c:v>
                </c:pt>
                <c:pt idx="69">
                  <c:v>417.24851308662329</c:v>
                </c:pt>
                <c:pt idx="70">
                  <c:v>431.68804640114041</c:v>
                </c:pt>
                <c:pt idx="71">
                  <c:v>446.1172072998317</c:v>
                </c:pt>
                <c:pt idx="72">
                  <c:v>460.5363784549973</c:v>
                </c:pt>
                <c:pt idx="73">
                  <c:v>474.94591662688094</c:v>
                </c:pt>
                <c:pt idx="74">
                  <c:v>489.34615516758703</c:v>
                </c:pt>
                <c:pt idx="75">
                  <c:v>424.07393973483892</c:v>
                </c:pt>
                <c:pt idx="76">
                  <c:v>438.15196797061282</c:v>
                </c:pt>
                <c:pt idx="77">
                  <c:v>452.22029640977263</c:v>
                </c:pt>
                <c:pt idx="78">
                  <c:v>466.2792692616099</c:v>
                </c:pt>
                <c:pt idx="79">
                  <c:v>480.32920828959868</c:v>
                </c:pt>
                <c:pt idx="80">
                  <c:v>494.3704149025466</c:v>
                </c:pt>
                <c:pt idx="81">
                  <c:v>508.40317199584689</c:v>
                </c:pt>
                <c:pt idx="82">
                  <c:v>522.42774557890573</c:v>
                </c:pt>
                <c:pt idx="83">
                  <c:v>536.44438621876941</c:v>
                </c:pt>
                <c:pt idx="84">
                  <c:v>550.45333032506278</c:v>
                </c:pt>
                <c:pt idx="85">
                  <c:v>462.40441544210552</c:v>
                </c:pt>
                <c:pt idx="86">
                  <c:v>475.84902171451193</c:v>
                </c:pt>
                <c:pt idx="87">
                  <c:v>489.28554888722721</c:v>
                </c:pt>
                <c:pt idx="88">
                  <c:v>502.71425004017493</c:v>
                </c:pt>
                <c:pt idx="89">
                  <c:v>516.13536363275171</c:v>
                </c:pt>
                <c:pt idx="90">
                  <c:v>529.54911471463811</c:v>
                </c:pt>
                <c:pt idx="91">
                  <c:v>542.95571600757285</c:v>
                </c:pt>
                <c:pt idx="92">
                  <c:v>556.35536887475519</c:v>
                </c:pt>
                <c:pt idx="93">
                  <c:v>569.74826419202464</c:v>
                </c:pt>
                <c:pt idx="94">
                  <c:v>583.13458313289846</c:v>
                </c:pt>
                <c:pt idx="95">
                  <c:v>494.84413775335474</c:v>
                </c:pt>
                <c:pt idx="96">
                  <c:v>507.88430142896323</c:v>
                </c:pt>
                <c:pt idx="97">
                  <c:v>520.91739026772962</c:v>
                </c:pt>
                <c:pt idx="98">
                  <c:v>533.94360618050735</c:v>
                </c:pt>
                <c:pt idx="99">
                  <c:v>546.96314042542872</c:v>
                </c:pt>
                <c:pt idx="100">
                  <c:v>559.97617441544378</c:v>
                </c:pt>
                <c:pt idx="101">
                  <c:v>572.98288044691344</c:v>
                </c:pt>
                <c:pt idx="102">
                  <c:v>585.98342235862731</c:v>
                </c:pt>
                <c:pt idx="103">
                  <c:v>598.97795612931634</c:v>
                </c:pt>
                <c:pt idx="104">
                  <c:v>611.96663042063972</c:v>
                </c:pt>
                <c:pt idx="105">
                  <c:v>526.285749750592</c:v>
                </c:pt>
                <c:pt idx="106">
                  <c:v>539.12636886315704</c:v>
                </c:pt>
                <c:pt idx="107">
                  <c:v>551.96056394883033</c:v>
                </c:pt>
                <c:pt idx="108">
                  <c:v>564.7885053874013</c:v>
                </c:pt>
                <c:pt idx="109">
                  <c:v>577.61035519017787</c:v>
                </c:pt>
                <c:pt idx="110">
                  <c:v>590.42626759155394</c:v>
                </c:pt>
                <c:pt idx="111">
                  <c:v>603.23638958655613</c:v>
                </c:pt>
                <c:pt idx="112">
                  <c:v>616.04086142037647</c:v>
                </c:pt>
                <c:pt idx="113">
                  <c:v>628.8398170351054</c:v>
                </c:pt>
                <c:pt idx="114">
                  <c:v>641.63338447821923</c:v>
                </c:pt>
                <c:pt idx="115">
                  <c:v>562.95926187241901</c:v>
                </c:pt>
                <c:pt idx="116">
                  <c:v>575.84374262094036</c:v>
                </c:pt>
                <c:pt idx="117">
                  <c:v>588.72220759118431</c:v>
                </c:pt>
                <c:pt idx="118">
                  <c:v>601.59480687828329</c:v>
                </c:pt>
                <c:pt idx="119">
                  <c:v>614.46168363268146</c:v>
                </c:pt>
                <c:pt idx="120">
                  <c:v>627.3229745231896</c:v>
                </c:pt>
                <c:pt idx="121">
                  <c:v>640.17881016011006</c:v>
                </c:pt>
                <c:pt idx="122">
                  <c:v>653.02931548262279</c:v>
                </c:pt>
                <c:pt idx="123">
                  <c:v>665.87461011410744</c:v>
                </c:pt>
                <c:pt idx="124">
                  <c:v>678.71480868863944</c:v>
                </c:pt>
                <c:pt idx="125">
                  <c:v>606.60703484605335</c:v>
                </c:pt>
                <c:pt idx="126">
                  <c:v>619.59096372498095</c:v>
                </c:pt>
                <c:pt idx="127">
                  <c:v>632.5692564462089</c:v>
                </c:pt>
                <c:pt idx="128">
                  <c:v>645.54204488948346</c:v>
                </c:pt>
                <c:pt idx="129">
                  <c:v>658.50945520433004</c:v>
                </c:pt>
                <c:pt idx="130">
                  <c:v>671.47160816932455</c:v>
                </c:pt>
                <c:pt idx="131">
                  <c:v>684.42861952219516</c:v>
                </c:pt>
                <c:pt idx="132">
                  <c:v>697.3806002636428</c:v>
                </c:pt>
                <c:pt idx="133">
                  <c:v>710.32765693743193</c:v>
                </c:pt>
                <c:pt idx="134">
                  <c:v>723.26989188901132</c:v>
                </c:pt>
                <c:pt idx="135">
                  <c:v>647.46058821147028</c:v>
                </c:pt>
                <c:pt idx="136">
                  <c:v>660.56956911636689</c:v>
                </c:pt>
                <c:pt idx="137">
                  <c:v>673.67319570089342</c:v>
                </c:pt>
                <c:pt idx="138">
                  <c:v>686.7715867327953</c:v>
                </c:pt>
                <c:pt idx="139">
                  <c:v>699.86485608256999</c:v>
                </c:pt>
                <c:pt idx="140">
                  <c:v>712.95311301514573</c:v>
                </c:pt>
                <c:pt idx="141">
                  <c:v>726.03646245904463</c:v>
                </c:pt>
                <c:pt idx="142">
                  <c:v>739.11500525514668</c:v>
                </c:pt>
                <c:pt idx="143">
                  <c:v>752.18883838694535</c:v>
                </c:pt>
                <c:pt idx="144">
                  <c:v>765.25805519397193</c:v>
                </c:pt>
                <c:pt idx="145">
                  <c:v>688.59059005951428</c:v>
                </c:pt>
                <c:pt idx="146">
                  <c:v>701.92239963587815</c:v>
                </c:pt>
                <c:pt idx="147">
                  <c:v>715.24902927754692</c:v>
                </c:pt>
                <c:pt idx="148">
                  <c:v>728.57058903781797</c:v>
                </c:pt>
                <c:pt idx="149">
                  <c:v>741.88718461991891</c:v>
                </c:pt>
                <c:pt idx="150">
                  <c:v>755.19891762556892</c:v>
                </c:pt>
                <c:pt idx="151">
                  <c:v>768.50588578511361</c:v>
                </c:pt>
                <c:pt idx="152">
                  <c:v>781.80818317090825</c:v>
                </c:pt>
                <c:pt idx="153">
                  <c:v>795.10590039543195</c:v>
                </c:pt>
                <c:pt idx="154">
                  <c:v>808.39912479547263</c:v>
                </c:pt>
                <c:pt idx="155">
                  <c:v>733.43478948083975</c:v>
                </c:pt>
                <c:pt idx="156">
                  <c:v>746.94211450035175</c:v>
                </c:pt>
                <c:pt idx="157">
                  <c:v>760.44447392175289</c:v>
                </c:pt>
                <c:pt idx="158">
                  <c:v>773.94196827460826</c:v>
                </c:pt>
                <c:pt idx="159">
                  <c:v>787.43469429873414</c:v>
                </c:pt>
                <c:pt idx="160">
                  <c:v>800.92274515089468</c:v>
                </c:pt>
                <c:pt idx="161">
                  <c:v>814.40621059686453</c:v>
                </c:pt>
                <c:pt idx="162">
                  <c:v>827.88517719012214</c:v>
                </c:pt>
                <c:pt idx="163">
                  <c:v>841.35972843831041</c:v>
                </c:pt>
                <c:pt idx="164">
                  <c:v>854.82994495848959</c:v>
                </c:pt>
                <c:pt idx="165">
                  <c:v>773.18882242867858</c:v>
                </c:pt>
                <c:pt idx="166">
                  <c:v>786.84684729023013</c:v>
                </c:pt>
                <c:pt idx="167">
                  <c:v>800.50007780159387</c:v>
                </c:pt>
                <c:pt idx="168">
                  <c:v>814.14860719230489</c:v>
                </c:pt>
                <c:pt idx="169">
                  <c:v>827.79252531377244</c:v>
                </c:pt>
                <c:pt idx="170">
                  <c:v>841.43191881649761</c:v>
                </c:pt>
                <c:pt idx="171">
                  <c:v>855.066871315208</c:v>
                </c:pt>
                <c:pt idx="172">
                  <c:v>868.69746354292727</c:v>
                </c:pt>
                <c:pt idx="173">
                  <c:v>882.32377349487854</c:v>
                </c:pt>
                <c:pt idx="174">
                  <c:v>895.945876563046</c:v>
                </c:pt>
                <c:pt idx="175">
                  <c:v>558.54952218555502</c:v>
                </c:pt>
                <c:pt idx="176">
                  <c:v>567.32983134322569</c:v>
                </c:pt>
                <c:pt idx="177">
                  <c:v>576.10730038492511</c:v>
                </c:pt>
                <c:pt idx="178">
                  <c:v>394.51230338926302</c:v>
                </c:pt>
                <c:pt idx="179">
                  <c:v>399.94057760723302</c:v>
                </c:pt>
                <c:pt idx="180">
                  <c:v>405.36725708774492</c:v>
                </c:pt>
                <c:pt idx="181">
                  <c:v>281.37557293150121</c:v>
                </c:pt>
                <c:pt idx="182">
                  <c:v>284.72107184351677</c:v>
                </c:pt>
                <c:pt idx="183">
                  <c:v>288.06569060016426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9" zoomScale="80" zoomScaleNormal="80" workbookViewId="0">
      <selection activeCell="D127" sqref="D127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3.8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227</v>
      </c>
      <c r="C9" s="32">
        <v>0.5</v>
      </c>
      <c r="D9" s="33">
        <f t="shared" ref="D9:D18" si="0">C9*$C$5</f>
        <v>1.9</v>
      </c>
      <c r="E9" s="34">
        <v>76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17</v>
      </c>
      <c r="B10" s="31" t="s">
        <v>143</v>
      </c>
      <c r="C10" s="32">
        <v>0.25</v>
      </c>
      <c r="D10" s="33">
        <f t="shared" si="0"/>
        <v>0.95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18</v>
      </c>
      <c r="B11" s="31" t="s">
        <v>139</v>
      </c>
      <c r="C11" s="32">
        <v>0.25</v>
      </c>
      <c r="D11" s="33">
        <f t="shared" si="0"/>
        <v>0.95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19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26</v>
      </c>
      <c r="C19" s="37">
        <f>SUM(C9:C18)</f>
        <v>1</v>
      </c>
      <c r="D19" s="38">
        <f>SUM(D9:D18)</f>
        <v>3.8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33</v>
      </c>
      <c r="B26" s="42" t="s">
        <v>34</v>
      </c>
      <c r="C26" s="43">
        <v>0.1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laricio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41</v>
      </c>
      <c r="C34" s="258" t="s">
        <v>42</v>
      </c>
      <c r="D34" s="258"/>
      <c r="E34" s="259" t="s">
        <v>43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19</v>
      </c>
      <c r="B36" s="60">
        <v>127.98461538461538</v>
      </c>
      <c r="C36" s="60">
        <v>1</v>
      </c>
      <c r="D36" s="60">
        <v>46.53846153846154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6.7360323886639675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24</v>
      </c>
      <c r="B37" s="60">
        <v>159.94615384615383</v>
      </c>
      <c r="C37" s="60">
        <v>2</v>
      </c>
      <c r="D37" s="60">
        <v>40.41538461538461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15.7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215.65384615384616</v>
      </c>
      <c r="C38" s="60">
        <v>3</v>
      </c>
      <c r="D38" s="60">
        <v>55.869230769230761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16.020512820512824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37</v>
      </c>
      <c r="B39" s="60">
        <v>268.16923076923075</v>
      </c>
      <c r="C39" s="60">
        <v>4</v>
      </c>
      <c r="D39" s="60">
        <v>43.623076923076923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15.48351648351648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46</v>
      </c>
      <c r="B40" s="60">
        <v>362.82307692307688</v>
      </c>
      <c r="C40" s="60">
        <v>5</v>
      </c>
      <c r="D40" s="60">
        <v>72.561538461538461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15.364102564102561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56</v>
      </c>
      <c r="B41" s="60">
        <v>428.20000000000005</v>
      </c>
      <c r="C41" s="60">
        <v>6</v>
      </c>
      <c r="D41" s="60">
        <v>60.092307692307692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13.793846153846165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66</v>
      </c>
      <c r="B42" s="60">
        <v>488.65384615384613</v>
      </c>
      <c r="C42" s="60">
        <v>7</v>
      </c>
      <c r="D42" s="60">
        <v>68.146153846153851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12.05461538461538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76</v>
      </c>
      <c r="B43" s="60">
        <v>520.22307692307686</v>
      </c>
      <c r="C43" s="60">
        <v>8</v>
      </c>
      <c r="D43" s="60">
        <v>520.22307692307686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9.9715384615384544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17</v>
      </c>
      <c r="B58" s="52" t="str">
        <f>IF(B10="","",B10)</f>
        <v>Chêne sessile</v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41</v>
      </c>
      <c r="C60" s="258" t="s">
        <v>42</v>
      </c>
      <c r="D60" s="258"/>
      <c r="E60" s="259" t="s">
        <v>43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75.346153846153854</v>
      </c>
      <c r="C62" s="60" t="s">
        <v>324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2.5115384615384619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42</v>
      </c>
      <c r="B63" s="60">
        <v>141.09615384615384</v>
      </c>
      <c r="C63" s="60">
        <v>1</v>
      </c>
      <c r="D63" s="60">
        <v>38.685897435897438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5.4791666666666652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50</v>
      </c>
      <c r="B64" s="60">
        <v>159.55769230769232</v>
      </c>
      <c r="C64" s="60">
        <v>2</v>
      </c>
      <c r="D64" s="60">
        <v>29.416666666666664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7.143429487179489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58</v>
      </c>
      <c r="B65" s="60">
        <v>187.98717948717947</v>
      </c>
      <c r="C65" s="60">
        <v>3</v>
      </c>
      <c r="D65" s="60">
        <v>35.88461538461538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7.2307692307692264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66</v>
      </c>
      <c r="B66" s="60">
        <v>208.08333333333334</v>
      </c>
      <c r="C66" s="60">
        <v>4</v>
      </c>
      <c r="D66" s="60">
        <v>39.166666666666664</v>
      </c>
      <c r="E66" s="51">
        <v>0</v>
      </c>
      <c r="F66" s="51">
        <v>0</v>
      </c>
      <c r="G66" s="51">
        <v>0</v>
      </c>
      <c r="H66" s="51">
        <v>1</v>
      </c>
      <c r="I66" s="49">
        <f t="shared" ref="I66:I81" si="2">IF(A66&lt;&gt;0,(B66-(B65-D65))/(A66-A65),"")</f>
        <v>6.9975961538461569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74</v>
      </c>
      <c r="B67" s="60">
        <v>222.5128205128205</v>
      </c>
      <c r="C67" s="60">
        <v>5</v>
      </c>
      <c r="D67" s="60">
        <v>36.865384615384613</v>
      </c>
      <c r="E67" s="51">
        <v>0</v>
      </c>
      <c r="F67" s="51">
        <v>0</v>
      </c>
      <c r="G67" s="51">
        <v>0</v>
      </c>
      <c r="H67" s="51">
        <v>1</v>
      </c>
      <c r="I67" s="49">
        <f t="shared" si="2"/>
        <v>6.6995192307692264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84</v>
      </c>
      <c r="B68" s="60">
        <v>250.98717948717945</v>
      </c>
      <c r="C68" s="60">
        <v>6</v>
      </c>
      <c r="D68" s="60">
        <v>47.256410256410255</v>
      </c>
      <c r="E68" s="51">
        <v>0.7</v>
      </c>
      <c r="F68" s="51">
        <v>0</v>
      </c>
      <c r="G68" s="51">
        <v>0</v>
      </c>
      <c r="H68" s="51">
        <v>0.3</v>
      </c>
      <c r="I68" s="49">
        <f t="shared" si="2"/>
        <v>6.5339743589743566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94</v>
      </c>
      <c r="B69" s="50">
        <v>266.24358974358972</v>
      </c>
      <c r="C69" s="50">
        <v>7</v>
      </c>
      <c r="D69" s="50">
        <v>47.243589743589745</v>
      </c>
      <c r="E69" s="51">
        <v>0.7</v>
      </c>
      <c r="F69" s="51">
        <v>0</v>
      </c>
      <c r="G69" s="51">
        <v>0</v>
      </c>
      <c r="H69" s="51">
        <v>0.3</v>
      </c>
      <c r="I69" s="49">
        <f t="shared" si="2"/>
        <v>6.2512820512820522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104</v>
      </c>
      <c r="B70" s="50">
        <v>279.71794871794873</v>
      </c>
      <c r="C70" s="50">
        <v>8</v>
      </c>
      <c r="D70" s="50">
        <v>45.987179487179482</v>
      </c>
      <c r="E70" s="51">
        <v>0.7</v>
      </c>
      <c r="F70" s="51">
        <v>0</v>
      </c>
      <c r="G70" s="51">
        <v>0</v>
      </c>
      <c r="H70" s="51">
        <v>0.3</v>
      </c>
      <c r="I70" s="49">
        <f t="shared" si="2"/>
        <v>6.071794871794876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114</v>
      </c>
      <c r="B71" s="50">
        <v>293.59615384615381</v>
      </c>
      <c r="C71" s="50">
        <v>9</v>
      </c>
      <c r="D71" s="50">
        <v>42.78846153846154</v>
      </c>
      <c r="E71" s="51">
        <v>0.7</v>
      </c>
      <c r="F71" s="51">
        <v>0</v>
      </c>
      <c r="G71" s="51">
        <v>0</v>
      </c>
      <c r="H71" s="51">
        <v>0.3</v>
      </c>
      <c r="I71" s="49">
        <f t="shared" si="2"/>
        <v>5.9865384615384558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124</v>
      </c>
      <c r="B72" s="50">
        <v>310.96153846153845</v>
      </c>
      <c r="C72" s="50">
        <v>10</v>
      </c>
      <c r="D72" s="50">
        <v>39.820512820512818</v>
      </c>
      <c r="E72" s="51">
        <v>0.7</v>
      </c>
      <c r="F72" s="51">
        <v>0</v>
      </c>
      <c r="G72" s="51">
        <v>0</v>
      </c>
      <c r="H72" s="51">
        <v>0.3</v>
      </c>
      <c r="I72" s="49">
        <f t="shared" si="2"/>
        <v>6.0153846153846189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134</v>
      </c>
      <c r="B73" s="50">
        <v>331.85256410256414</v>
      </c>
      <c r="C73" s="50">
        <v>11</v>
      </c>
      <c r="D73" s="50">
        <v>41.666666666666664</v>
      </c>
      <c r="E73" s="51">
        <v>0.7</v>
      </c>
      <c r="F73" s="51">
        <v>0</v>
      </c>
      <c r="G73" s="51">
        <v>0</v>
      </c>
      <c r="H73" s="51">
        <v>0.3</v>
      </c>
      <c r="I73" s="49">
        <f t="shared" si="2"/>
        <v>6.0711538461538508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144</v>
      </c>
      <c r="B74" s="50">
        <v>351.5641025641026</v>
      </c>
      <c r="C74" s="50">
        <v>12</v>
      </c>
      <c r="D74" s="50">
        <v>42.224358974358978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2"/>
        <v>6.1378205128205137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154</v>
      </c>
      <c r="B75" s="50">
        <v>371.83974358974359</v>
      </c>
      <c r="C75" s="50">
        <v>13</v>
      </c>
      <c r="D75" s="50">
        <v>41.557692307692307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2"/>
        <v>6.2499999999999947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164</v>
      </c>
      <c r="B76" s="50">
        <v>393.6858974358974</v>
      </c>
      <c r="C76" s="50">
        <v>14</v>
      </c>
      <c r="D76" s="50">
        <v>44.814102564102562</v>
      </c>
      <c r="E76" s="51">
        <v>0.9</v>
      </c>
      <c r="F76" s="51">
        <v>0</v>
      </c>
      <c r="G76" s="51">
        <v>0</v>
      </c>
      <c r="H76" s="51">
        <v>0.1</v>
      </c>
      <c r="I76" s="49">
        <f t="shared" si="2"/>
        <v>6.3403846153846128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174</v>
      </c>
      <c r="B77" s="50">
        <v>413.05128205128204</v>
      </c>
      <c r="C77" s="50">
        <v>15</v>
      </c>
      <c r="D77" s="50">
        <v>162.38461538461539</v>
      </c>
      <c r="E77" s="51">
        <v>0.9</v>
      </c>
      <c r="F77" s="51">
        <v>0</v>
      </c>
      <c r="G77" s="51">
        <v>0</v>
      </c>
      <c r="H77" s="51">
        <v>0.1</v>
      </c>
      <c r="I77" s="49">
        <f t="shared" si="2"/>
        <v>6.4179487179487182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>
        <v>177</v>
      </c>
      <c r="B78" s="50">
        <v>262.96153846153845</v>
      </c>
      <c r="C78" s="50">
        <v>16</v>
      </c>
      <c r="D78" s="50">
        <v>87</v>
      </c>
      <c r="E78" s="51">
        <v>0.9</v>
      </c>
      <c r="F78" s="51">
        <v>0</v>
      </c>
      <c r="G78" s="51">
        <v>0</v>
      </c>
      <c r="H78" s="51">
        <v>0.1</v>
      </c>
      <c r="I78" s="49">
        <f t="shared" si="2"/>
        <v>4.0982905982905988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>
        <v>180</v>
      </c>
      <c r="B79" s="50">
        <v>183.50641025641025</v>
      </c>
      <c r="C79" s="50">
        <v>17</v>
      </c>
      <c r="D79" s="50">
        <v>58.794871794871796</v>
      </c>
      <c r="E79" s="51">
        <v>0.9</v>
      </c>
      <c r="F79" s="51">
        <v>0</v>
      </c>
      <c r="G79" s="51">
        <v>0</v>
      </c>
      <c r="H79" s="51">
        <v>0.1</v>
      </c>
      <c r="I79" s="49">
        <f t="shared" si="2"/>
        <v>2.5149572649572653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>
        <v>183</v>
      </c>
      <c r="B80" s="50">
        <v>129.32692307692307</v>
      </c>
      <c r="C80" s="50">
        <v>18</v>
      </c>
      <c r="D80" s="50">
        <v>129.32692307692307</v>
      </c>
      <c r="E80" s="51">
        <v>0.9</v>
      </c>
      <c r="F80" s="51">
        <v>0</v>
      </c>
      <c r="G80" s="51">
        <v>0</v>
      </c>
      <c r="H80" s="51">
        <v>0.1</v>
      </c>
      <c r="I80" s="49">
        <f t="shared" si="2"/>
        <v>1.5384615384615377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18</v>
      </c>
      <c r="B84" s="52" t="str">
        <f>IF(B11="","",B11)</f>
        <v>Chêne pubescent</v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41</v>
      </c>
      <c r="C86" s="258" t="s">
        <v>42</v>
      </c>
      <c r="D86" s="258"/>
      <c r="E86" s="259" t="s">
        <v>43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30</v>
      </c>
      <c r="B88" s="60">
        <v>75.346153846153854</v>
      </c>
      <c r="C88" s="60" t="s">
        <v>324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2.5115384615384619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42</v>
      </c>
      <c r="B89" s="60">
        <v>141.09615384615384</v>
      </c>
      <c r="C89" s="60">
        <v>1</v>
      </c>
      <c r="D89" s="60">
        <v>38.685897435897438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5.4791666666666652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50</v>
      </c>
      <c r="B90" s="60">
        <v>159.55769230769232</v>
      </c>
      <c r="C90" s="60">
        <v>2</v>
      </c>
      <c r="D90" s="60">
        <v>29.416666666666664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7.143429487179489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58</v>
      </c>
      <c r="B91" s="60">
        <v>187.98717948717947</v>
      </c>
      <c r="C91" s="60">
        <v>3</v>
      </c>
      <c r="D91" s="60">
        <v>35.88461538461538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7.2307692307692264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66</v>
      </c>
      <c r="B92" s="60">
        <v>208.08333333333334</v>
      </c>
      <c r="C92" s="60">
        <v>4</v>
      </c>
      <c r="D92" s="60">
        <v>39.166666666666664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6.9975961538461569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74</v>
      </c>
      <c r="B93" s="60">
        <v>222.5128205128205</v>
      </c>
      <c r="C93" s="60">
        <v>5</v>
      </c>
      <c r="D93" s="60">
        <v>36.865384615384613</v>
      </c>
      <c r="E93" s="87">
        <v>0</v>
      </c>
      <c r="F93" s="87">
        <v>0</v>
      </c>
      <c r="G93" s="87">
        <v>0</v>
      </c>
      <c r="H93" s="87">
        <v>1</v>
      </c>
      <c r="I93" s="53">
        <f t="shared" si="3"/>
        <v>6.6995192307692264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84</v>
      </c>
      <c r="B94" s="60">
        <v>250.98717948717945</v>
      </c>
      <c r="C94" s="60">
        <v>6</v>
      </c>
      <c r="D94" s="60">
        <v>47.256410256410255</v>
      </c>
      <c r="E94" s="87">
        <v>0.7</v>
      </c>
      <c r="F94" s="87">
        <v>0</v>
      </c>
      <c r="G94" s="87">
        <v>0</v>
      </c>
      <c r="H94" s="87">
        <v>0.3</v>
      </c>
      <c r="I94" s="53">
        <f t="shared" si="3"/>
        <v>6.5339743589743566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94</v>
      </c>
      <c r="B95" s="60">
        <v>266.24358974358972</v>
      </c>
      <c r="C95" s="60">
        <v>7</v>
      </c>
      <c r="D95" s="60">
        <v>47.243589743589745</v>
      </c>
      <c r="E95" s="87">
        <v>0.7</v>
      </c>
      <c r="F95" s="87">
        <v>0</v>
      </c>
      <c r="G95" s="87">
        <v>0</v>
      </c>
      <c r="H95" s="87">
        <v>0.3</v>
      </c>
      <c r="I95" s="53">
        <f t="shared" si="3"/>
        <v>6.2512820512820522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104</v>
      </c>
      <c r="B96" s="60">
        <v>279.71794871794873</v>
      </c>
      <c r="C96" s="60">
        <v>8</v>
      </c>
      <c r="D96" s="60">
        <v>45.987179487179482</v>
      </c>
      <c r="E96" s="87">
        <v>0.7</v>
      </c>
      <c r="F96" s="87">
        <v>0</v>
      </c>
      <c r="G96" s="87">
        <v>0</v>
      </c>
      <c r="H96" s="87">
        <v>0.3</v>
      </c>
      <c r="I96" s="53">
        <f t="shared" si="3"/>
        <v>6.071794871794876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114</v>
      </c>
      <c r="B97" s="60">
        <v>293.59615384615381</v>
      </c>
      <c r="C97" s="60">
        <v>9</v>
      </c>
      <c r="D97" s="60">
        <v>42.78846153846154</v>
      </c>
      <c r="E97" s="87">
        <v>0.7</v>
      </c>
      <c r="F97" s="87">
        <v>0</v>
      </c>
      <c r="G97" s="87">
        <v>0</v>
      </c>
      <c r="H97" s="87">
        <v>0.3</v>
      </c>
      <c r="I97" s="53">
        <f t="shared" si="3"/>
        <v>5.9865384615384558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124</v>
      </c>
      <c r="B98" s="60">
        <v>310.96153846153845</v>
      </c>
      <c r="C98" s="60">
        <v>10</v>
      </c>
      <c r="D98" s="60">
        <v>39.820512820512818</v>
      </c>
      <c r="E98" s="87">
        <v>0.7</v>
      </c>
      <c r="F98" s="87">
        <v>0</v>
      </c>
      <c r="G98" s="87">
        <v>0</v>
      </c>
      <c r="H98" s="87">
        <v>0.3</v>
      </c>
      <c r="I98" s="53">
        <f t="shared" si="3"/>
        <v>6.0153846153846189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134</v>
      </c>
      <c r="B99" s="60">
        <v>331.85256410256414</v>
      </c>
      <c r="C99" s="60">
        <v>11</v>
      </c>
      <c r="D99" s="60">
        <v>41.666666666666664</v>
      </c>
      <c r="E99" s="87">
        <v>0.7</v>
      </c>
      <c r="F99" s="87">
        <v>0</v>
      </c>
      <c r="G99" s="87">
        <v>0</v>
      </c>
      <c r="H99" s="87">
        <v>0.3</v>
      </c>
      <c r="I99" s="53">
        <f t="shared" si="3"/>
        <v>6.0711538461538508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144</v>
      </c>
      <c r="B100" s="60">
        <v>351.5641025641026</v>
      </c>
      <c r="C100" s="60">
        <v>12</v>
      </c>
      <c r="D100" s="60">
        <v>42.224358974358978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3"/>
        <v>6.1378205128205137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154</v>
      </c>
      <c r="B101" s="60">
        <v>371.83974358974359</v>
      </c>
      <c r="C101" s="60">
        <v>13</v>
      </c>
      <c r="D101" s="60">
        <v>41.557692307692307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3"/>
        <v>6.2499999999999947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164</v>
      </c>
      <c r="B102" s="50">
        <v>393.6858974358974</v>
      </c>
      <c r="C102" s="60">
        <v>14</v>
      </c>
      <c r="D102" s="50">
        <v>44.814102564102562</v>
      </c>
      <c r="E102" s="54">
        <v>0.9</v>
      </c>
      <c r="F102" s="54">
        <v>0</v>
      </c>
      <c r="G102" s="54">
        <v>0</v>
      </c>
      <c r="H102" s="54">
        <v>0.1</v>
      </c>
      <c r="I102" s="53">
        <f t="shared" si="3"/>
        <v>6.3403846153846128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174</v>
      </c>
      <c r="B103" s="50">
        <v>413.05128205128204</v>
      </c>
      <c r="C103" s="60">
        <v>15</v>
      </c>
      <c r="D103" s="50">
        <v>162.38461538461539</v>
      </c>
      <c r="E103" s="54">
        <v>0.9</v>
      </c>
      <c r="F103" s="54">
        <v>0</v>
      </c>
      <c r="G103" s="54">
        <v>0</v>
      </c>
      <c r="H103" s="54">
        <v>0.1</v>
      </c>
      <c r="I103" s="53">
        <f t="shared" si="3"/>
        <v>6.4179487179487182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177</v>
      </c>
      <c r="B104" s="50">
        <v>262.96153846153845</v>
      </c>
      <c r="C104" s="60">
        <v>16</v>
      </c>
      <c r="D104" s="50">
        <v>87</v>
      </c>
      <c r="E104" s="54">
        <v>0.9</v>
      </c>
      <c r="F104" s="54">
        <v>0</v>
      </c>
      <c r="G104" s="54">
        <v>0</v>
      </c>
      <c r="H104" s="54">
        <v>0.1</v>
      </c>
      <c r="I104" s="53">
        <f t="shared" si="3"/>
        <v>4.0982905982905988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>
        <v>180</v>
      </c>
      <c r="B105" s="50">
        <v>183.50641025641025</v>
      </c>
      <c r="C105" s="50">
        <v>17</v>
      </c>
      <c r="D105" s="50">
        <v>58.794871794871796</v>
      </c>
      <c r="E105" s="54">
        <v>0.9</v>
      </c>
      <c r="F105" s="54">
        <v>0</v>
      </c>
      <c r="G105" s="54">
        <v>0</v>
      </c>
      <c r="H105" s="54">
        <v>0.1</v>
      </c>
      <c r="I105" s="53">
        <f t="shared" si="3"/>
        <v>2.5149572649572653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>
        <v>183</v>
      </c>
      <c r="B106" s="50">
        <v>129.32692307692307</v>
      </c>
      <c r="C106" s="50">
        <v>18</v>
      </c>
      <c r="D106" s="50">
        <v>129.32692307692307</v>
      </c>
      <c r="E106" s="54">
        <v>0.9</v>
      </c>
      <c r="F106" s="54">
        <v>0</v>
      </c>
      <c r="G106" s="54">
        <v>0</v>
      </c>
      <c r="H106" s="54">
        <v>0.1</v>
      </c>
      <c r="I106" s="53">
        <f t="shared" si="3"/>
        <v>1.5384615384615377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19</v>
      </c>
      <c r="B110" s="52" t="str">
        <f>IF(B12="","",B12)</f>
        <v/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41</v>
      </c>
      <c r="C112" s="258" t="s">
        <v>42</v>
      </c>
      <c r="D112" s="258"/>
      <c r="E112" s="259" t="s">
        <v>43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41</v>
      </c>
      <c r="C138" s="258" t="s">
        <v>42</v>
      </c>
      <c r="D138" s="258"/>
      <c r="E138" s="259" t="s">
        <v>43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41</v>
      </c>
      <c r="C164" s="258" t="s">
        <v>42</v>
      </c>
      <c r="D164" s="258"/>
      <c r="E164" s="259" t="s">
        <v>43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41</v>
      </c>
      <c r="C190" s="258" t="s">
        <v>42</v>
      </c>
      <c r="D190" s="258"/>
      <c r="E190" s="259" t="s">
        <v>43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41</v>
      </c>
      <c r="C216" s="258" t="s">
        <v>42</v>
      </c>
      <c r="D216" s="258"/>
      <c r="E216" s="259" t="s">
        <v>43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41</v>
      </c>
      <c r="C242" s="258" t="s">
        <v>42</v>
      </c>
      <c r="D242" s="258"/>
      <c r="E242" s="259" t="s">
        <v>43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41</v>
      </c>
      <c r="C268" s="258" t="s">
        <v>42</v>
      </c>
      <c r="D268" s="258"/>
      <c r="E268" s="259" t="s">
        <v>43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58</v>
      </c>
      <c r="D8" s="23"/>
      <c r="E8" s="105">
        <v>4</v>
      </c>
      <c r="F8" s="61">
        <v>0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55</v>
      </c>
      <c r="C15" s="4"/>
      <c r="D15" s="23"/>
      <c r="E15" s="4"/>
      <c r="F15" s="4"/>
      <c r="G15" s="2" t="s">
        <v>67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laricio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pubescent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355.09162485318728</v>
      </c>
      <c r="T3" s="59">
        <f>IF('Données projet'!E9&gt;30,$R$33-$H$33,LOOKUP('Données projet'!$E$9,$A$3:$A$203,R3:R203)-LOOKUP('Données projet'!$E$9,$A$3:$A$203,$H$3:$H$203))</f>
        <v>320.06572891923685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447.91110718952615</v>
      </c>
      <c r="AO3" s="59">
        <f>IF('Données projet'!E10&gt;30,$AM$33-$H$33,LOOKUP('Données projet'!$E$10,$A$3:$A$203,AM3:AM203)-LOOKUP('Données projet'!$E$10,$A$3:$A$203,$H$3:$H$203))</f>
        <v>188.87492758536894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496.71433459306451</v>
      </c>
      <c r="BJ3" s="59">
        <f>IF('Données projet'!E11&gt;30,$BH$33-$H$33,LOOKUP('Données projet'!$E$11,$A$3:$A$203,BH3:BH203)-LOOKUP('Données projet'!$E$11,$A$3:$A$203,$H$3:$H$203))</f>
        <v>206.75063396134982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6.7360323886639675</v>
      </c>
      <c r="N4" s="13">
        <f>IF('Données projet'!$A$36&gt;35,N3+M4-V3,IF(A4&lt;'Données projet'!$A$36,$K$205^A4,IF(A4='Données projet'!$A$36,'Données projet'!$B$36,N3+M4-V3)))</f>
        <v>1.2909310311160476</v>
      </c>
      <c r="O4" s="13">
        <f>N4*VLOOKUP('Données projet'!$B$9,Paramètres!$A$1:$I$89,3,0)*VLOOKUP('Données projet'!$B$9,Paramètres!$A$1:$I$89,5,0)</f>
        <v>0.77197675660739651</v>
      </c>
      <c r="P4" s="13">
        <f>EXP(-1.0587+0.8836*LN(O4)+0.284)</f>
        <v>0.36663942027891244</v>
      </c>
      <c r="Q4" s="20">
        <f t="shared" ref="Q4:Q34" si="2">(O4+P4)*0.475*44/12</f>
        <v>1.9830898414103215</v>
      </c>
      <c r="R4" s="59">
        <f t="shared" si="0"/>
        <v>259.87197873029919</v>
      </c>
      <c r="S4" s="59">
        <f ca="1">AVERAGE(OFFSET($R$3,0,0,'Données projet'!$E$9+1,1))-AVERAGE(OFFSET($H$3,0,0,'Données projet'!$E$9+1,1))</f>
        <v>355.09162485318728</v>
      </c>
      <c r="T4" s="59">
        <f>$T$3</f>
        <v>320.06572891923685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2.5115384615384619</v>
      </c>
      <c r="AI4" s="13">
        <f>IF('Données projet'!$A$62&gt;35,AI3+AH4-AQ3,IF(A4&lt;'Données projet'!$A$62,$AF$205^A4,IF(A4='Données projet'!$A$62,'Données projet'!$B$62,AI3+AH4-AQ3)))</f>
        <v>1.1549646791274306</v>
      </c>
      <c r="AJ4" s="13">
        <f>AI4*VLOOKUP('Données projet'!$B$10,Paramètres!$A$1:$I$89,3,0)*VLOOKUP('Données projet'!$B$10,Paramètres!$A$1:$I$89,5,0)</f>
        <v>1.0450120416744992</v>
      </c>
      <c r="AK4" s="13">
        <f>EXP(-1.0587+0.8836*LN(AJ4)+0.284)</f>
        <v>0.47912368577044179</v>
      </c>
      <c r="AL4" s="20">
        <f t="shared" ref="AL4:AL67" si="4">(AJ4+AK4)*0.475*44/12</f>
        <v>2.6545363919666056</v>
      </c>
      <c r="AM4" s="59">
        <f t="shared" ref="AM4:AM67" si="5">AL4+(AD4+AE4)*44/12</f>
        <v>260.54342528085544</v>
      </c>
      <c r="AN4" s="59">
        <f ca="1">AVERAGE(OFFSET($AM$3,0,0,'Données projet'!$E$10+1,1))-AVERAGE(OFFSET($H$3,0,0,'Données projet'!$E$10+1,1))</f>
        <v>447.91110718952615</v>
      </c>
      <c r="AO4" s="59">
        <f>$AO$3</f>
        <v>188.87492758536894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2.5115384615384619</v>
      </c>
      <c r="BD4" s="12">
        <f>IF('Données projet'!$A$88&gt;35,BD3+BC4-BL3,IF(A4&lt;'Données projet'!$A$88,$BA$205^A4,IF(A4='Données projet'!$A$88,'Données projet'!$B$88,BD3+BC4-BL3)))</f>
        <v>1.1549646791274306</v>
      </c>
      <c r="BE4" s="13">
        <f>BD4*VLOOKUP('Données projet'!$B$11,Paramètres!$A$1:$I$89,3,0)*VLOOKUP('Données projet'!$B$11,Paramètres!$A$1:$I$89,5,0)</f>
        <v>1.1711341846352148</v>
      </c>
      <c r="BF4" s="13">
        <f>EXP(-1.0587+0.8836*LN(BE4)+0.284)</f>
        <v>0.52987436341208494</v>
      </c>
      <c r="BG4" s="20">
        <f t="shared" ref="BG4:BG67" si="7">(BE4+BF4)*0.475*44/12</f>
        <v>2.9625898878490471</v>
      </c>
      <c r="BH4" s="59">
        <f t="shared" ref="BH4:BH67" si="8">BG4+(AY4+AZ4)*44/12</f>
        <v>260.85147877673791</v>
      </c>
      <c r="BI4" s="59">
        <f ca="1">AVERAGE(OFFSET($BH$3,0,0,'Données projet'!$E$11+1,1))-AVERAGE(OFFSET($H$3,0,0,'Données projet'!$E$11+1,1))</f>
        <v>496.71433459306451</v>
      </c>
      <c r="BJ4" s="59">
        <f>$BJ$3</f>
        <v>206.75063396134982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6.7360323886639675</v>
      </c>
      <c r="N5" s="13">
        <f>IF('Données projet'!$A$36&gt;35,N4+M5-V4,IF(A5&lt;'Données projet'!$A$36,$K$205^A5,IF(A5='Données projet'!$A$36,'Données projet'!$B$36,N4+M5-V4)))</f>
        <v>1.6665029270983418</v>
      </c>
      <c r="O5" s="13">
        <f>N5*VLOOKUP('Données projet'!$B$9,Paramètres!$A$1:$I$89,3,0)*VLOOKUP('Données projet'!$B$9,Paramètres!$A$1:$I$89,5,0)</f>
        <v>0.99656875040480852</v>
      </c>
      <c r="P5" s="13">
        <f t="shared" ref="P5:P68" si="33">EXP(-1.0587+0.8836*LN(O5)+0.284)</f>
        <v>0.45944452864607926</v>
      </c>
      <c r="Q5" s="20">
        <f t="shared" si="2"/>
        <v>2.5358897943469625</v>
      </c>
      <c r="R5" s="59">
        <f t="shared" si="0"/>
        <v>261.64700090545813</v>
      </c>
      <c r="S5" s="59">
        <f ca="1">AVERAGE(OFFSET($R$3,0,0,'Données projet'!$E$9+1,1))-AVERAGE(OFFSET($H$3,0,0,'Données projet'!$E$9+1,1))</f>
        <v>355.09162485318728</v>
      </c>
      <c r="T5" s="59">
        <f t="shared" ref="T5:T68" si="34">$T$3</f>
        <v>320.06572891923685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2.5115384615384619</v>
      </c>
      <c r="AI5" s="13">
        <f>IF('Données projet'!$A$62&gt;35,AI4+AH5-AQ4,IF(A5&lt;'Données projet'!$A$62,$AF$205^A5,IF(A5='Données projet'!$A$62,'Données projet'!$B$62,AI4+AH5-AQ4)))</f>
        <v>1.3339434100319287</v>
      </c>
      <c r="AJ5" s="13">
        <f>AI5*VLOOKUP('Données projet'!$B$10,Paramètres!$A$1:$I$89,3,0)*VLOOKUP('Données projet'!$B$10,Paramètres!$A$1:$I$89,5,0)</f>
        <v>1.206951997396889</v>
      </c>
      <c r="AK5" s="13">
        <f t="shared" ref="AK5:AK68" si="35">EXP(-1.0587+0.8836*LN(AJ5)+0.284)</f>
        <v>0.54416843549744709</v>
      </c>
      <c r="AL5" s="20">
        <f t="shared" si="4"/>
        <v>3.0498680872909687</v>
      </c>
      <c r="AM5" s="59">
        <f t="shared" si="5"/>
        <v>262.16097919840212</v>
      </c>
      <c r="AN5" s="59">
        <f ca="1">AVERAGE(OFFSET($AM$3,0,0,'Données projet'!$E$10+1,1))-AVERAGE(OFFSET($H$3,0,0,'Données projet'!$E$10+1,1))</f>
        <v>447.91110718952615</v>
      </c>
      <c r="AO5" s="59">
        <f t="shared" ref="AO5:AO68" si="36">$AO$3</f>
        <v>188.87492758536894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2.5115384615384619</v>
      </c>
      <c r="BD5" s="12">
        <f>IF('Données projet'!$A$88&gt;35,BD4+BC5-BL4,IF(A5&lt;'Données projet'!$A$88,$BA$205^A5,IF(A5='Données projet'!$A$88,'Données projet'!$B$88,BD4+BC5-BL4)))</f>
        <v>1.3339434100319287</v>
      </c>
      <c r="BE5" s="13">
        <f>BD5*VLOOKUP('Données projet'!$B$11,Paramètres!$A$1:$I$89,3,0)*VLOOKUP('Données projet'!$B$11,Paramètres!$A$1:$I$89,5,0)</f>
        <v>1.3526186177723758</v>
      </c>
      <c r="BF5" s="13">
        <f t="shared" ref="BF5:BF68" si="37">EXP(-1.0587+0.8836*LN(BE5)+0.284)</f>
        <v>0.60180891054154695</v>
      </c>
      <c r="BG5" s="20">
        <f t="shared" si="7"/>
        <v>3.4039612784800823</v>
      </c>
      <c r="BH5" s="59">
        <f t="shared" si="8"/>
        <v>262.51507238959124</v>
      </c>
      <c r="BI5" s="59">
        <f ca="1">AVERAGE(OFFSET($BH$3,0,0,'Données projet'!$E$11+1,1))-AVERAGE(OFFSET($H$3,0,0,'Données projet'!$E$11+1,1))</f>
        <v>496.71433459306451</v>
      </c>
      <c r="BJ5" s="59">
        <f t="shared" ref="BJ5:BJ68" si="38">$BJ$3</f>
        <v>206.75063396134982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6.7360323886639675</v>
      </c>
      <c r="N6" s="13">
        <f>IF('Données projet'!$A$36&gt;35,N5+M6-V5,IF(A6&lt;'Données projet'!$A$36,$K$205^A6,IF(A6='Données projet'!$A$36,'Données projet'!$B$36,N5+M6-V5)))</f>
        <v>2.1513403420369737</v>
      </c>
      <c r="O6" s="13">
        <f>N6*VLOOKUP('Données projet'!$B$9,Paramètres!$A$1:$I$89,3,0)*VLOOKUP('Données projet'!$B$9,Paramètres!$A$1:$I$89,5,0)</f>
        <v>1.2865015245381104</v>
      </c>
      <c r="P6" s="13">
        <f t="shared" si="33"/>
        <v>0.57574080480008571</v>
      </c>
      <c r="Q6" s="20">
        <f t="shared" si="2"/>
        <v>3.2434053902640243</v>
      </c>
      <c r="R6" s="59">
        <f t="shared" si="0"/>
        <v>263.57673872359732</v>
      </c>
      <c r="S6" s="59">
        <f ca="1">AVERAGE(OFFSET($R$3,0,0,'Données projet'!$E$9+1,1))-AVERAGE(OFFSET($H$3,0,0,'Données projet'!$E$9+1,1))</f>
        <v>355.09162485318728</v>
      </c>
      <c r="T6" s="59">
        <f t="shared" si="34"/>
        <v>320.06572891923685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2.5115384615384619</v>
      </c>
      <c r="AI6" s="13">
        <f>IF('Données projet'!$A$62&gt;35,AI5+AH6-AQ5,IF(A6&lt;'Données projet'!$A$62,$AF$205^A6,IF(A6='Données projet'!$A$62,'Données projet'!$B$62,AI5+AH6-AQ5)))</f>
        <v>1.5406575225416772</v>
      </c>
      <c r="AJ6" s="13">
        <f>AI6*VLOOKUP('Données projet'!$B$10,Paramètres!$A$1:$I$89,3,0)*VLOOKUP('Données projet'!$B$10,Paramètres!$A$1:$I$89,5,0)</f>
        <v>1.3939869263957094</v>
      </c>
      <c r="AK6" s="13">
        <f t="shared" si="35"/>
        <v>0.6180435135774448</v>
      </c>
      <c r="AL6" s="20">
        <f t="shared" si="4"/>
        <v>3.5042863496199099</v>
      </c>
      <c r="AM6" s="59">
        <f t="shared" si="5"/>
        <v>263.83761968295323</v>
      </c>
      <c r="AN6" s="59">
        <f ca="1">AVERAGE(OFFSET($AM$3,0,0,'Données projet'!$E$10+1,1))-AVERAGE(OFFSET($H$3,0,0,'Données projet'!$E$10+1,1))</f>
        <v>447.91110718952615</v>
      </c>
      <c r="AO6" s="59">
        <f t="shared" si="36"/>
        <v>188.87492758536894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2.5115384615384619</v>
      </c>
      <c r="BD6" s="12">
        <f>IF('Données projet'!$A$88&gt;35,BD5+BC6-BL5,IF(A6&lt;'Données projet'!$A$88,$BA$205^A6,IF(A6='Données projet'!$A$88,'Données projet'!$B$88,BD5+BC6-BL5)))</f>
        <v>1.5406575225416772</v>
      </c>
      <c r="BE6" s="13">
        <f>BD6*VLOOKUP('Données projet'!$B$11,Paramètres!$A$1:$I$89,3,0)*VLOOKUP('Données projet'!$B$11,Paramètres!$A$1:$I$89,5,0)</f>
        <v>1.5622267278572608</v>
      </c>
      <c r="BF6" s="13">
        <f t="shared" si="37"/>
        <v>0.68350912936231245</v>
      </c>
      <c r="BG6" s="20">
        <f t="shared" si="7"/>
        <v>3.9113232846574237</v>
      </c>
      <c r="BH6" s="59">
        <f t="shared" si="8"/>
        <v>264.24465661799076</v>
      </c>
      <c r="BI6" s="59">
        <f ca="1">AVERAGE(OFFSET($BH$3,0,0,'Données projet'!$E$11+1,1))-AVERAGE(OFFSET($H$3,0,0,'Données projet'!$E$11+1,1))</f>
        <v>496.71433459306451</v>
      </c>
      <c r="BJ6" s="59">
        <f t="shared" si="38"/>
        <v>206.75063396134982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6.7360323886639675</v>
      </c>
      <c r="N7" s="13">
        <f>IF('Données projet'!$A$36&gt;35,N6+M7-V6,IF(A7&lt;'Données projet'!$A$36,$K$205^A7,IF(A7='Données projet'!$A$36,'Données projet'!$B$36,N6+M7-V6)))</f>
        <v>2.777232006027341</v>
      </c>
      <c r="O7" s="13">
        <f>N7*VLOOKUP('Données projet'!$B$9,Paramètres!$A$1:$I$89,3,0)*VLOOKUP('Données projet'!$B$9,Paramètres!$A$1:$I$89,5,0)</f>
        <v>1.66078473960435</v>
      </c>
      <c r="P7" s="13">
        <f t="shared" si="33"/>
        <v>0.7214744188785307</v>
      </c>
      <c r="Q7" s="20">
        <f t="shared" si="2"/>
        <v>4.1491013676910162</v>
      </c>
      <c r="R7" s="59">
        <f t="shared" si="0"/>
        <v>265.70465692324655</v>
      </c>
      <c r="S7" s="59">
        <f ca="1">AVERAGE(OFFSET($R$3,0,0,'Données projet'!$E$9+1,1))-AVERAGE(OFFSET($H$3,0,0,'Données projet'!$E$9+1,1))</f>
        <v>355.09162485318728</v>
      </c>
      <c r="T7" s="59">
        <f t="shared" si="34"/>
        <v>320.06572891923685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2.5115384615384619</v>
      </c>
      <c r="AI7" s="13">
        <f>IF('Données projet'!$A$62&gt;35,AI6+AH7-AQ6,IF(A7&lt;'Données projet'!$A$62,$AF$205^A7,IF(A7='Données projet'!$A$62,'Données projet'!$B$62,AI6+AH7-AQ6)))</f>
        <v>1.7794050211676105</v>
      </c>
      <c r="AJ7" s="13">
        <f>AI7*VLOOKUP('Données projet'!$B$10,Paramètres!$A$1:$I$89,3,0)*VLOOKUP('Données projet'!$B$10,Paramètres!$A$1:$I$89,5,0)</f>
        <v>1.610005663152454</v>
      </c>
      <c r="AK7" s="13">
        <f t="shared" si="35"/>
        <v>0.70194770544890439</v>
      </c>
      <c r="AL7" s="20">
        <f t="shared" si="4"/>
        <v>4.0266521169806992</v>
      </c>
      <c r="AM7" s="59">
        <f t="shared" si="5"/>
        <v>265.58220767253624</v>
      </c>
      <c r="AN7" s="59">
        <f ca="1">AVERAGE(OFFSET($AM$3,0,0,'Données projet'!$E$10+1,1))-AVERAGE(OFFSET($H$3,0,0,'Données projet'!$E$10+1,1))</f>
        <v>447.91110718952615</v>
      </c>
      <c r="AO7" s="59">
        <f t="shared" si="36"/>
        <v>188.87492758536894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2.5115384615384619</v>
      </c>
      <c r="BD7" s="12">
        <f>IF('Données projet'!$A$88&gt;35,BD6+BC7-BL6,IF(A7&lt;'Données projet'!$A$88,$BA$205^A7,IF(A7='Données projet'!$A$88,'Données projet'!$B$88,BD6+BC7-BL6)))</f>
        <v>1.7794050211676105</v>
      </c>
      <c r="BE7" s="13">
        <f>BD7*VLOOKUP('Données projet'!$B$11,Paramètres!$A$1:$I$89,3,0)*VLOOKUP('Données projet'!$B$11,Paramètres!$A$1:$I$89,5,0)</f>
        <v>1.804316691463957</v>
      </c>
      <c r="BF7" s="13">
        <f t="shared" si="37"/>
        <v>0.77630078541247105</v>
      </c>
      <c r="BG7" s="20">
        <f t="shared" si="7"/>
        <v>4.4945754388931123</v>
      </c>
      <c r="BH7" s="59">
        <f t="shared" si="8"/>
        <v>266.05013099444864</v>
      </c>
      <c r="BI7" s="59">
        <f ca="1">AVERAGE(OFFSET($BH$3,0,0,'Données projet'!$E$11+1,1))-AVERAGE(OFFSET($H$3,0,0,'Données projet'!$E$11+1,1))</f>
        <v>496.71433459306451</v>
      </c>
      <c r="BJ7" s="59">
        <f t="shared" si="38"/>
        <v>206.75063396134982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6.7360323886639675</v>
      </c>
      <c r="N8" s="13">
        <f>IF('Données projet'!$A$36&gt;35,N7+M8-V7,IF(A8&lt;'Données projet'!$A$36,$K$205^A8,IF(A8='Données projet'!$A$36,'Données projet'!$B$36,N7+M8-V7)))</f>
        <v>3.5852149771893647</v>
      </c>
      <c r="O8" s="13">
        <f>N8*VLOOKUP('Données projet'!$B$9,Paramètres!$A$1:$I$89,3,0)*VLOOKUP('Données projet'!$B$9,Paramètres!$A$1:$I$89,5,0)</f>
        <v>2.1439585563592405</v>
      </c>
      <c r="P8" s="13">
        <f t="shared" si="33"/>
        <v>0.90409665730893507</v>
      </c>
      <c r="Q8" s="20">
        <f t="shared" si="2"/>
        <v>5.3086961638054051</v>
      </c>
      <c r="R8" s="59">
        <f t="shared" si="0"/>
        <v>268.08647394158317</v>
      </c>
      <c r="S8" s="59">
        <f ca="1">AVERAGE(OFFSET($R$3,0,0,'Données projet'!$E$9+1,1))-AVERAGE(OFFSET($H$3,0,0,'Données projet'!$E$9+1,1))</f>
        <v>355.09162485318728</v>
      </c>
      <c r="T8" s="59">
        <f t="shared" si="34"/>
        <v>320.06572891923685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2.5115384615384619</v>
      </c>
      <c r="AI8" s="13">
        <f>IF('Données projet'!$A$62&gt;35,AI7+AH8-AQ7,IF(A8&lt;'Données projet'!$A$62,$AF$205^A8,IF(A8='Données projet'!$A$62,'Données projet'!$B$62,AI7+AH8-AQ7)))</f>
        <v>2.055149949310588</v>
      </c>
      <c r="AJ8" s="13">
        <f>AI8*VLOOKUP('Données projet'!$B$10,Paramètres!$A$1:$I$89,3,0)*VLOOKUP('Données projet'!$B$10,Paramètres!$A$1:$I$89,5,0)</f>
        <v>1.85949967413622</v>
      </c>
      <c r="AK8" s="13">
        <f t="shared" si="35"/>
        <v>0.79724254095458524</v>
      </c>
      <c r="AL8" s="20">
        <f t="shared" si="4"/>
        <v>4.6271593579498189</v>
      </c>
      <c r="AM8" s="59">
        <f t="shared" si="5"/>
        <v>267.40493713572761</v>
      </c>
      <c r="AN8" s="59">
        <f ca="1">AVERAGE(OFFSET($AM$3,0,0,'Données projet'!$E$10+1,1))-AVERAGE(OFFSET($H$3,0,0,'Données projet'!$E$10+1,1))</f>
        <v>447.91110718952615</v>
      </c>
      <c r="AO8" s="59">
        <f t="shared" si="36"/>
        <v>188.87492758536894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2.5115384615384619</v>
      </c>
      <c r="BD8" s="12">
        <f>IF('Données projet'!$A$88&gt;35,BD7+BC8-BL7,IF(A8&lt;'Données projet'!$A$88,$BA$205^A8,IF(A8='Données projet'!$A$88,'Données projet'!$B$88,BD7+BC8-BL7)))</f>
        <v>2.055149949310588</v>
      </c>
      <c r="BE8" s="13">
        <f>BD8*VLOOKUP('Données projet'!$B$11,Paramètres!$A$1:$I$89,3,0)*VLOOKUP('Données projet'!$B$11,Paramètres!$A$1:$I$89,5,0)</f>
        <v>2.0839220486009364</v>
      </c>
      <c r="BF8" s="13">
        <f t="shared" si="37"/>
        <v>0.88168962716600707</v>
      </c>
      <c r="BG8" s="20">
        <f t="shared" si="7"/>
        <v>5.1651070019607603</v>
      </c>
      <c r="BH8" s="59">
        <f t="shared" si="8"/>
        <v>267.94288477973851</v>
      </c>
      <c r="BI8" s="59">
        <f ca="1">AVERAGE(OFFSET($BH$3,0,0,'Données projet'!$E$11+1,1))-AVERAGE(OFFSET($H$3,0,0,'Données projet'!$E$11+1,1))</f>
        <v>496.71433459306451</v>
      </c>
      <c r="BJ8" s="59">
        <f t="shared" si="38"/>
        <v>206.75063396134982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6.7360323886639675</v>
      </c>
      <c r="N9" s="13">
        <f>IF('Données projet'!$A$36&gt;35,N8+M9-V8,IF(A9&lt;'Données projet'!$A$36,$K$205^A9,IF(A9='Données projet'!$A$36,'Données projet'!$B$36,N8+M9-V8)))</f>
        <v>4.6282652672757632</v>
      </c>
      <c r="O9" s="13">
        <f>N9*VLOOKUP('Données projet'!$B$9,Paramètres!$A$1:$I$89,3,0)*VLOOKUP('Données projet'!$B$9,Paramètres!$A$1:$I$89,5,0)</f>
        <v>2.7677026298309064</v>
      </c>
      <c r="P9" s="13">
        <f t="shared" si="33"/>
        <v>1.1329449033380179</v>
      </c>
      <c r="Q9" s="20">
        <f t="shared" si="2"/>
        <v>6.7936277869358754</v>
      </c>
      <c r="R9" s="59">
        <f t="shared" si="0"/>
        <v>270.79362778693587</v>
      </c>
      <c r="S9" s="59">
        <f ca="1">AVERAGE(OFFSET($R$3,0,0,'Données projet'!$E$9+1,1))-AVERAGE(OFFSET($H$3,0,0,'Données projet'!$E$9+1,1))</f>
        <v>355.09162485318728</v>
      </c>
      <c r="T9" s="59">
        <f t="shared" si="34"/>
        <v>320.06572891923685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2.5115384615384619</v>
      </c>
      <c r="AI9" s="13">
        <f>IF('Données projet'!$A$62&gt;35,AI8+AH9-AQ8,IF(A9&lt;'Données projet'!$A$62,$AF$205^A9,IF(A9='Données projet'!$A$62,'Données projet'!$B$62,AI8+AH9-AQ8)))</f>
        <v>2.3736256017642585</v>
      </c>
      <c r="AJ9" s="13">
        <f>AI9*VLOOKUP('Données projet'!$B$10,Paramètres!$A$1:$I$89,3,0)*VLOOKUP('Données projet'!$B$10,Paramètres!$A$1:$I$89,5,0)</f>
        <v>2.1476564444763011</v>
      </c>
      <c r="AK9" s="13">
        <f t="shared" si="35"/>
        <v>0.90547438815438841</v>
      </c>
      <c r="AL9" s="20">
        <f t="shared" si="4"/>
        <v>5.3175362001651179</v>
      </c>
      <c r="AM9" s="59">
        <f t="shared" si="5"/>
        <v>269.31753620016514</v>
      </c>
      <c r="AN9" s="59">
        <f ca="1">AVERAGE(OFFSET($AM$3,0,0,'Données projet'!$E$10+1,1))-AVERAGE(OFFSET($H$3,0,0,'Données projet'!$E$10+1,1))</f>
        <v>447.91110718952615</v>
      </c>
      <c r="AO9" s="59">
        <f t="shared" si="36"/>
        <v>188.87492758536894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2.5115384615384619</v>
      </c>
      <c r="BD9" s="12">
        <f>IF('Données projet'!$A$88&gt;35,BD8+BC9-BL8,IF(A9&lt;'Données projet'!$A$88,$BA$205^A9,IF(A9='Données projet'!$A$88,'Données projet'!$B$88,BD8+BC9-BL8)))</f>
        <v>2.3736256017642585</v>
      </c>
      <c r="BE9" s="13">
        <f>BD9*VLOOKUP('Données projet'!$B$11,Paramètres!$A$1:$I$89,3,0)*VLOOKUP('Données projet'!$B$11,Paramètres!$A$1:$I$89,5,0)</f>
        <v>2.4068563601889585</v>
      </c>
      <c r="BF9" s="13">
        <f t="shared" si="37"/>
        <v>1.0013858201097787</v>
      </c>
      <c r="BG9" s="20">
        <f t="shared" si="7"/>
        <v>5.9360217973536349</v>
      </c>
      <c r="BH9" s="59">
        <f t="shared" si="8"/>
        <v>269.93602179735365</v>
      </c>
      <c r="BI9" s="59">
        <f ca="1">AVERAGE(OFFSET($BH$3,0,0,'Données projet'!$E$11+1,1))-AVERAGE(OFFSET($H$3,0,0,'Données projet'!$E$11+1,1))</f>
        <v>496.71433459306451</v>
      </c>
      <c r="BJ9" s="59">
        <f t="shared" si="38"/>
        <v>206.75063396134982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6.7360323886639675</v>
      </c>
      <c r="N10" s="13">
        <f>IF('Données projet'!$A$36&gt;35,N9+M10-V9,IF(A10&lt;'Données projet'!$A$36,$K$205^A10,IF(A10='Données projet'!$A$36,'Données projet'!$B$36,N9+M10-V9)))</f>
        <v>5.9747712537628903</v>
      </c>
      <c r="O10" s="13">
        <f>N10*VLOOKUP('Données projet'!$B$9,Paramètres!$A$1:$I$89,3,0)*VLOOKUP('Données projet'!$B$9,Paramètres!$A$1:$I$89,5,0)</f>
        <v>3.5729132097502085</v>
      </c>
      <c r="P10" s="13">
        <f t="shared" si="33"/>
        <v>1.4197200527431988</v>
      </c>
      <c r="Q10" s="20">
        <f t="shared" si="2"/>
        <v>8.6955029321760176</v>
      </c>
      <c r="R10" s="59">
        <f t="shared" si="0"/>
        <v>273.91772515439823</v>
      </c>
      <c r="S10" s="59">
        <f ca="1">AVERAGE(OFFSET($R$3,0,0,'Données projet'!$E$9+1,1))-AVERAGE(OFFSET($H$3,0,0,'Données projet'!$E$9+1,1))</f>
        <v>355.09162485318728</v>
      </c>
      <c r="T10" s="59">
        <f t="shared" si="34"/>
        <v>320.06572891923685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2.5115384615384619</v>
      </c>
      <c r="AI10" s="13">
        <f>IF('Données projet'!$A$62&gt;35,AI9+AH10-AQ9,IF(A10&lt;'Données projet'!$A$62,$AF$205^A10,IF(A10='Données projet'!$A$62,'Données projet'!$B$62,AI9+AH10-AQ9)))</f>
        <v>2.7414537315103114</v>
      </c>
      <c r="AJ10" s="13">
        <f>AI10*VLOOKUP('Données projet'!$B$10,Paramètres!$A$1:$I$89,3,0)*VLOOKUP('Données projet'!$B$10,Paramètres!$A$1:$I$89,5,0)</f>
        <v>2.4804673362705296</v>
      </c>
      <c r="AK10" s="13">
        <f t="shared" si="35"/>
        <v>1.0283995465443541</v>
      </c>
      <c r="AL10" s="20">
        <f t="shared" si="4"/>
        <v>6.1112764875692553</v>
      </c>
      <c r="AM10" s="59">
        <f t="shared" si="5"/>
        <v>271.33349870979146</v>
      </c>
      <c r="AN10" s="59">
        <f ca="1">AVERAGE(OFFSET($AM$3,0,0,'Données projet'!$E$10+1,1))-AVERAGE(OFFSET($H$3,0,0,'Données projet'!$E$10+1,1))</f>
        <v>447.91110718952615</v>
      </c>
      <c r="AO10" s="59">
        <f t="shared" si="36"/>
        <v>188.87492758536894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2.5115384615384619</v>
      </c>
      <c r="BD10" s="12">
        <f>IF('Données projet'!$A$88&gt;35,BD9+BC10-BL9,IF(A10&lt;'Données projet'!$A$88,$BA$205^A10,IF(A10='Données projet'!$A$88,'Données projet'!$B$88,BD9+BC10-BL9)))</f>
        <v>2.7414537315103114</v>
      </c>
      <c r="BE10" s="13">
        <f>BD10*VLOOKUP('Données projet'!$B$11,Paramètres!$A$1:$I$89,3,0)*VLOOKUP('Données projet'!$B$11,Paramètres!$A$1:$I$89,5,0)</f>
        <v>2.7798340837514557</v>
      </c>
      <c r="BF10" s="13">
        <f t="shared" si="37"/>
        <v>1.1373316979356147</v>
      </c>
      <c r="BG10" s="20">
        <f t="shared" si="7"/>
        <v>6.8223970697716476</v>
      </c>
      <c r="BH10" s="59">
        <f t="shared" si="8"/>
        <v>272.04461929199385</v>
      </c>
      <c r="BI10" s="59">
        <f ca="1">AVERAGE(OFFSET($BH$3,0,0,'Données projet'!$E$11+1,1))-AVERAGE(OFFSET($H$3,0,0,'Données projet'!$E$11+1,1))</f>
        <v>496.71433459306451</v>
      </c>
      <c r="BJ10" s="59">
        <f t="shared" si="38"/>
        <v>206.75063396134982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6.7360323886639675</v>
      </c>
      <c r="N11" s="13">
        <f>IF('Données projet'!$A$36&gt;35,N10+M11-V10,IF(A11&lt;'Données projet'!$A$36,$K$205^A11,IF(A11='Données projet'!$A$36,'Données projet'!$B$36,N10+M11-V10)))</f>
        <v>7.7130176153026486</v>
      </c>
      <c r="O11" s="13">
        <f>N11*VLOOKUP('Données projet'!$B$9,Paramètres!$A$1:$I$89,3,0)*VLOOKUP('Données projet'!$B$9,Paramètres!$A$1:$I$89,5,0)</f>
        <v>4.6123845339509844</v>
      </c>
      <c r="P11" s="13">
        <f t="shared" si="33"/>
        <v>1.7790847747516541</v>
      </c>
      <c r="Q11" s="20">
        <f t="shared" si="2"/>
        <v>11.131809045990428</v>
      </c>
      <c r="R11" s="59">
        <f t="shared" si="0"/>
        <v>277.57625349043491</v>
      </c>
      <c r="S11" s="59">
        <f ca="1">AVERAGE(OFFSET($R$3,0,0,'Données projet'!$E$9+1,1))-AVERAGE(OFFSET($H$3,0,0,'Données projet'!$E$9+1,1))</f>
        <v>355.09162485318728</v>
      </c>
      <c r="T11" s="59">
        <f t="shared" si="34"/>
        <v>320.06572891923685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2.5115384615384619</v>
      </c>
      <c r="AI11" s="13">
        <f>IF('Données projet'!$A$62&gt;35,AI10+AH11-AQ10,IF(A11&lt;'Données projet'!$A$62,$AF$205^A11,IF(A11='Données projet'!$A$62,'Données projet'!$B$62,AI10+AH11-AQ10)))</f>
        <v>3.1662822293565043</v>
      </c>
      <c r="AJ11" s="13">
        <f>AI11*VLOOKUP('Données projet'!$B$10,Paramètres!$A$1:$I$89,3,0)*VLOOKUP('Données projet'!$B$10,Paramètres!$A$1:$I$89,5,0)</f>
        <v>2.8648521611217652</v>
      </c>
      <c r="AK11" s="13">
        <f t="shared" si="35"/>
        <v>1.1680127468744104</v>
      </c>
      <c r="AL11" s="20">
        <f t="shared" si="4"/>
        <v>7.0239063814266727</v>
      </c>
      <c r="AM11" s="59">
        <f t="shared" si="5"/>
        <v>273.46835082587114</v>
      </c>
      <c r="AN11" s="59">
        <f ca="1">AVERAGE(OFFSET($AM$3,0,0,'Données projet'!$E$10+1,1))-AVERAGE(OFFSET($H$3,0,0,'Données projet'!$E$10+1,1))</f>
        <v>447.91110718952615</v>
      </c>
      <c r="AO11" s="59">
        <f t="shared" si="36"/>
        <v>188.87492758536894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2.5115384615384619</v>
      </c>
      <c r="BD11" s="12">
        <f>IF('Données projet'!$A$88&gt;35,BD10+BC11-BL10,IF(A11&lt;'Données projet'!$A$88,$BA$205^A11,IF(A11='Données projet'!$A$88,'Données projet'!$B$88,BD10+BC11-BL10)))</f>
        <v>3.1662822293565043</v>
      </c>
      <c r="BE11" s="13">
        <f>BD11*VLOOKUP('Données projet'!$B$11,Paramètres!$A$1:$I$89,3,0)*VLOOKUP('Données projet'!$B$11,Paramètres!$A$1:$I$89,5,0)</f>
        <v>3.2106101805674951</v>
      </c>
      <c r="BF11" s="13">
        <f t="shared" si="37"/>
        <v>1.2917332811715903</v>
      </c>
      <c r="BG11" s="20">
        <f t="shared" si="7"/>
        <v>7.8415815291955733</v>
      </c>
      <c r="BH11" s="59">
        <f t="shared" si="8"/>
        <v>274.28602597364005</v>
      </c>
      <c r="BI11" s="59">
        <f ca="1">AVERAGE(OFFSET($BH$3,0,0,'Données projet'!$E$11+1,1))-AVERAGE(OFFSET($H$3,0,0,'Données projet'!$E$11+1,1))</f>
        <v>496.71433459306451</v>
      </c>
      <c r="BJ11" s="59">
        <f t="shared" si="38"/>
        <v>206.75063396134982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6.7360323886639675</v>
      </c>
      <c r="N12" s="13">
        <f>IF('Données projet'!$A$36&gt;35,N11+M12-V11,IF(A12&lt;'Données projet'!$A$36,$K$205^A12,IF(A12='Données projet'!$A$36,'Données projet'!$B$36,N11+M12-V11)))</f>
        <v>9.9569737831388867</v>
      </c>
      <c r="O12" s="13">
        <f>N12*VLOOKUP('Données projet'!$B$9,Paramètres!$A$1:$I$89,3,0)*VLOOKUP('Données projet'!$B$9,Paramètres!$A$1:$I$89,5,0)</f>
        <v>5.9542703223170541</v>
      </c>
      <c r="P12" s="13">
        <f t="shared" si="33"/>
        <v>2.2294132069469743</v>
      </c>
      <c r="Q12" s="20">
        <f t="shared" si="2"/>
        <v>14.253248813468183</v>
      </c>
      <c r="R12" s="59">
        <f t="shared" si="0"/>
        <v>281.91991548013488</v>
      </c>
      <c r="S12" s="59">
        <f ca="1">AVERAGE(OFFSET($R$3,0,0,'Données projet'!$E$9+1,1))-AVERAGE(OFFSET($H$3,0,0,'Données projet'!$E$9+1,1))</f>
        <v>355.09162485318728</v>
      </c>
      <c r="T12" s="59">
        <f t="shared" si="34"/>
        <v>320.06572891923685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2.5115384615384619</v>
      </c>
      <c r="AI12" s="13">
        <f>IF('Données projet'!$A$62&gt;35,AI11+AH12-AQ11,IF(A12&lt;'Données projet'!$A$62,$AF$205^A12,IF(A12='Données projet'!$A$62,'Données projet'!$B$62,AI11+AH12-AQ11)))</f>
        <v>3.6569441390556205</v>
      </c>
      <c r="AJ12" s="13">
        <f>AI12*VLOOKUP('Données projet'!$B$10,Paramètres!$A$1:$I$89,3,0)*VLOOKUP('Données projet'!$B$10,Paramètres!$A$1:$I$89,5,0)</f>
        <v>3.3088030570175251</v>
      </c>
      <c r="AK12" s="13">
        <f t="shared" si="35"/>
        <v>1.3265795200370261</v>
      </c>
      <c r="AL12" s="20">
        <f t="shared" si="4"/>
        <v>8.0732913217033442</v>
      </c>
      <c r="AM12" s="59">
        <f t="shared" si="5"/>
        <v>275.73995798837001</v>
      </c>
      <c r="AN12" s="59">
        <f ca="1">AVERAGE(OFFSET($AM$3,0,0,'Données projet'!$E$10+1,1))-AVERAGE(OFFSET($H$3,0,0,'Données projet'!$E$10+1,1))</f>
        <v>447.91110718952615</v>
      </c>
      <c r="AO12" s="59">
        <f t="shared" si="36"/>
        <v>188.87492758536894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2.5115384615384619</v>
      </c>
      <c r="BD12" s="12">
        <f>IF('Données projet'!$A$88&gt;35,BD11+BC12-BL11,IF(A12&lt;'Données projet'!$A$88,$BA$205^A12,IF(A12='Données projet'!$A$88,'Données projet'!$B$88,BD11+BC12-BL11)))</f>
        <v>3.6569441390556205</v>
      </c>
      <c r="BE12" s="13">
        <f>BD12*VLOOKUP('Données projet'!$B$11,Paramètres!$A$1:$I$89,3,0)*VLOOKUP('Données projet'!$B$11,Paramètres!$A$1:$I$89,5,0)</f>
        <v>3.7081413570023996</v>
      </c>
      <c r="BF12" s="13">
        <f t="shared" si="37"/>
        <v>1.4670960747115152</v>
      </c>
      <c r="BG12" s="20">
        <f t="shared" si="7"/>
        <v>9.0135385269017352</v>
      </c>
      <c r="BH12" s="59">
        <f t="shared" si="8"/>
        <v>276.68020519356844</v>
      </c>
      <c r="BI12" s="59">
        <f ca="1">AVERAGE(OFFSET($BH$3,0,0,'Données projet'!$E$11+1,1))-AVERAGE(OFFSET($H$3,0,0,'Données projet'!$E$11+1,1))</f>
        <v>496.71433459306451</v>
      </c>
      <c r="BJ12" s="59">
        <f t="shared" si="38"/>
        <v>206.75063396134982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6.7360323886639675</v>
      </c>
      <c r="N13" s="13">
        <f>IF('Données projet'!$A$36&gt;35,N12+M13-V12,IF(A13&lt;'Données projet'!$A$36,$K$205^A13,IF(A13='Données projet'!$A$36,'Données projet'!$B$36,N12+M13-V12)))</f>
        <v>12.853766432662937</v>
      </c>
      <c r="O13" s="13">
        <f>N13*VLOOKUP('Données projet'!$B$9,Paramètres!$A$1:$I$89,3,0)*VLOOKUP('Données projet'!$B$9,Paramètres!$A$1:$I$89,5,0)</f>
        <v>7.6865523267324365</v>
      </c>
      <c r="P13" s="13">
        <f t="shared" si="33"/>
        <v>2.7937304156871372</v>
      </c>
      <c r="Q13" s="20">
        <f t="shared" si="2"/>
        <v>18.25315910971409</v>
      </c>
      <c r="R13" s="59">
        <f t="shared" si="0"/>
        <v>287.14204799860295</v>
      </c>
      <c r="S13" s="59">
        <f ca="1">AVERAGE(OFFSET($R$3,0,0,'Données projet'!$E$9+1,1))-AVERAGE(OFFSET($H$3,0,0,'Données projet'!$E$9+1,1))</f>
        <v>355.09162485318728</v>
      </c>
      <c r="T13" s="59">
        <f t="shared" si="34"/>
        <v>320.06572891923685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2.5115384615384619</v>
      </c>
      <c r="AI13" s="13">
        <f>IF('Données projet'!$A$62&gt;35,AI12+AH13-AQ12,IF(A13&lt;'Données projet'!$A$62,$AF$205^A13,IF(A13='Données projet'!$A$62,'Données projet'!$B$62,AI12+AH13-AQ12)))</f>
        <v>4.2236413141513127</v>
      </c>
      <c r="AJ13" s="13">
        <f>AI13*VLOOKUP('Données projet'!$B$10,Paramètres!$A$1:$I$89,3,0)*VLOOKUP('Données projet'!$B$10,Paramètres!$A$1:$I$89,5,0)</f>
        <v>3.8215506610441077</v>
      </c>
      <c r="AK13" s="13">
        <f t="shared" si="35"/>
        <v>1.5066729602831042</v>
      </c>
      <c r="AL13" s="20">
        <f t="shared" si="4"/>
        <v>9.2799894738115594</v>
      </c>
      <c r="AM13" s="59">
        <f t="shared" si="5"/>
        <v>278.16887836270041</v>
      </c>
      <c r="AN13" s="59">
        <f ca="1">AVERAGE(OFFSET($AM$3,0,0,'Données projet'!$E$10+1,1))-AVERAGE(OFFSET($H$3,0,0,'Données projet'!$E$10+1,1))</f>
        <v>447.91110718952615</v>
      </c>
      <c r="AO13" s="59">
        <f t="shared" si="36"/>
        <v>188.87492758536894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2.5115384615384619</v>
      </c>
      <c r="BD13" s="12">
        <f>IF('Données projet'!$A$88&gt;35,BD12+BC13-BL12,IF(A13&lt;'Données projet'!$A$88,$BA$205^A13,IF(A13='Données projet'!$A$88,'Données projet'!$B$88,BD12+BC13-BL12)))</f>
        <v>4.2236413141513127</v>
      </c>
      <c r="BE13" s="13">
        <f>BD13*VLOOKUP('Données projet'!$B$11,Paramètres!$A$1:$I$89,3,0)*VLOOKUP('Données projet'!$B$11,Paramètres!$A$1:$I$89,5,0)</f>
        <v>4.2827722925494314</v>
      </c>
      <c r="BF13" s="13">
        <f t="shared" si="37"/>
        <v>1.6662657251361945</v>
      </c>
      <c r="BG13" s="20">
        <f t="shared" si="7"/>
        <v>10.361241214135799</v>
      </c>
      <c r="BH13" s="59">
        <f t="shared" si="8"/>
        <v>279.25013010302467</v>
      </c>
      <c r="BI13" s="59">
        <f ca="1">AVERAGE(OFFSET($BH$3,0,0,'Données projet'!$E$11+1,1))-AVERAGE(OFFSET($H$3,0,0,'Données projet'!$E$11+1,1))</f>
        <v>496.71433459306451</v>
      </c>
      <c r="BJ13" s="59">
        <f t="shared" si="38"/>
        <v>206.75063396134982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6.7360323886639675</v>
      </c>
      <c r="N14" s="13">
        <f>IF('Données projet'!$A$36&gt;35,N13+M14-V13,IF(A14&lt;'Données projet'!$A$36,$K$205^A14,IF(A14='Données projet'!$A$36,'Données projet'!$B$36,N13+M14-V13)))</f>
        <v>16.593325954642403</v>
      </c>
      <c r="O14" s="13">
        <f>N14*VLOOKUP('Données projet'!$B$9,Paramètres!$A$1:$I$89,3,0)*VLOOKUP('Données projet'!$B$9,Paramètres!$A$1:$I$89,5,0)</f>
        <v>9.9228089208761574</v>
      </c>
      <c r="P14" s="13">
        <f t="shared" si="33"/>
        <v>3.5008896561726774</v>
      </c>
      <c r="Q14" s="20">
        <f t="shared" si="2"/>
        <v>23.379608355026718</v>
      </c>
      <c r="R14" s="59">
        <f t="shared" si="0"/>
        <v>293.49071946613788</v>
      </c>
      <c r="S14" s="59">
        <f ca="1">AVERAGE(OFFSET($R$3,0,0,'Données projet'!$E$9+1,1))-AVERAGE(OFFSET($H$3,0,0,'Données projet'!$E$9+1,1))</f>
        <v>355.09162485318728</v>
      </c>
      <c r="T14" s="59">
        <f t="shared" si="34"/>
        <v>320.06572891923685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2.5115384615384619</v>
      </c>
      <c r="AI14" s="13">
        <f>IF('Données projet'!$A$62&gt;35,AI13+AH14-AQ13,IF(A14&lt;'Données projet'!$A$62,$AF$205^A14,IF(A14='Données projet'!$A$62,'Données projet'!$B$62,AI13+AH14-AQ13)))</f>
        <v>4.8781565351481309</v>
      </c>
      <c r="AJ14" s="13">
        <f>AI14*VLOOKUP('Données projet'!$B$10,Paramètres!$A$1:$I$89,3,0)*VLOOKUP('Données projet'!$B$10,Paramètres!$A$1:$I$89,5,0)</f>
        <v>4.413756033002028</v>
      </c>
      <c r="AK14" s="13">
        <f t="shared" si="35"/>
        <v>1.7112154793290431</v>
      </c>
      <c r="AL14" s="20">
        <f t="shared" si="4"/>
        <v>10.66765871730995</v>
      </c>
      <c r="AM14" s="59">
        <f t="shared" si="5"/>
        <v>280.7787698284211</v>
      </c>
      <c r="AN14" s="59">
        <f ca="1">AVERAGE(OFFSET($AM$3,0,0,'Données projet'!$E$10+1,1))-AVERAGE(OFFSET($H$3,0,0,'Données projet'!$E$10+1,1))</f>
        <v>447.91110718952615</v>
      </c>
      <c r="AO14" s="59">
        <f t="shared" si="36"/>
        <v>188.87492758536894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2.5115384615384619</v>
      </c>
      <c r="BD14" s="12">
        <f>IF('Données projet'!$A$88&gt;35,BD13+BC14-BL13,IF(A14&lt;'Données projet'!$A$88,$BA$205^A14,IF(A14='Données projet'!$A$88,'Données projet'!$B$88,BD13+BC14-BL13)))</f>
        <v>4.8781565351481309</v>
      </c>
      <c r="BE14" s="13">
        <f>BD14*VLOOKUP('Données projet'!$B$11,Paramètres!$A$1:$I$89,3,0)*VLOOKUP('Données projet'!$B$11,Paramètres!$A$1:$I$89,5,0)</f>
        <v>4.9464507266402054</v>
      </c>
      <c r="BF14" s="13">
        <f t="shared" si="37"/>
        <v>1.8924741975808219</v>
      </c>
      <c r="BG14" s="20">
        <f t="shared" si="7"/>
        <v>11.911127576351623</v>
      </c>
      <c r="BH14" s="59">
        <f t="shared" si="8"/>
        <v>282.02223868746279</v>
      </c>
      <c r="BI14" s="59">
        <f ca="1">AVERAGE(OFFSET($BH$3,0,0,'Données projet'!$E$11+1,1))-AVERAGE(OFFSET($H$3,0,0,'Données projet'!$E$11+1,1))</f>
        <v>496.71433459306451</v>
      </c>
      <c r="BJ14" s="59">
        <f t="shared" si="38"/>
        <v>206.75063396134982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6.7360323886639675</v>
      </c>
      <c r="N15" s="13">
        <f>IF('Données projet'!$A$36&gt;35,N14+M15-V14,IF(A15&lt;'Données projet'!$A$36,$K$205^A15,IF(A15='Données projet'!$A$36,'Données projet'!$B$36,N14+M15-V14)))</f>
        <v>21.420839384271193</v>
      </c>
      <c r="O15" s="13">
        <f>N15*VLOOKUP('Données projet'!$B$9,Paramètres!$A$1:$I$89,3,0)*VLOOKUP('Données projet'!$B$9,Paramètres!$A$1:$I$89,5,0)</f>
        <v>12.809661951794174</v>
      </c>
      <c r="P15" s="13">
        <f t="shared" si="33"/>
        <v>4.3870476248805641</v>
      </c>
      <c r="Q15" s="20">
        <f t="shared" si="2"/>
        <v>29.950935846041833</v>
      </c>
      <c r="R15" s="59">
        <f t="shared" si="0"/>
        <v>301.28426917937514</v>
      </c>
      <c r="S15" s="59">
        <f ca="1">AVERAGE(OFFSET($R$3,0,0,'Données projet'!$E$9+1,1))-AVERAGE(OFFSET($H$3,0,0,'Données projet'!$E$9+1,1))</f>
        <v>355.09162485318728</v>
      </c>
      <c r="T15" s="59">
        <f t="shared" si="34"/>
        <v>320.06572891923685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2.5115384615384619</v>
      </c>
      <c r="AI15" s="13">
        <f>IF('Données projet'!$A$62&gt;35,AI14+AH15-AQ14,IF(A15&lt;'Données projet'!$A$62,$AF$205^A15,IF(A15='Données projet'!$A$62,'Données projet'!$B$62,AI14+AH15-AQ14)))</f>
        <v>5.6340984973507391</v>
      </c>
      <c r="AJ15" s="13">
        <f>AI15*VLOOKUP('Données projet'!$B$10,Paramètres!$A$1:$I$89,3,0)*VLOOKUP('Données projet'!$B$10,Paramètres!$A$1:$I$89,5,0)</f>
        <v>5.0977323204029483</v>
      </c>
      <c r="AK15" s="13">
        <f t="shared" si="35"/>
        <v>1.9435262289071051</v>
      </c>
      <c r="AL15" s="20">
        <f t="shared" si="4"/>
        <v>12.26352530671501</v>
      </c>
      <c r="AM15" s="59">
        <f t="shared" si="5"/>
        <v>283.59685864004831</v>
      </c>
      <c r="AN15" s="59">
        <f ca="1">AVERAGE(OFFSET($AM$3,0,0,'Données projet'!$E$10+1,1))-AVERAGE(OFFSET($H$3,0,0,'Données projet'!$E$10+1,1))</f>
        <v>447.91110718952615</v>
      </c>
      <c r="AO15" s="59">
        <f t="shared" si="36"/>
        <v>188.87492758536894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2.5115384615384619</v>
      </c>
      <c r="BD15" s="12">
        <f>IF('Données projet'!$A$88&gt;35,BD14+BC15-BL14,IF(A15&lt;'Données projet'!$A$88,$BA$205^A15,IF(A15='Données projet'!$A$88,'Données projet'!$B$88,BD14+BC15-BL14)))</f>
        <v>5.6340984973507391</v>
      </c>
      <c r="BE15" s="13">
        <f>BD15*VLOOKUP('Données projet'!$B$11,Paramètres!$A$1:$I$89,3,0)*VLOOKUP('Données projet'!$B$11,Paramètres!$A$1:$I$89,5,0)</f>
        <v>5.7129758763136502</v>
      </c>
      <c r="BF15" s="13">
        <f t="shared" si="37"/>
        <v>2.1493922214696219</v>
      </c>
      <c r="BG15" s="20">
        <f t="shared" si="7"/>
        <v>13.693624436972533</v>
      </c>
      <c r="BH15" s="59">
        <f t="shared" si="8"/>
        <v>285.02695777030584</v>
      </c>
      <c r="BI15" s="59">
        <f ca="1">AVERAGE(OFFSET($BH$3,0,0,'Données projet'!$E$11+1,1))-AVERAGE(OFFSET($H$3,0,0,'Données projet'!$E$11+1,1))</f>
        <v>496.71433459306451</v>
      </c>
      <c r="BJ15" s="59">
        <f t="shared" si="38"/>
        <v>206.75063396134982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6.7360323886639675</v>
      </c>
      <c r="N16" s="13">
        <f>IF('Données projet'!$A$36&gt;35,N15+M16-V15,IF(A16&lt;'Données projet'!$A$36,$K$205^A16,IF(A16='Données projet'!$A$36,'Données projet'!$B$36,N15+M16-V15)))</f>
        <v>27.652826273708452</v>
      </c>
      <c r="O16" s="13">
        <f>N16*VLOOKUP('Données projet'!$B$9,Paramètres!$A$1:$I$89,3,0)*VLOOKUP('Données projet'!$B$9,Paramètres!$A$1:$I$89,5,0)</f>
        <v>16.536390111677655</v>
      </c>
      <c r="P16" s="13">
        <f t="shared" si="33"/>
        <v>5.4975131332790896</v>
      </c>
      <c r="Q16" s="20">
        <f t="shared" si="2"/>
        <v>38.375714818299656</v>
      </c>
      <c r="R16" s="59">
        <f t="shared" si="0"/>
        <v>310.93127037385523</v>
      </c>
      <c r="S16" s="59">
        <f ca="1">AVERAGE(OFFSET($R$3,0,0,'Données projet'!$E$9+1,1))-AVERAGE(OFFSET($H$3,0,0,'Données projet'!$E$9+1,1))</f>
        <v>355.09162485318728</v>
      </c>
      <c r="T16" s="59">
        <f t="shared" si="34"/>
        <v>320.06572891923685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2.5115384615384619</v>
      </c>
      <c r="AI16" s="13">
        <f>IF('Données projet'!$A$62&gt;35,AI15+AH16-AQ15,IF(A16&lt;'Données projet'!$A$62,$AF$205^A16,IF(A16='Données projet'!$A$62,'Données projet'!$B$62,AI15+AH16-AQ15)))</f>
        <v>6.5071847631650357</v>
      </c>
      <c r="AJ16" s="13">
        <f>AI16*VLOOKUP('Données projet'!$B$10,Paramètres!$A$1:$I$89,3,0)*VLOOKUP('Données projet'!$B$10,Paramètres!$A$1:$I$89,5,0)</f>
        <v>5.8877007737117237</v>
      </c>
      <c r="AK16" s="13">
        <f t="shared" si="35"/>
        <v>2.2073749612941369</v>
      </c>
      <c r="AL16" s="20">
        <f t="shared" si="4"/>
        <v>14.098923571801871</v>
      </c>
      <c r="AM16" s="59">
        <f t="shared" si="5"/>
        <v>286.65447912735743</v>
      </c>
      <c r="AN16" s="59">
        <f ca="1">AVERAGE(OFFSET($AM$3,0,0,'Données projet'!$E$10+1,1))-AVERAGE(OFFSET($H$3,0,0,'Données projet'!$E$10+1,1))</f>
        <v>447.91110718952615</v>
      </c>
      <c r="AO16" s="59">
        <f t="shared" si="36"/>
        <v>188.87492758536894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2.5115384615384619</v>
      </c>
      <c r="BD16" s="12">
        <f>IF('Données projet'!$A$88&gt;35,BD15+BC16-BL15,IF(A16&lt;'Données projet'!$A$88,$BA$205^A16,IF(A16='Données projet'!$A$88,'Données projet'!$B$88,BD15+BC16-BL15)))</f>
        <v>6.5071847631650357</v>
      </c>
      <c r="BE16" s="13">
        <f>BD16*VLOOKUP('Données projet'!$B$11,Paramètres!$A$1:$I$89,3,0)*VLOOKUP('Données projet'!$B$11,Paramètres!$A$1:$I$89,5,0)</f>
        <v>6.5982853498493474</v>
      </c>
      <c r="BF16" s="13">
        <f t="shared" si="37"/>
        <v>2.4411888561650072</v>
      </c>
      <c r="BG16" s="20">
        <f t="shared" si="7"/>
        <v>15.743750908808332</v>
      </c>
      <c r="BH16" s="59">
        <f t="shared" si="8"/>
        <v>288.29930646436389</v>
      </c>
      <c r="BI16" s="59">
        <f ca="1">AVERAGE(OFFSET($BH$3,0,0,'Données projet'!$E$11+1,1))-AVERAGE(OFFSET($H$3,0,0,'Données projet'!$E$11+1,1))</f>
        <v>496.71433459306451</v>
      </c>
      <c r="BJ16" s="59">
        <f t="shared" si="38"/>
        <v>206.75063396134982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6.7360323886639675</v>
      </c>
      <c r="N17" s="13">
        <f>IF('Données projet'!$A$36&gt;35,N16+M17-V16,IF(A17&lt;'Données projet'!$A$36,$K$205^A17,IF(A17='Données projet'!$A$36,'Données projet'!$B$36,N16+M17-V16)))</f>
        <v>35.697891534791381</v>
      </c>
      <c r="O17" s="13">
        <f>N17*VLOOKUP('Données projet'!$B$9,Paramètres!$A$1:$I$89,3,0)*VLOOKUP('Données projet'!$B$9,Paramètres!$A$1:$I$89,5,0)</f>
        <v>21.347339137805246</v>
      </c>
      <c r="P17" s="13">
        <f t="shared" si="33"/>
        <v>6.8890637245814856</v>
      </c>
      <c r="Q17" s="20">
        <f t="shared" si="2"/>
        <v>49.178401651990221</v>
      </c>
      <c r="R17" s="59">
        <f t="shared" si="0"/>
        <v>322.95617942976799</v>
      </c>
      <c r="S17" s="59">
        <f ca="1">AVERAGE(OFFSET($R$3,0,0,'Données projet'!$E$9+1,1))-AVERAGE(OFFSET($H$3,0,0,'Données projet'!$E$9+1,1))</f>
        <v>355.09162485318728</v>
      </c>
      <c r="T17" s="59">
        <f t="shared" si="34"/>
        <v>320.06572891923685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2.5115384615384619</v>
      </c>
      <c r="AI17" s="13">
        <f>IF('Données projet'!$A$62&gt;35,AI16+AH17-AQ16,IF(A17&lt;'Données projet'!$A$62,$AF$205^A17,IF(A17='Données projet'!$A$62,'Données projet'!$B$62,AI16+AH17-AQ16)))</f>
        <v>7.5155685620118104</v>
      </c>
      <c r="AJ17" s="13">
        <f>AI17*VLOOKUP('Données projet'!$B$10,Paramètres!$A$1:$I$89,3,0)*VLOOKUP('Données projet'!$B$10,Paramètres!$A$1:$I$89,5,0)</f>
        <v>6.8000864349082857</v>
      </c>
      <c r="AK17" s="13">
        <f t="shared" si="35"/>
        <v>2.5070432018240512</v>
      </c>
      <c r="AL17" s="20">
        <f t="shared" si="4"/>
        <v>16.209917450642156</v>
      </c>
      <c r="AM17" s="59">
        <f t="shared" si="5"/>
        <v>289.98769522841991</v>
      </c>
      <c r="AN17" s="59">
        <f ca="1">AVERAGE(OFFSET($AM$3,0,0,'Données projet'!$E$10+1,1))-AVERAGE(OFFSET($H$3,0,0,'Données projet'!$E$10+1,1))</f>
        <v>447.91110718952615</v>
      </c>
      <c r="AO17" s="59">
        <f t="shared" si="36"/>
        <v>188.87492758536894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2.5115384615384619</v>
      </c>
      <c r="BD17" s="12">
        <f>IF('Données projet'!$A$88&gt;35,BD16+BC17-BL16,IF(A17&lt;'Données projet'!$A$88,$BA$205^A17,IF(A17='Données projet'!$A$88,'Données projet'!$B$88,BD16+BC17-BL16)))</f>
        <v>7.5155685620118104</v>
      </c>
      <c r="BE17" s="13">
        <f>BD17*VLOOKUP('Données projet'!$B$11,Paramètres!$A$1:$I$89,3,0)*VLOOKUP('Données projet'!$B$11,Paramètres!$A$1:$I$89,5,0)</f>
        <v>7.6207865218799755</v>
      </c>
      <c r="BF17" s="13">
        <f t="shared" si="37"/>
        <v>2.7725991431147636</v>
      </c>
      <c r="BG17" s="20">
        <f t="shared" si="7"/>
        <v>18.101813366532504</v>
      </c>
      <c r="BH17" s="59">
        <f t="shared" si="8"/>
        <v>291.87959114431027</v>
      </c>
      <c r="BI17" s="59">
        <f ca="1">AVERAGE(OFFSET($BH$3,0,0,'Données projet'!$E$11+1,1))-AVERAGE(OFFSET($H$3,0,0,'Données projet'!$E$11+1,1))</f>
        <v>496.71433459306451</v>
      </c>
      <c r="BJ17" s="59">
        <f t="shared" si="38"/>
        <v>206.75063396134982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6.7360323886639675</v>
      </c>
      <c r="N18" s="13">
        <f>IF('Données projet'!$A$36&gt;35,N17+M18-V17,IF(A18&lt;'Données projet'!$A$36,$K$205^A18,IF(A18='Données projet'!$A$36,'Données projet'!$B$36,N17+M18-V17)))</f>
        <v>46.083515927677063</v>
      </c>
      <c r="O18" s="13">
        <f>N18*VLOOKUP('Données projet'!$B$9,Paramètres!$A$1:$I$89,3,0)*VLOOKUP('Données projet'!$B$9,Paramètres!$A$1:$I$89,5,0)</f>
        <v>27.557942524750885</v>
      </c>
      <c r="P18" s="13">
        <f t="shared" si="33"/>
        <v>8.6328486809883493</v>
      </c>
      <c r="Q18" s="20">
        <f t="shared" si="2"/>
        <v>63.032294683329155</v>
      </c>
      <c r="R18" s="59">
        <f t="shared" si="0"/>
        <v>338.03229468332916</v>
      </c>
      <c r="S18" s="59">
        <f ca="1">AVERAGE(OFFSET($R$3,0,0,'Données projet'!$E$9+1,1))-AVERAGE(OFFSET($H$3,0,0,'Données projet'!$E$9+1,1))</f>
        <v>355.09162485318728</v>
      </c>
      <c r="T18" s="59">
        <f t="shared" si="34"/>
        <v>320.06572891923685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2.5115384615384619</v>
      </c>
      <c r="AI18" s="13">
        <f>IF('Données projet'!$A$62&gt;35,AI17+AH18-AQ17,IF(A18&lt;'Données projet'!$A$62,$AF$205^A18,IF(A18='Données projet'!$A$62,'Données projet'!$B$62,AI17+AH18-AQ17)))</f>
        <v>8.6802162326841756</v>
      </c>
      <c r="AJ18" s="13">
        <f>AI18*VLOOKUP('Données projet'!$B$10,Paramètres!$A$1:$I$89,3,0)*VLOOKUP('Données projet'!$B$10,Paramètres!$A$1:$I$89,5,0)</f>
        <v>7.8538596473326416</v>
      </c>
      <c r="AK18" s="13">
        <f t="shared" si="35"/>
        <v>2.8473937260424811</v>
      </c>
      <c r="AL18" s="20">
        <f t="shared" si="4"/>
        <v>18.638016291961673</v>
      </c>
      <c r="AM18" s="59">
        <f t="shared" si="5"/>
        <v>293.63801629196166</v>
      </c>
      <c r="AN18" s="59">
        <f ca="1">AVERAGE(OFFSET($AM$3,0,0,'Données projet'!$E$10+1,1))-AVERAGE(OFFSET($H$3,0,0,'Données projet'!$E$10+1,1))</f>
        <v>447.91110718952615</v>
      </c>
      <c r="AO18" s="59">
        <f t="shared" si="36"/>
        <v>188.87492758536894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2.5115384615384619</v>
      </c>
      <c r="BD18" s="12">
        <f>IF('Données projet'!$A$88&gt;35,BD17+BC18-BL17,IF(A18&lt;'Données projet'!$A$88,$BA$205^A18,IF(A18='Données projet'!$A$88,'Données projet'!$B$88,BD17+BC18-BL17)))</f>
        <v>8.6802162326841756</v>
      </c>
      <c r="BE18" s="13">
        <f>BD18*VLOOKUP('Données projet'!$B$11,Paramètres!$A$1:$I$89,3,0)*VLOOKUP('Données projet'!$B$11,Paramètres!$A$1:$I$89,5,0)</f>
        <v>8.8017392599417548</v>
      </c>
      <c r="BF18" s="13">
        <f t="shared" si="37"/>
        <v>3.1490009423019911</v>
      </c>
      <c r="BG18" s="20">
        <f t="shared" si="7"/>
        <v>20.814205852241191</v>
      </c>
      <c r="BH18" s="59">
        <f t="shared" si="8"/>
        <v>295.81420585224117</v>
      </c>
      <c r="BI18" s="59">
        <f ca="1">AVERAGE(OFFSET($BH$3,0,0,'Données projet'!$E$11+1,1))-AVERAGE(OFFSET($H$3,0,0,'Données projet'!$E$11+1,1))</f>
        <v>496.71433459306451</v>
      </c>
      <c r="BJ18" s="59">
        <f t="shared" si="38"/>
        <v>206.75063396134982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6.7360323886639675</v>
      </c>
      <c r="N19" s="13">
        <f>IF('Données projet'!$A$36&gt;35,N18+M19-V18,IF(A19&lt;'Données projet'!$A$36,$K$205^A19,IF(A19='Données projet'!$A$36,'Données projet'!$B$36,N18+M19-V18)))</f>
        <v>59.490640733968959</v>
      </c>
      <c r="O19" s="13">
        <f>N19*VLOOKUP('Données projet'!$B$9,Paramètres!$A$1:$I$89,3,0)*VLOOKUP('Données projet'!$B$9,Paramètres!$A$1:$I$89,5,0)</f>
        <v>35.575403158913439</v>
      </c>
      <c r="P19" s="13">
        <f t="shared" si="33"/>
        <v>10.818026850719807</v>
      </c>
      <c r="Q19" s="20">
        <f t="shared" si="2"/>
        <v>80.801890600111236</v>
      </c>
      <c r="R19" s="59">
        <f t="shared" si="0"/>
        <v>357.02411282233345</v>
      </c>
      <c r="S19" s="59">
        <f ca="1">AVERAGE(OFFSET($R$3,0,0,'Données projet'!$E$9+1,1))-AVERAGE(OFFSET($H$3,0,0,'Données projet'!$E$9+1,1))</f>
        <v>355.09162485318728</v>
      </c>
      <c r="T19" s="59">
        <f t="shared" si="34"/>
        <v>320.06572891923685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2.5115384615384619</v>
      </c>
      <c r="AI19" s="13">
        <f>IF('Données projet'!$A$62&gt;35,AI18+AH19-AQ18,IF(A19&lt;'Données projet'!$A$62,$AF$205^A19,IF(A19='Données projet'!$A$62,'Données projet'!$B$62,AI18+AH19-AQ18)))</f>
        <v>10.025343155938796</v>
      </c>
      <c r="AJ19" s="13">
        <f>AI19*VLOOKUP('Données projet'!$B$10,Paramètres!$A$1:$I$89,3,0)*VLOOKUP('Données projet'!$B$10,Paramètres!$A$1:$I$89,5,0)</f>
        <v>9.0709304874934222</v>
      </c>
      <c r="AK19" s="13">
        <f t="shared" si="35"/>
        <v>3.2339494689230706</v>
      </c>
      <c r="AL19" s="20">
        <f t="shared" si="4"/>
        <v>21.430999257425388</v>
      </c>
      <c r="AM19" s="59">
        <f t="shared" si="5"/>
        <v>297.65322147964764</v>
      </c>
      <c r="AN19" s="59">
        <f ca="1">AVERAGE(OFFSET($AM$3,0,0,'Données projet'!$E$10+1,1))-AVERAGE(OFFSET($H$3,0,0,'Données projet'!$E$10+1,1))</f>
        <v>447.91110718952615</v>
      </c>
      <c r="AO19" s="59">
        <f t="shared" si="36"/>
        <v>188.87492758536894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2.5115384615384619</v>
      </c>
      <c r="BD19" s="12">
        <f>IF('Données projet'!$A$88&gt;35,BD18+BC19-BL18,IF(A19&lt;'Données projet'!$A$88,$BA$205^A19,IF(A19='Données projet'!$A$88,'Données projet'!$B$88,BD18+BC19-BL18)))</f>
        <v>10.025343155938796</v>
      </c>
      <c r="BE19" s="13">
        <f>BD19*VLOOKUP('Données projet'!$B$11,Paramètres!$A$1:$I$89,3,0)*VLOOKUP('Données projet'!$B$11,Paramètres!$A$1:$I$89,5,0)</f>
        <v>10.165697960121939</v>
      </c>
      <c r="BF19" s="13">
        <f t="shared" si="37"/>
        <v>3.5765021998379716</v>
      </c>
      <c r="BG19" s="20">
        <f t="shared" si="7"/>
        <v>23.934331945263509</v>
      </c>
      <c r="BH19" s="59">
        <f t="shared" si="8"/>
        <v>300.15655416748575</v>
      </c>
      <c r="BI19" s="59">
        <f ca="1">AVERAGE(OFFSET($BH$3,0,0,'Données projet'!$E$11+1,1))-AVERAGE(OFFSET($H$3,0,0,'Données projet'!$E$11+1,1))</f>
        <v>496.71433459306451</v>
      </c>
      <c r="BJ19" s="59">
        <f t="shared" si="38"/>
        <v>206.75063396134982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6.7360323886639675</v>
      </c>
      <c r="N20" s="13">
        <f>IF('Données projet'!$A$36&gt;35,N19+M20-V19,IF(A20&lt;'Données projet'!$A$36,$K$205^A20,IF(A20='Données projet'!$A$36,'Données projet'!$B$36,N19+M20-V19)))</f>
        <v>76.798314184456885</v>
      </c>
      <c r="O20" s="13">
        <f>N20*VLOOKUP('Données projet'!$B$9,Paramètres!$A$1:$I$89,3,0)*VLOOKUP('Données projet'!$B$9,Paramètres!$A$1:$I$89,5,0)</f>
        <v>45.92539188230522</v>
      </c>
      <c r="P20" s="13">
        <f t="shared" si="33"/>
        <v>13.556325295104831</v>
      </c>
      <c r="Q20" s="20">
        <f t="shared" si="2"/>
        <v>103.59732408398916</v>
      </c>
      <c r="R20" s="59">
        <f t="shared" si="0"/>
        <v>381.04176852843364</v>
      </c>
      <c r="S20" s="59">
        <f ca="1">AVERAGE(OFFSET($R$3,0,0,'Données projet'!$E$9+1,1))-AVERAGE(OFFSET($H$3,0,0,'Données projet'!$E$9+1,1))</f>
        <v>355.09162485318728</v>
      </c>
      <c r="T20" s="59">
        <f t="shared" si="34"/>
        <v>320.06572891923685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2.5115384615384619</v>
      </c>
      <c r="AI20" s="13">
        <f>IF('Données projet'!$A$62&gt;35,AI19+AH20-AQ19,IF(A20&lt;'Données projet'!$A$62,$AF$205^A20,IF(A20='Données projet'!$A$62,'Données projet'!$B$62,AI19+AH20-AQ19)))</f>
        <v>11.578917241241234</v>
      </c>
      <c r="AJ20" s="13">
        <f>AI20*VLOOKUP('Données projet'!$B$10,Paramètres!$A$1:$I$89,3,0)*VLOOKUP('Données projet'!$B$10,Paramètres!$A$1:$I$89,5,0)</f>
        <v>10.476604319875069</v>
      </c>
      <c r="AK20" s="13">
        <f t="shared" si="35"/>
        <v>3.6729831466207905</v>
      </c>
      <c r="AL20" s="20">
        <f t="shared" si="4"/>
        <v>24.643864837480283</v>
      </c>
      <c r="AM20" s="59">
        <f t="shared" si="5"/>
        <v>302.08830928192475</v>
      </c>
      <c r="AN20" s="59">
        <f ca="1">AVERAGE(OFFSET($AM$3,0,0,'Données projet'!$E$10+1,1))-AVERAGE(OFFSET($H$3,0,0,'Données projet'!$E$10+1,1))</f>
        <v>447.91110718952615</v>
      </c>
      <c r="AO20" s="59">
        <f t="shared" si="36"/>
        <v>188.87492758536894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2.5115384615384619</v>
      </c>
      <c r="BD20" s="12">
        <f>IF('Données projet'!$A$88&gt;35,BD19+BC20-BL19,IF(A20&lt;'Données projet'!$A$88,$BA$205^A20,IF(A20='Données projet'!$A$88,'Données projet'!$B$88,BD19+BC20-BL19)))</f>
        <v>11.578917241241234</v>
      </c>
      <c r="BE20" s="13">
        <f>BD20*VLOOKUP('Données projet'!$B$11,Paramètres!$A$1:$I$89,3,0)*VLOOKUP('Données projet'!$B$11,Paramètres!$A$1:$I$89,5,0)</f>
        <v>11.741022082618612</v>
      </c>
      <c r="BF20" s="13">
        <f t="shared" si="37"/>
        <v>4.0620400628064175</v>
      </c>
      <c r="BG20" s="20">
        <f t="shared" si="7"/>
        <v>27.523666569948592</v>
      </c>
      <c r="BH20" s="59">
        <f t="shared" si="8"/>
        <v>304.96811101439306</v>
      </c>
      <c r="BI20" s="59">
        <f ca="1">AVERAGE(OFFSET($BH$3,0,0,'Données projet'!$E$11+1,1))-AVERAGE(OFFSET($H$3,0,0,'Données projet'!$E$11+1,1))</f>
        <v>496.71433459306451</v>
      </c>
      <c r="BJ20" s="59">
        <f t="shared" si="38"/>
        <v>206.75063396134982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6.7360323886639675</v>
      </c>
      <c r="N21" s="13">
        <f>IF('Données projet'!$A$36&gt;35,N20+M21-V20,IF(A21&lt;'Données projet'!$A$36,$K$205^A21,IF(A21='Données projet'!$A$36,'Données projet'!$B$36,N20+M21-V20)))</f>
        <v>99.141326918115112</v>
      </c>
      <c r="O21" s="13">
        <f>N21*VLOOKUP('Données projet'!$B$9,Paramètres!$A$1:$I$89,3,0)*VLOOKUP('Données projet'!$B$9,Paramètres!$A$1:$I$89,5,0)</f>
        <v>59.286513497032843</v>
      </c>
      <c r="P21" s="13">
        <f t="shared" si="33"/>
        <v>16.987751837061783</v>
      </c>
      <c r="Q21" s="20">
        <f t="shared" si="2"/>
        <v>132.84434545688146</v>
      </c>
      <c r="R21" s="59">
        <f t="shared" si="0"/>
        <v>411.51101212354814</v>
      </c>
      <c r="S21" s="59">
        <f ca="1">AVERAGE(OFFSET($R$3,0,0,'Données projet'!$E$9+1,1))-AVERAGE(OFFSET($H$3,0,0,'Données projet'!$E$9+1,1))</f>
        <v>355.09162485318728</v>
      </c>
      <c r="T21" s="59">
        <f t="shared" si="34"/>
        <v>320.06572891923685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2.5115384615384619</v>
      </c>
      <c r="AI21" s="13">
        <f>IF('Données projet'!$A$62&gt;35,AI20+AH21-AQ20,IF(A21&lt;'Données projet'!$A$62,$AF$205^A21,IF(A21='Données projet'!$A$62,'Données projet'!$B$62,AI20+AH21-AQ20)))</f>
        <v>13.373240436173255</v>
      </c>
      <c r="AJ21" s="13">
        <f>AI21*VLOOKUP('Données projet'!$B$10,Paramètres!$A$1:$I$89,3,0)*VLOOKUP('Données projet'!$B$10,Paramètres!$A$1:$I$89,5,0)</f>
        <v>12.10010794664956</v>
      </c>
      <c r="AK21" s="13">
        <f t="shared" si="35"/>
        <v>4.1716190450721236</v>
      </c>
      <c r="AL21" s="20">
        <f t="shared" si="4"/>
        <v>28.339924510581934</v>
      </c>
      <c r="AM21" s="59">
        <f t="shared" si="5"/>
        <v>307.00659117724859</v>
      </c>
      <c r="AN21" s="59">
        <f ca="1">AVERAGE(OFFSET($AM$3,0,0,'Données projet'!$E$10+1,1))-AVERAGE(OFFSET($H$3,0,0,'Données projet'!$E$10+1,1))</f>
        <v>447.91110718952615</v>
      </c>
      <c r="AO21" s="59">
        <f t="shared" si="36"/>
        <v>188.87492758536894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2.5115384615384619</v>
      </c>
      <c r="BD21" s="12">
        <f>IF('Données projet'!$A$88&gt;35,BD20+BC21-BL20,IF(A21&lt;'Données projet'!$A$88,$BA$205^A21,IF(A21='Données projet'!$A$88,'Données projet'!$B$88,BD20+BC21-BL20)))</f>
        <v>13.373240436173255</v>
      </c>
      <c r="BE21" s="13">
        <f>BD21*VLOOKUP('Données projet'!$B$11,Paramètres!$A$1:$I$89,3,0)*VLOOKUP('Données projet'!$B$11,Paramètres!$A$1:$I$89,5,0)</f>
        <v>13.560465802279682</v>
      </c>
      <c r="BF21" s="13">
        <f t="shared" si="37"/>
        <v>4.6134934497151674</v>
      </c>
      <c r="BG21" s="20">
        <f t="shared" si="7"/>
        <v>31.652979030557692</v>
      </c>
      <c r="BH21" s="59">
        <f t="shared" si="8"/>
        <v>310.31964569722436</v>
      </c>
      <c r="BI21" s="59">
        <f ca="1">AVERAGE(OFFSET($BH$3,0,0,'Données projet'!$E$11+1,1))-AVERAGE(OFFSET($H$3,0,0,'Données projet'!$E$11+1,1))</f>
        <v>496.71433459306451</v>
      </c>
      <c r="BJ21" s="59">
        <f t="shared" si="38"/>
        <v>206.75063396134982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127.98461538461538</v>
      </c>
      <c r="L22" s="12">
        <f>VLOOKUP(A22,'Données projet'!$A$35:$I$55,9,0)</f>
        <v>6.7360323886639675</v>
      </c>
      <c r="M22" s="12">
        <f t="array" ref="M22">INDEX(L:L,MIN(IF(ISNUMBER(L22:L218),ROW(L22:L218),"")))</f>
        <v>6.7360323886639675</v>
      </c>
      <c r="N22" s="13">
        <f>IF('Données projet'!$A$36&gt;35,N21+M22-V21,IF(A22&lt;'Données projet'!$A$36,$K$205^A22,IF(A22='Données projet'!$A$36,'Données projet'!$B$36,N21+M22-V21)))</f>
        <v>127.98461538461538</v>
      </c>
      <c r="O22" s="13">
        <f>N22*VLOOKUP('Données projet'!$B$9,Paramètres!$A$1:$I$89,3,0)*VLOOKUP('Données projet'!$B$9,Paramètres!$A$1:$I$89,5,0)</f>
        <v>76.534800000000004</v>
      </c>
      <c r="P22" s="13">
        <f t="shared" si="33"/>
        <v>21.287753590702248</v>
      </c>
      <c r="Q22" s="20">
        <f t="shared" si="2"/>
        <v>170.37428083713976</v>
      </c>
      <c r="R22" s="59">
        <f t="shared" si="0"/>
        <v>450.26316972602865</v>
      </c>
      <c r="S22" s="59">
        <f ca="1">AVERAGE(OFFSET($R$3,0,0,'Données projet'!$E$9+1,1))-AVERAGE(OFFSET($H$3,0,0,'Données projet'!$E$9+1,1))</f>
        <v>355.09162485318728</v>
      </c>
      <c r="T22" s="59">
        <f t="shared" si="34"/>
        <v>320.06572891923685</v>
      </c>
      <c r="U22" s="15">
        <f>IF(ISNA(VLOOKUP(A22,'Données projet'!$A$35:$I$55,3,0)),0,VLOOKUP(A22,'Données projet'!$A$35:$I$55,3,0))</f>
        <v>1</v>
      </c>
      <c r="V22" s="15">
        <f>IF(ISNA(VLOOKUP(A22,'Données projet'!$A$35:$I$55,4,0)),0,VLOOKUP(A22,'Données projet'!$A$35:$I$55,4,0))</f>
        <v>46.53846153846154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9.2667777110813798</v>
      </c>
      <c r="AB22" s="21">
        <f>EXP(-LN(2)/2)*AB21+(1-EXP(-LN(2)/2))/(LN(2)/2)*V22*Y22*VLOOKUP('Données projet'!$B$9,Paramètres!$A$1:$I$89,3,0)*0.475*44/12</f>
        <v>13.864410929671079</v>
      </c>
      <c r="AC22" s="22">
        <f t="shared" si="3"/>
        <v>23.131188640752459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2.5115384615384619</v>
      </c>
      <c r="AI22" s="13">
        <f>IF('Données projet'!$A$62&gt;35,AI21+AH22-AQ21,IF(A22&lt;'Données projet'!$A$62,$AF$205^A22,IF(A22='Données projet'!$A$62,'Données projet'!$B$62,AI21+AH22-AQ21)))</f>
        <v>15.445620349258824</v>
      </c>
      <c r="AJ22" s="13">
        <f>AI22*VLOOKUP('Données projet'!$B$10,Paramètres!$A$1:$I$89,3,0)*VLOOKUP('Données projet'!$B$10,Paramètres!$A$1:$I$89,5,0)</f>
        <v>13.975197292009385</v>
      </c>
      <c r="AK22" s="13">
        <f t="shared" si="35"/>
        <v>4.7379486271857729</v>
      </c>
      <c r="AL22" s="20">
        <f t="shared" si="4"/>
        <v>32.592062475931563</v>
      </c>
      <c r="AM22" s="59">
        <f t="shared" si="5"/>
        <v>312.48095136482044</v>
      </c>
      <c r="AN22" s="59">
        <f ca="1">AVERAGE(OFFSET($AM$3,0,0,'Données projet'!$E$10+1,1))-AVERAGE(OFFSET($H$3,0,0,'Données projet'!$E$10+1,1))</f>
        <v>447.91110718952615</v>
      </c>
      <c r="AO22" s="59">
        <f t="shared" si="36"/>
        <v>188.87492758536894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2.5115384615384619</v>
      </c>
      <c r="BD22" s="12">
        <f>IF('Données projet'!$A$88&gt;35,BD21+BC22-BL21,IF(A22&lt;'Données projet'!$A$88,$BA$205^A22,IF(A22='Données projet'!$A$88,'Données projet'!$B$88,BD21+BC22-BL21)))</f>
        <v>15.445620349258824</v>
      </c>
      <c r="BE22" s="13">
        <f>BD22*VLOOKUP('Données projet'!$B$11,Paramètres!$A$1:$I$89,3,0)*VLOOKUP('Données projet'!$B$11,Paramètres!$A$1:$I$89,5,0)</f>
        <v>15.661859034148449</v>
      </c>
      <c r="BF22" s="13">
        <f t="shared" si="37"/>
        <v>5.239810903258217</v>
      </c>
      <c r="BG22" s="20">
        <f t="shared" si="7"/>
        <v>36.403741807649943</v>
      </c>
      <c r="BH22" s="59">
        <f t="shared" si="8"/>
        <v>316.29263069653882</v>
      </c>
      <c r="BI22" s="59">
        <f ca="1">AVERAGE(OFFSET($BH$3,0,0,'Données projet'!$E$11+1,1))-AVERAGE(OFFSET($H$3,0,0,'Données projet'!$E$11+1,1))</f>
        <v>496.71433459306451</v>
      </c>
      <c r="BJ22" s="59">
        <f t="shared" si="38"/>
        <v>206.75063396134982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15.7</v>
      </c>
      <c r="N23" s="13">
        <f>IF('Données projet'!$A$36&gt;35,N22+M23-V22,IF(A23&lt;'Données projet'!$A$36,$K$205^A23,IF(A23='Données projet'!$A$36,'Données projet'!$B$36,N22+M23-V22)))</f>
        <v>97.146153846153823</v>
      </c>
      <c r="O23" s="13">
        <f>N23*VLOOKUP('Données projet'!$B$9,Paramètres!$A$1:$I$89,3,0)*VLOOKUP('Données projet'!$B$9,Paramètres!$A$1:$I$89,5,0)</f>
        <v>58.093399999999988</v>
      </c>
      <c r="P23" s="13">
        <f t="shared" si="33"/>
        <v>16.68531848887627</v>
      </c>
      <c r="Q23" s="20">
        <f t="shared" si="2"/>
        <v>130.23960136812613</v>
      </c>
      <c r="R23" s="59">
        <f t="shared" si="0"/>
        <v>411.35071247923725</v>
      </c>
      <c r="S23" s="59">
        <f ca="1">AVERAGE(OFFSET($R$3,0,0,'Données projet'!$E$9+1,1))-AVERAGE(OFFSET($H$3,0,0,'Données projet'!$E$9+1,1))</f>
        <v>355.09162485318728</v>
      </c>
      <c r="T23" s="59">
        <f t="shared" si="34"/>
        <v>320.06572891923685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9.0133771872531998</v>
      </c>
      <c r="AB23" s="21">
        <f>EXP(-LN(2)/2)*AB22+(1-EXP(-LN(2)/2))/(LN(2)/2)*V23*Y23*VLOOKUP('Données projet'!$B$9,Paramètres!$A$1:$I$89,3,0)*0.475*44/12</f>
        <v>9.8036189855273062</v>
      </c>
      <c r="AC23" s="22">
        <f t="shared" si="3"/>
        <v>18.816996172780506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2.5115384615384619</v>
      </c>
      <c r="AI23" s="13">
        <f>IF('Données projet'!$A$62&gt;35,AI22+AH23-AQ22,IF(A23&lt;'Données projet'!$A$62,$AF$205^A23,IF(A23='Données projet'!$A$62,'Données projet'!$B$62,AI22+AH23-AQ22)))</f>
        <v>17.839145950605833</v>
      </c>
      <c r="AJ23" s="13">
        <f>AI23*VLOOKUP('Données projet'!$B$10,Paramètres!$A$1:$I$89,3,0)*VLOOKUP('Données projet'!$B$10,Paramètres!$A$1:$I$89,5,0)</f>
        <v>16.140859256108158</v>
      </c>
      <c r="AK23" s="13">
        <f t="shared" si="35"/>
        <v>5.3811618346045424</v>
      </c>
      <c r="AL23" s="20">
        <f t="shared" si="4"/>
        <v>37.484186732991283</v>
      </c>
      <c r="AM23" s="59">
        <f t="shared" si="5"/>
        <v>318.59529784410245</v>
      </c>
      <c r="AN23" s="59">
        <f ca="1">AVERAGE(OFFSET($AM$3,0,0,'Données projet'!$E$10+1,1))-AVERAGE(OFFSET($H$3,0,0,'Données projet'!$E$10+1,1))</f>
        <v>447.91110718952615</v>
      </c>
      <c r="AO23" s="59">
        <f t="shared" si="36"/>
        <v>188.87492758536894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2.5115384615384619</v>
      </c>
      <c r="BD23" s="12">
        <f>IF('Données projet'!$A$88&gt;35,BD22+BC23-BL22,IF(A23&lt;'Données projet'!$A$88,$BA$205^A23,IF(A23='Données projet'!$A$88,'Données projet'!$B$88,BD22+BC23-BL22)))</f>
        <v>17.839145950605833</v>
      </c>
      <c r="BE23" s="13">
        <f>BD23*VLOOKUP('Données projet'!$B$11,Paramètres!$A$1:$I$89,3,0)*VLOOKUP('Données projet'!$B$11,Paramètres!$A$1:$I$89,5,0)</f>
        <v>18.088893993914315</v>
      </c>
      <c r="BF23" s="13">
        <f t="shared" si="37"/>
        <v>5.9511558000800351</v>
      </c>
      <c r="BG23" s="20">
        <f t="shared" si="7"/>
        <v>41.869753391206821</v>
      </c>
      <c r="BH23" s="59">
        <f t="shared" si="8"/>
        <v>322.98086450231796</v>
      </c>
      <c r="BI23" s="59">
        <f ca="1">AVERAGE(OFFSET($BH$3,0,0,'Données projet'!$E$11+1,1))-AVERAGE(OFFSET($H$3,0,0,'Données projet'!$E$11+1,1))</f>
        <v>496.71433459306451</v>
      </c>
      <c r="BJ23" s="59">
        <f t="shared" si="38"/>
        <v>206.75063396134982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15.7</v>
      </c>
      <c r="N24" s="13">
        <f>IF('Données projet'!$A$36&gt;35,N23+M24-V23,IF(A24&lt;'Données projet'!$A$36,$K$205^A24,IF(A24='Données projet'!$A$36,'Données projet'!$B$36,N23+M24-V23)))</f>
        <v>112.84615384615383</v>
      </c>
      <c r="O24" s="13">
        <f>N24*VLOOKUP('Données projet'!$B$9,Paramètres!$A$1:$I$89,3,0)*VLOOKUP('Données projet'!$B$9,Paramètres!$A$1:$I$89,5,0)</f>
        <v>67.481999999999985</v>
      </c>
      <c r="P24" s="13">
        <f t="shared" si="33"/>
        <v>19.046822454976283</v>
      </c>
      <c r="Q24" s="20">
        <f t="shared" si="2"/>
        <v>150.70436577575032</v>
      </c>
      <c r="R24" s="59">
        <f t="shared" si="0"/>
        <v>433.03769910908363</v>
      </c>
      <c r="S24" s="59">
        <f ca="1">AVERAGE(OFFSET($R$3,0,0,'Données projet'!$E$9+1,1))-AVERAGE(OFFSET($H$3,0,0,'Données projet'!$E$9+1,1))</f>
        <v>355.09162485318728</v>
      </c>
      <c r="T24" s="59">
        <f t="shared" si="34"/>
        <v>320.06572891923685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8.7669059140748544</v>
      </c>
      <c r="AB24" s="21">
        <f>EXP(-LN(2)/2)*AB23+(1-EXP(-LN(2)/2))/(LN(2)/2)*V24*Y24*VLOOKUP('Données projet'!$B$9,Paramètres!$A$1:$I$89,3,0)*0.475*44/12</f>
        <v>6.9322054648355405</v>
      </c>
      <c r="AC24" s="22">
        <f t="shared" si="3"/>
        <v>15.699111378910395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2.5115384615384619</v>
      </c>
      <c r="AI24" s="13">
        <f>IF('Données projet'!$A$62&gt;35,AI23+AH24-AQ23,IF(A24&lt;'Données projet'!$A$62,$AF$205^A24,IF(A24='Données projet'!$A$62,'Données projet'!$B$62,AI23+AH24-AQ23)))</f>
        <v>20.603583478748867</v>
      </c>
      <c r="AJ24" s="13">
        <f>AI24*VLOOKUP('Données projet'!$B$10,Paramètres!$A$1:$I$89,3,0)*VLOOKUP('Données projet'!$B$10,Paramètres!$A$1:$I$89,5,0)</f>
        <v>18.642122331571976</v>
      </c>
      <c r="AK24" s="13">
        <f t="shared" si="35"/>
        <v>6.1116962146979272</v>
      </c>
      <c r="AL24" s="20">
        <f t="shared" si="4"/>
        <v>43.112900634753409</v>
      </c>
      <c r="AM24" s="59">
        <f t="shared" si="5"/>
        <v>325.44623396808674</v>
      </c>
      <c r="AN24" s="59">
        <f ca="1">AVERAGE(OFFSET($AM$3,0,0,'Données projet'!$E$10+1,1))-AVERAGE(OFFSET($H$3,0,0,'Données projet'!$E$10+1,1))</f>
        <v>447.91110718952615</v>
      </c>
      <c r="AO24" s="59">
        <f t="shared" si="36"/>
        <v>188.87492758536894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2.5115384615384619</v>
      </c>
      <c r="BD24" s="12">
        <f>IF('Données projet'!$A$88&gt;35,BD23+BC24-BL23,IF(A24&lt;'Données projet'!$A$88,$BA$205^A24,IF(A24='Données projet'!$A$88,'Données projet'!$B$88,BD23+BC24-BL23)))</f>
        <v>20.603583478748867</v>
      </c>
      <c r="BE24" s="13">
        <f>BD24*VLOOKUP('Données projet'!$B$11,Paramètres!$A$1:$I$89,3,0)*VLOOKUP('Données projet'!$B$11,Paramètres!$A$1:$I$89,5,0)</f>
        <v>20.892033647451353</v>
      </c>
      <c r="BF24" s="13">
        <f t="shared" si="37"/>
        <v>6.7590712738896261</v>
      </c>
      <c r="BG24" s="20">
        <f t="shared" si="7"/>
        <v>48.159007738002209</v>
      </c>
      <c r="BH24" s="59">
        <f t="shared" si="8"/>
        <v>330.49234107133555</v>
      </c>
      <c r="BI24" s="59">
        <f ca="1">AVERAGE(OFFSET($BH$3,0,0,'Données projet'!$E$11+1,1))-AVERAGE(OFFSET($H$3,0,0,'Données projet'!$E$11+1,1))</f>
        <v>496.71433459306451</v>
      </c>
      <c r="BJ24" s="59">
        <f t="shared" si="38"/>
        <v>206.75063396134982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15.7</v>
      </c>
      <c r="N25" s="13">
        <f>IF('Données projet'!$A$36&gt;35,N24+M25-V24,IF(A25&lt;'Données projet'!$A$36,$K$205^A25,IF(A25='Données projet'!$A$36,'Données projet'!$B$36,N24+M25-V24)))</f>
        <v>128.54615384615383</v>
      </c>
      <c r="O25" s="13">
        <f>N25*VLOOKUP('Données projet'!$B$9,Paramètres!$A$1:$I$89,3,0)*VLOOKUP('Données projet'!$B$9,Paramètres!$A$1:$I$89,5,0)</f>
        <v>76.870599999999996</v>
      </c>
      <c r="P25" s="13">
        <f t="shared" si="33"/>
        <v>21.370261683634599</v>
      </c>
      <c r="Q25" s="20">
        <f t="shared" si="2"/>
        <v>171.10283409899691</v>
      </c>
      <c r="R25" s="59">
        <f t="shared" si="0"/>
        <v>454.65838965455248</v>
      </c>
      <c r="S25" s="59">
        <f ca="1">AVERAGE(OFFSET($R$3,0,0,'Données projet'!$E$9+1,1))-AVERAGE(OFFSET($H$3,0,0,'Données projet'!$E$9+1,1))</f>
        <v>355.09162485318728</v>
      </c>
      <c r="T25" s="59">
        <f t="shared" si="34"/>
        <v>320.06572891923685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8.5271744108229317</v>
      </c>
      <c r="AB25" s="21">
        <f>EXP(-LN(2)/2)*AB24+(1-EXP(-LN(2)/2))/(LN(2)/2)*V25*Y25*VLOOKUP('Données projet'!$B$9,Paramètres!$A$1:$I$89,3,0)*0.475*44/12</f>
        <v>4.901809492763654</v>
      </c>
      <c r="AC25" s="22">
        <f t="shared" si="3"/>
        <v>13.428983903586586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2.5115384615384619</v>
      </c>
      <c r="AI25" s="13">
        <f>IF('Données projet'!$A$62&gt;35,AI24+AH25-AQ24,IF(A25&lt;'Données projet'!$A$62,$AF$205^A25,IF(A25='Données projet'!$A$62,'Données projet'!$B$62,AI24+AH25-AQ24)))</f>
        <v>23.796411181408413</v>
      </c>
      <c r="AJ25" s="13">
        <f>AI25*VLOOKUP('Données projet'!$B$10,Paramètres!$A$1:$I$89,3,0)*VLOOKUP('Données projet'!$B$10,Paramètres!$A$1:$I$89,5,0)</f>
        <v>21.530992836938331</v>
      </c>
      <c r="AK25" s="13">
        <f t="shared" si="35"/>
        <v>6.9414062926984936</v>
      </c>
      <c r="AL25" s="20">
        <f t="shared" si="4"/>
        <v>49.58942848411747</v>
      </c>
      <c r="AM25" s="59">
        <f t="shared" si="5"/>
        <v>333.14498403967303</v>
      </c>
      <c r="AN25" s="59">
        <f ca="1">AVERAGE(OFFSET($AM$3,0,0,'Données projet'!$E$10+1,1))-AVERAGE(OFFSET($H$3,0,0,'Données projet'!$E$10+1,1))</f>
        <v>447.91110718952615</v>
      </c>
      <c r="AO25" s="59">
        <f t="shared" si="36"/>
        <v>188.87492758536894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2.5115384615384619</v>
      </c>
      <c r="BD25" s="12">
        <f>IF('Données projet'!$A$88&gt;35,BD24+BC25-BL24,IF(A25&lt;'Données projet'!$A$88,$BA$205^A25,IF(A25='Données projet'!$A$88,'Données projet'!$B$88,BD24+BC25-BL24)))</f>
        <v>23.796411181408413</v>
      </c>
      <c r="BE25" s="13">
        <f>BD25*VLOOKUP('Données projet'!$B$11,Paramètres!$A$1:$I$89,3,0)*VLOOKUP('Données projet'!$B$11,Paramètres!$A$1:$I$89,5,0)</f>
        <v>24.129560937948131</v>
      </c>
      <c r="BF25" s="13">
        <f t="shared" si="37"/>
        <v>7.6766675281641099</v>
      </c>
      <c r="BG25" s="20">
        <f t="shared" si="7"/>
        <v>55.395847911812147</v>
      </c>
      <c r="BH25" s="59">
        <f t="shared" si="8"/>
        <v>338.9514034673677</v>
      </c>
      <c r="BI25" s="59">
        <f ca="1">AVERAGE(OFFSET($BH$3,0,0,'Données projet'!$E$11+1,1))-AVERAGE(OFFSET($H$3,0,0,'Données projet'!$E$11+1,1))</f>
        <v>496.71433459306451</v>
      </c>
      <c r="BJ25" s="59">
        <f t="shared" si="38"/>
        <v>206.75063396134982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15.7</v>
      </c>
      <c r="N26" s="13">
        <f>IF('Données projet'!$A$36&gt;35,N25+M26-V25,IF(A26&lt;'Données projet'!$A$36,$K$205^A26,IF(A26='Données projet'!$A$36,'Données projet'!$B$36,N25+M26-V25)))</f>
        <v>144.24615384615382</v>
      </c>
      <c r="O26" s="13">
        <f>N26*VLOOKUP('Données projet'!$B$9,Paramètres!$A$1:$I$89,3,0)*VLOOKUP('Données projet'!$B$9,Paramètres!$A$1:$I$89,5,0)</f>
        <v>86.259199999999993</v>
      </c>
      <c r="P26" s="13">
        <f t="shared" si="33"/>
        <v>23.660817147545782</v>
      </c>
      <c r="Q26" s="20">
        <f t="shared" si="2"/>
        <v>191.44402986530886</v>
      </c>
      <c r="R26" s="59">
        <f t="shared" si="0"/>
        <v>476.22180764308666</v>
      </c>
      <c r="S26" s="59">
        <f ca="1">AVERAGE(OFFSET($R$3,0,0,'Données projet'!$E$9+1,1))-AVERAGE(OFFSET($H$3,0,0,'Données projet'!$E$9+1,1))</f>
        <v>355.09162485318728</v>
      </c>
      <c r="T26" s="59">
        <f t="shared" si="34"/>
        <v>320.06572891923685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8.2939983781343649</v>
      </c>
      <c r="AB26" s="21">
        <f>EXP(-LN(2)/2)*AB25+(1-EXP(-LN(2)/2))/(LN(2)/2)*V26*Y26*VLOOKUP('Données projet'!$B$9,Paramètres!$A$1:$I$89,3,0)*0.475*44/12</f>
        <v>3.4661027324177707</v>
      </c>
      <c r="AC26" s="22">
        <f t="shared" si="3"/>
        <v>11.760101110552135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2.5115384615384619</v>
      </c>
      <c r="AI26" s="13">
        <f>IF('Données projet'!$A$62&gt;35,AI25+AH26-AQ25,IF(A26&lt;'Données projet'!$A$62,$AF$205^A26,IF(A26='Données projet'!$A$62,'Données projet'!$B$62,AI25+AH26-AQ25)))</f>
        <v>27.484014404519773</v>
      </c>
      <c r="AJ26" s="13">
        <f>AI26*VLOOKUP('Données projet'!$B$10,Paramètres!$A$1:$I$89,3,0)*VLOOKUP('Données projet'!$B$10,Paramètres!$A$1:$I$89,5,0)</f>
        <v>24.867536233209488</v>
      </c>
      <c r="AK26" s="13">
        <f t="shared" si="35"/>
        <v>7.8837559374170789</v>
      </c>
      <c r="AL26" s="20">
        <f t="shared" si="4"/>
        <v>57.041833863841269</v>
      </c>
      <c r="AM26" s="59">
        <f t="shared" si="5"/>
        <v>341.81961164161902</v>
      </c>
      <c r="AN26" s="59">
        <f ca="1">AVERAGE(OFFSET($AM$3,0,0,'Données projet'!$E$10+1,1))-AVERAGE(OFFSET($H$3,0,0,'Données projet'!$E$10+1,1))</f>
        <v>447.91110718952615</v>
      </c>
      <c r="AO26" s="59">
        <f t="shared" si="36"/>
        <v>188.87492758536894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2.5115384615384619</v>
      </c>
      <c r="BD26" s="12">
        <f>IF('Données projet'!$A$88&gt;35,BD25+BC26-BL25,IF(A26&lt;'Données projet'!$A$88,$BA$205^A26,IF(A26='Données projet'!$A$88,'Données projet'!$B$88,BD25+BC26-BL25)))</f>
        <v>27.484014404519773</v>
      </c>
      <c r="BE26" s="13">
        <f>BD26*VLOOKUP('Données projet'!$B$11,Paramètres!$A$1:$I$89,3,0)*VLOOKUP('Données projet'!$B$11,Paramètres!$A$1:$I$89,5,0)</f>
        <v>27.868790606183051</v>
      </c>
      <c r="BF26" s="13">
        <f t="shared" si="37"/>
        <v>8.7188345780020544</v>
      </c>
      <c r="BG26" s="20">
        <f t="shared" si="7"/>
        <v>63.723447195789056</v>
      </c>
      <c r="BH26" s="59">
        <f t="shared" si="8"/>
        <v>348.50122497356682</v>
      </c>
      <c r="BI26" s="59">
        <f ca="1">AVERAGE(OFFSET($BH$3,0,0,'Données projet'!$E$11+1,1))-AVERAGE(OFFSET($H$3,0,0,'Données projet'!$E$11+1,1))</f>
        <v>496.71433459306451</v>
      </c>
      <c r="BJ26" s="59">
        <f t="shared" si="38"/>
        <v>206.75063396134982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159.94615384615383</v>
      </c>
      <c r="L27" s="12">
        <f>VLOOKUP(A27,'Données projet'!$A$35:$I$55,9,0)</f>
        <v>15.7</v>
      </c>
      <c r="M27" s="12">
        <f t="array" ref="M27">INDEX(L:L,MIN(IF(ISNUMBER(L27:L223),ROW(L27:L223),"")))</f>
        <v>15.7</v>
      </c>
      <c r="N27" s="13">
        <f>IF('Données projet'!$A$36&gt;35,N26+M27-V26,IF(A27&lt;'Données projet'!$A$36,$K$205^A27,IF(A27='Données projet'!$A$36,'Données projet'!$B$36,N26+M27-V26)))</f>
        <v>159.94615384615381</v>
      </c>
      <c r="O27" s="13">
        <f>N27*VLOOKUP('Données projet'!$B$9,Paramètres!$A$1:$I$89,3,0)*VLOOKUP('Données projet'!$B$9,Paramètres!$A$1:$I$89,5,0)</f>
        <v>95.647799999999989</v>
      </c>
      <c r="P27" s="13">
        <f t="shared" si="33"/>
        <v>25.922476046044615</v>
      </c>
      <c r="Q27" s="20">
        <f t="shared" si="2"/>
        <v>211.73489744686097</v>
      </c>
      <c r="R27" s="59">
        <f t="shared" si="0"/>
        <v>497.73489744686094</v>
      </c>
      <c r="S27" s="59">
        <f ca="1">AVERAGE(OFFSET($R$3,0,0,'Données projet'!$E$9+1,1))-AVERAGE(OFFSET($H$3,0,0,'Données projet'!$E$9+1,1))</f>
        <v>355.09162485318728</v>
      </c>
      <c r="T27" s="59">
        <f t="shared" si="34"/>
        <v>320.06572891923685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40.41538461538461</v>
      </c>
      <c r="W27" s="16">
        <f>IF(ISNA(VLOOKUP(A27,'Données projet'!$A$35:$I$55,5,0)),0%,VLOOKUP(A27,'Données projet'!$A$35:$I$55,5,0)*VLOOKUP('Données projet'!$B$9,Paramètres!$A$1:$I$89,7,0))</f>
        <v>0.315</v>
      </c>
      <c r="X27" s="16">
        <f>IF(ISNA(VLOOKUP(A27,'Données projet'!$A$35:$I$55,6,0)),0%,VLOOKUP(A27,'Données projet'!$A$35:$I$55,6,0)*VLOOKUP('Données projet'!$B$9,Paramètres!$A$1:$I$89,7,0))</f>
        <v>7.5600000000000001E-2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10.099196221226169</v>
      </c>
      <c r="AA27" s="21">
        <f>EXP(-LN(2)/25)*AA26+(1-EXP(-LN(2)/25))/(LN(2)/25)*Calculateur!V27*Calculateur!X27*VLOOKUP('Données projet'!$B$9,Paramètres!$A$1:$I$89,3,0)*0.475*44/12</f>
        <v>10.481462197347724</v>
      </c>
      <c r="AB27" s="21">
        <f>EXP(-LN(2)/2)*AB26+(1-EXP(-LN(2)/2))/(LN(2)/2)*V27*Y27*VLOOKUP('Données projet'!$B$9,Paramètres!$A$1:$I$89,3,0)*0.475*44/12</f>
        <v>6.0629848302409268</v>
      </c>
      <c r="AC27" s="22">
        <f t="shared" si="3"/>
        <v>26.643643248814818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2.5115384615384619</v>
      </c>
      <c r="AI27" s="13">
        <f>IF('Données projet'!$A$62&gt;35,AI26+AH27-AQ26,IF(A27&lt;'Données projet'!$A$62,$AF$205^A27,IF(A27='Données projet'!$A$62,'Données projet'!$B$62,AI26+AH27-AQ26)))</f>
        <v>31.743065877849862</v>
      </c>
      <c r="AJ27" s="13">
        <f>AI27*VLOOKUP('Données projet'!$B$10,Paramètres!$A$1:$I$89,3,0)*VLOOKUP('Données projet'!$B$10,Paramètres!$A$1:$I$89,5,0)</f>
        <v>28.721126006278556</v>
      </c>
      <c r="AK27" s="13">
        <f t="shared" si="35"/>
        <v>8.9540368420930783</v>
      </c>
      <c r="AL27" s="20">
        <f t="shared" si="4"/>
        <v>65.61757529424726</v>
      </c>
      <c r="AM27" s="59">
        <f t="shared" si="5"/>
        <v>351.61757529424727</v>
      </c>
      <c r="AN27" s="59">
        <f ca="1">AVERAGE(OFFSET($AM$3,0,0,'Données projet'!$E$10+1,1))-AVERAGE(OFFSET($H$3,0,0,'Données projet'!$E$10+1,1))</f>
        <v>447.91110718952615</v>
      </c>
      <c r="AO27" s="59">
        <f t="shared" si="36"/>
        <v>188.87492758536894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2.5115384615384619</v>
      </c>
      <c r="BD27" s="12">
        <f>IF('Données projet'!$A$88&gt;35,BD26+BC27-BL26,IF(A27&lt;'Données projet'!$A$88,$BA$205^A27,IF(A27='Données projet'!$A$88,'Données projet'!$B$88,BD26+BC27-BL26)))</f>
        <v>31.743065877849862</v>
      </c>
      <c r="BE27" s="13">
        <f>BD27*VLOOKUP('Données projet'!$B$11,Paramètres!$A$1:$I$89,3,0)*VLOOKUP('Données projet'!$B$11,Paramètres!$A$1:$I$89,5,0)</f>
        <v>32.187468800139762</v>
      </c>
      <c r="BF27" s="13">
        <f t="shared" si="37"/>
        <v>9.902483873330409</v>
      </c>
      <c r="BG27" s="20">
        <f t="shared" si="7"/>
        <v>73.306667572960549</v>
      </c>
      <c r="BH27" s="59">
        <f t="shared" si="8"/>
        <v>359.30666757296058</v>
      </c>
      <c r="BI27" s="59">
        <f ca="1">AVERAGE(OFFSET($BH$3,0,0,'Données projet'!$E$11+1,1))-AVERAGE(OFFSET($H$3,0,0,'Données projet'!$E$11+1,1))</f>
        <v>496.71433459306451</v>
      </c>
      <c r="BJ27" s="59">
        <f t="shared" si="38"/>
        <v>206.75063396134982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16.020512820512824</v>
      </c>
      <c r="N28" s="13">
        <f>IF('Données projet'!$A$36&gt;35,N27+M28-V27,IF(A28&lt;'Données projet'!$A$36,$K$205^A28,IF(A28='Données projet'!$A$36,'Données projet'!$B$36,N27+M28-V27)))</f>
        <v>135.55128205128204</v>
      </c>
      <c r="O28" s="13">
        <f>N28*VLOOKUP('Données projet'!$B$9,Paramètres!$A$1:$I$89,3,0)*VLOOKUP('Données projet'!$B$9,Paramètres!$A$1:$I$89,5,0)</f>
        <v>81.059666666666672</v>
      </c>
      <c r="P28" s="13">
        <f t="shared" si="33"/>
        <v>22.396079377742645</v>
      </c>
      <c r="Q28" s="20">
        <f t="shared" si="2"/>
        <v>180.18542436067958</v>
      </c>
      <c r="R28" s="59">
        <f t="shared" si="0"/>
        <v>467.4076465829018</v>
      </c>
      <c r="S28" s="59">
        <f ca="1">AVERAGE(OFFSET($R$3,0,0,'Données projet'!$E$9+1,1))-AVERAGE(OFFSET($H$3,0,0,'Données projet'!$E$9+1,1))</f>
        <v>355.09162485318728</v>
      </c>
      <c r="T28" s="59">
        <f t="shared" si="34"/>
        <v>320.06572891923685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9.9011571432293799</v>
      </c>
      <c r="AA28" s="21">
        <f>EXP(-LN(2)/25)*AA27+(1-EXP(-LN(2)/25))/(LN(2)/25)*Calculateur!V28*Calculateur!X28*VLOOKUP('Données projet'!$B$9,Paramètres!$A$1:$I$89,3,0)*0.475*44/12</f>
        <v>10.19484606236511</v>
      </c>
      <c r="AB28" s="21">
        <f>EXP(-LN(2)/2)*AB27+(1-EXP(-LN(2)/2))/(LN(2)/2)*V28*Y28*VLOOKUP('Données projet'!$B$9,Paramètres!$A$1:$I$89,3,0)*0.475*44/12</f>
        <v>4.2871776876945287</v>
      </c>
      <c r="AC28" s="22">
        <f t="shared" si="3"/>
        <v>24.383180893289023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2.5115384615384619</v>
      </c>
      <c r="AI28" s="13">
        <f>IF('Données projet'!$A$62&gt;35,AI27+AH28-AQ27,IF(A28&lt;'Données projet'!$A$62,$AF$205^A28,IF(A28='Données projet'!$A$62,'Données projet'!$B$62,AI27+AH28-AQ27)))</f>
        <v>36.662119896131756</v>
      </c>
      <c r="AJ28" s="13">
        <f>AI28*VLOOKUP('Données projet'!$B$10,Paramètres!$A$1:$I$89,3,0)*VLOOKUP('Données projet'!$B$10,Paramètres!$A$1:$I$89,5,0)</f>
        <v>33.171886082020016</v>
      </c>
      <c r="AK28" s="13">
        <f t="shared" si="35"/>
        <v>10.16961666571169</v>
      </c>
      <c r="AL28" s="20">
        <f t="shared" si="4"/>
        <v>75.48645061896606</v>
      </c>
      <c r="AM28" s="59">
        <f t="shared" si="5"/>
        <v>362.70867284118827</v>
      </c>
      <c r="AN28" s="59">
        <f ca="1">AVERAGE(OFFSET($AM$3,0,0,'Données projet'!$E$10+1,1))-AVERAGE(OFFSET($H$3,0,0,'Données projet'!$E$10+1,1))</f>
        <v>447.91110718952615</v>
      </c>
      <c r="AO28" s="59">
        <f t="shared" si="36"/>
        <v>188.87492758536894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2.5115384615384619</v>
      </c>
      <c r="BD28" s="12">
        <f>IF('Données projet'!$A$88&gt;35,BD27+BC28-BL27,IF(A28&lt;'Données projet'!$A$88,$BA$205^A28,IF(A28='Données projet'!$A$88,'Données projet'!$B$88,BD27+BC28-BL27)))</f>
        <v>36.662119896131756</v>
      </c>
      <c r="BE28" s="13">
        <f>BD28*VLOOKUP('Données projet'!$B$11,Paramètres!$A$1:$I$89,3,0)*VLOOKUP('Données projet'!$B$11,Paramètres!$A$1:$I$89,5,0)</f>
        <v>37.175389574677602</v>
      </c>
      <c r="BF28" s="13">
        <f t="shared" si="37"/>
        <v>11.24682272433242</v>
      </c>
      <c r="BG28" s="20">
        <f t="shared" si="7"/>
        <v>84.335353087442456</v>
      </c>
      <c r="BH28" s="59">
        <f t="shared" si="8"/>
        <v>371.55757530966468</v>
      </c>
      <c r="BI28" s="59">
        <f ca="1">AVERAGE(OFFSET($BH$3,0,0,'Données projet'!$E$11+1,1))-AVERAGE(OFFSET($H$3,0,0,'Données projet'!$E$11+1,1))</f>
        <v>496.71433459306451</v>
      </c>
      <c r="BJ28" s="59">
        <f t="shared" si="38"/>
        <v>206.75063396134982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16.020512820512824</v>
      </c>
      <c r="N29" s="13">
        <f>IF('Données projet'!$A$36&gt;35,N28+M29-V28,IF(A29&lt;'Données projet'!$A$36,$K$205^A29,IF(A29='Données projet'!$A$36,'Données projet'!$B$36,N28+M29-V28)))</f>
        <v>151.57179487179488</v>
      </c>
      <c r="O29" s="13">
        <f>N29*VLOOKUP('Données projet'!$B$9,Paramètres!$A$1:$I$89,3,0)*VLOOKUP('Données projet'!$B$9,Paramètres!$A$1:$I$89,5,0)</f>
        <v>90.639933333333346</v>
      </c>
      <c r="P29" s="13">
        <f t="shared" si="33"/>
        <v>24.719497804626467</v>
      </c>
      <c r="Q29" s="20">
        <f t="shared" si="2"/>
        <v>200.91767589861334</v>
      </c>
      <c r="R29" s="59">
        <f t="shared" si="0"/>
        <v>489.36212034305777</v>
      </c>
      <c r="S29" s="59">
        <f ca="1">AVERAGE(OFFSET($R$3,0,0,'Données projet'!$E$9+1,1))-AVERAGE(OFFSET($H$3,0,0,'Données projet'!$E$9+1,1))</f>
        <v>355.09162485318728</v>
      </c>
      <c r="T29" s="59">
        <f t="shared" si="34"/>
        <v>320.06572891923685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9.7070014907601969</v>
      </c>
      <c r="AA29" s="21">
        <f>EXP(-LN(2)/25)*AA28+(1-EXP(-LN(2)/25))/(LN(2)/25)*Calculateur!V29*Calculateur!X29*VLOOKUP('Données projet'!$B$9,Paramètres!$A$1:$I$89,3,0)*0.475*44/12</f>
        <v>9.916067460666083</v>
      </c>
      <c r="AB29" s="21">
        <f>EXP(-LN(2)/2)*AB28+(1-EXP(-LN(2)/2))/(LN(2)/2)*V29*Y29*VLOOKUP('Données projet'!$B$9,Paramètres!$A$1:$I$89,3,0)*0.475*44/12</f>
        <v>3.0314924151204639</v>
      </c>
      <c r="AC29" s="22">
        <f t="shared" si="3"/>
        <v>22.654561366546744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2.5115384615384619</v>
      </c>
      <c r="AI29" s="13">
        <f>IF('Données projet'!$A$62&gt;35,AI28+AH29-AQ28,IF(A29&lt;'Données projet'!$A$62,$AF$205^A29,IF(A29='Données projet'!$A$62,'Données projet'!$B$62,AI28+AH29-AQ28)))</f>
        <v>42.3434535419672</v>
      </c>
      <c r="AJ29" s="13">
        <f>AI29*VLOOKUP('Données projet'!$B$10,Paramètres!$A$1:$I$89,3,0)*VLOOKUP('Données projet'!$B$10,Paramètres!$A$1:$I$89,5,0)</f>
        <v>38.31235676477192</v>
      </c>
      <c r="AK29" s="13">
        <f t="shared" si="35"/>
        <v>11.55022086142605</v>
      </c>
      <c r="AL29" s="20">
        <f t="shared" si="4"/>
        <v>86.843989365628133</v>
      </c>
      <c r="AM29" s="59">
        <f t="shared" si="5"/>
        <v>375.2884338100726</v>
      </c>
      <c r="AN29" s="59">
        <f ca="1">AVERAGE(OFFSET($AM$3,0,0,'Données projet'!$E$10+1,1))-AVERAGE(OFFSET($H$3,0,0,'Données projet'!$E$10+1,1))</f>
        <v>447.91110718952615</v>
      </c>
      <c r="AO29" s="59">
        <f t="shared" si="36"/>
        <v>188.87492758536894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2.5115384615384619</v>
      </c>
      <c r="BD29" s="12">
        <f>IF('Données projet'!$A$88&gt;35,BD28+BC29-BL28,IF(A29&lt;'Données projet'!$A$88,$BA$205^A29,IF(A29='Données projet'!$A$88,'Données projet'!$B$88,BD28+BC29-BL28)))</f>
        <v>42.3434535419672</v>
      </c>
      <c r="BE29" s="13">
        <f>BD29*VLOOKUP('Données projet'!$B$11,Paramètres!$A$1:$I$89,3,0)*VLOOKUP('Données projet'!$B$11,Paramètres!$A$1:$I$89,5,0)</f>
        <v>42.936261891554743</v>
      </c>
      <c r="BF29" s="13">
        <f t="shared" si="37"/>
        <v>12.773665982252044</v>
      </c>
      <c r="BG29" s="20">
        <f t="shared" si="7"/>
        <v>97.028124380213498</v>
      </c>
      <c r="BH29" s="59">
        <f t="shared" si="8"/>
        <v>385.47256882465797</v>
      </c>
      <c r="BI29" s="59">
        <f ca="1">AVERAGE(OFFSET($BH$3,0,0,'Données projet'!$E$11+1,1))-AVERAGE(OFFSET($H$3,0,0,'Données projet'!$E$11+1,1))</f>
        <v>496.71433459306451</v>
      </c>
      <c r="BJ29" s="59">
        <f t="shared" si="38"/>
        <v>206.75063396134982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16.020512820512824</v>
      </c>
      <c r="N30" s="13">
        <f>IF('Données projet'!$A$36&gt;35,N29+M30-V29,IF(A30&lt;'Données projet'!$A$36,$K$205^A30,IF(A30='Données projet'!$A$36,'Données projet'!$B$36,N29+M30-V29)))</f>
        <v>167.59230769230771</v>
      </c>
      <c r="O30" s="13">
        <f>N30*VLOOKUP('Données projet'!$B$9,Paramètres!$A$1:$I$89,3,0)*VLOOKUP('Données projet'!$B$9,Paramètres!$A$1:$I$89,5,0)</f>
        <v>100.22020000000002</v>
      </c>
      <c r="P30" s="13">
        <f t="shared" si="33"/>
        <v>27.014450444334749</v>
      </c>
      <c r="Q30" s="20">
        <f t="shared" si="2"/>
        <v>221.60034952388301</v>
      </c>
      <c r="R30" s="59">
        <f t="shared" si="0"/>
        <v>511.26701619054973</v>
      </c>
      <c r="S30" s="59">
        <f ca="1">AVERAGE(OFFSET($R$3,0,0,'Données projet'!$E$9+1,1))-AVERAGE(OFFSET($H$3,0,0,'Données projet'!$E$9+1,1))</f>
        <v>355.09162485318728</v>
      </c>
      <c r="T30" s="59">
        <f t="shared" si="34"/>
        <v>320.06572891923685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9.5166531122126798</v>
      </c>
      <c r="AA30" s="21">
        <f>EXP(-LN(2)/25)*AA29+(1-EXP(-LN(2)/25))/(LN(2)/25)*Calculateur!V30*Calculateur!X30*VLOOKUP('Données projet'!$B$9,Paramètres!$A$1:$I$89,3,0)*0.475*44/12</f>
        <v>9.6449120744908452</v>
      </c>
      <c r="AB30" s="21">
        <f>EXP(-LN(2)/2)*AB29+(1-EXP(-LN(2)/2))/(LN(2)/2)*V30*Y30*VLOOKUP('Données projet'!$B$9,Paramètres!$A$1:$I$89,3,0)*0.475*44/12</f>
        <v>2.1435888438472643</v>
      </c>
      <c r="AC30" s="22">
        <f t="shared" si="3"/>
        <v>21.305154030550792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2.5115384615384619</v>
      </c>
      <c r="AI30" s="13">
        <f>IF('Données projet'!$A$62&gt;35,AI29+AH30-AQ29,IF(A30&lt;'Données projet'!$A$62,$AF$205^A30,IF(A30='Données projet'!$A$62,'Données projet'!$B$62,AI29+AH30-AQ29)))</f>
        <v>48.90519323324542</v>
      </c>
      <c r="AJ30" s="13">
        <f>AI30*VLOOKUP('Données projet'!$B$10,Paramètres!$A$1:$I$89,3,0)*VLOOKUP('Données projet'!$B$10,Paramètres!$A$1:$I$89,5,0)</f>
        <v>44.249418837440452</v>
      </c>
      <c r="AK30" s="13">
        <f t="shared" si="35"/>
        <v>13.118252765369638</v>
      </c>
      <c r="AL30" s="20">
        <f t="shared" si="4"/>
        <v>99.915361374894232</v>
      </c>
      <c r="AM30" s="59">
        <f t="shared" si="5"/>
        <v>389.58202804156093</v>
      </c>
      <c r="AN30" s="59">
        <f ca="1">AVERAGE(OFFSET($AM$3,0,0,'Données projet'!$E$10+1,1))-AVERAGE(OFFSET($H$3,0,0,'Données projet'!$E$10+1,1))</f>
        <v>447.91110718952615</v>
      </c>
      <c r="AO30" s="59">
        <f t="shared" si="36"/>
        <v>188.87492758536894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2.5115384615384619</v>
      </c>
      <c r="BD30" s="12">
        <f>IF('Données projet'!$A$88&gt;35,BD29+BC30-BL29,IF(A30&lt;'Données projet'!$A$88,$BA$205^A30,IF(A30='Données projet'!$A$88,'Données projet'!$B$88,BD29+BC30-BL29)))</f>
        <v>48.90519323324542</v>
      </c>
      <c r="BE30" s="13">
        <f>BD30*VLOOKUP('Données projet'!$B$11,Paramètres!$A$1:$I$89,3,0)*VLOOKUP('Données projet'!$B$11,Paramètres!$A$1:$I$89,5,0)</f>
        <v>49.589865938510862</v>
      </c>
      <c r="BF30" s="13">
        <f t="shared" si="37"/>
        <v>14.507790033280557</v>
      </c>
      <c r="BG30" s="20">
        <f t="shared" si="7"/>
        <v>111.63675081753672</v>
      </c>
      <c r="BH30" s="59">
        <f t="shared" si="8"/>
        <v>401.30341748420341</v>
      </c>
      <c r="BI30" s="59">
        <f ca="1">AVERAGE(OFFSET($BH$3,0,0,'Données projet'!$E$11+1,1))-AVERAGE(OFFSET($H$3,0,0,'Données projet'!$E$11+1,1))</f>
        <v>496.71433459306451</v>
      </c>
      <c r="BJ30" s="59">
        <f t="shared" si="38"/>
        <v>206.75063396134982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16.020512820512824</v>
      </c>
      <c r="N31" s="13">
        <f>IF('Données projet'!$A$36&gt;35,N30+M31-V30,IF(A31&lt;'Données projet'!$A$36,$K$205^A31,IF(A31='Données projet'!$A$36,'Données projet'!$B$36,N30+M31-V30)))</f>
        <v>183.61282051282055</v>
      </c>
      <c r="O31" s="13">
        <f>N31*VLOOKUP('Données projet'!$B$9,Paramètres!$A$1:$I$89,3,0)*VLOOKUP('Données projet'!$B$9,Paramètres!$A$1:$I$89,5,0)</f>
        <v>109.80046666666669</v>
      </c>
      <c r="P31" s="13">
        <f t="shared" si="33"/>
        <v>29.283967996494283</v>
      </c>
      <c r="Q31" s="20">
        <f t="shared" si="2"/>
        <v>242.23872370500536</v>
      </c>
      <c r="R31" s="59">
        <f t="shared" si="0"/>
        <v>533.12761259389424</v>
      </c>
      <c r="S31" s="59">
        <f ca="1">AVERAGE(OFFSET($R$3,0,0,'Données projet'!$E$9+1,1))-AVERAGE(OFFSET($H$3,0,0,'Données projet'!$E$9+1,1))</f>
        <v>355.09162485318728</v>
      </c>
      <c r="T31" s="59">
        <f t="shared" si="34"/>
        <v>320.06572891923685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9.3300373492674318</v>
      </c>
      <c r="AA31" s="21">
        <f>EXP(-LN(2)/25)*AA30+(1-EXP(-LN(2)/25))/(LN(2)/25)*Calculateur!V31*Calculateur!X31*VLOOKUP('Données projet'!$B$9,Paramètres!$A$1:$I$89,3,0)*0.475*44/12</f>
        <v>9.3811714466100113</v>
      </c>
      <c r="AB31" s="21">
        <f>EXP(-LN(2)/2)*AB30+(1-EXP(-LN(2)/2))/(LN(2)/2)*V31*Y31*VLOOKUP('Données projet'!$B$9,Paramètres!$A$1:$I$89,3,0)*0.475*44/12</f>
        <v>1.5157462075602319</v>
      </c>
      <c r="AC31" s="22">
        <f t="shared" si="3"/>
        <v>20.226955003437673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2.5115384615384619</v>
      </c>
      <c r="AI31" s="13">
        <f>IF('Données projet'!$A$62&gt;35,AI30+AH31-AQ30,IF(A31&lt;'Données projet'!$A$62,$AF$205^A31,IF(A31='Données projet'!$A$62,'Données projet'!$B$62,AI30+AH31-AQ30)))</f>
        <v>56.483770810300285</v>
      </c>
      <c r="AJ31" s="13">
        <f>AI31*VLOOKUP('Données projet'!$B$10,Paramètres!$A$1:$I$89,3,0)*VLOOKUP('Données projet'!$B$10,Paramètres!$A$1:$I$89,5,0)</f>
        <v>51.106515829159697</v>
      </c>
      <c r="AK31" s="13">
        <f t="shared" si="35"/>
        <v>14.899157140003059</v>
      </c>
      <c r="AL31" s="20">
        <f t="shared" si="4"/>
        <v>114.9598804212918</v>
      </c>
      <c r="AM31" s="59">
        <f t="shared" si="5"/>
        <v>405.84876931018067</v>
      </c>
      <c r="AN31" s="59">
        <f ca="1">AVERAGE(OFFSET($AM$3,0,0,'Données projet'!$E$10+1,1))-AVERAGE(OFFSET($H$3,0,0,'Données projet'!$E$10+1,1))</f>
        <v>447.91110718952615</v>
      </c>
      <c r="AO31" s="59">
        <f t="shared" si="36"/>
        <v>188.87492758536894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2.5115384615384619</v>
      </c>
      <c r="BD31" s="12">
        <f>IF('Données projet'!$A$88&gt;35,BD30+BC31-BL30,IF(A31&lt;'Données projet'!$A$88,$BA$205^A31,IF(A31='Données projet'!$A$88,'Données projet'!$B$88,BD30+BC31-BL30)))</f>
        <v>56.483770810300285</v>
      </c>
      <c r="BE31" s="13">
        <f>BD31*VLOOKUP('Données projet'!$B$11,Paramètres!$A$1:$I$89,3,0)*VLOOKUP('Données projet'!$B$11,Paramètres!$A$1:$I$89,5,0)</f>
        <v>57.274543601644496</v>
      </c>
      <c r="BF31" s="13">
        <f t="shared" si="37"/>
        <v>16.477334849853886</v>
      </c>
      <c r="BG31" s="20">
        <f t="shared" si="7"/>
        <v>128.45118830302636</v>
      </c>
      <c r="BH31" s="59">
        <f t="shared" si="8"/>
        <v>419.34007719191521</v>
      </c>
      <c r="BI31" s="59">
        <f ca="1">AVERAGE(OFFSET($BH$3,0,0,'Données projet'!$E$11+1,1))-AVERAGE(OFFSET($H$3,0,0,'Données projet'!$E$11+1,1))</f>
        <v>496.71433459306451</v>
      </c>
      <c r="BJ31" s="59">
        <f t="shared" si="38"/>
        <v>206.75063396134982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16.020512820512824</v>
      </c>
      <c r="N32" s="13">
        <f>IF('Données projet'!$A$36&gt;35,N31+M32-V31,IF(A32&lt;'Données projet'!$A$36,$K$205^A32,IF(A32='Données projet'!$A$36,'Données projet'!$B$36,N31+M32-V31)))</f>
        <v>199.63333333333338</v>
      </c>
      <c r="O32" s="13">
        <f>N32*VLOOKUP('Données projet'!$B$9,Paramètres!$A$1:$I$89,3,0)*VLOOKUP('Données projet'!$B$9,Paramètres!$A$1:$I$89,5,0)</f>
        <v>119.38073333333337</v>
      </c>
      <c r="P32" s="13">
        <f t="shared" si="33"/>
        <v>31.530522050233152</v>
      </c>
      <c r="Q32" s="20">
        <f t="shared" si="2"/>
        <v>262.83710312637839</v>
      </c>
      <c r="R32" s="59">
        <f t="shared" si="0"/>
        <v>554.94821423748954</v>
      </c>
      <c r="S32" s="59">
        <f ca="1">AVERAGE(OFFSET($R$3,0,0,'Données projet'!$E$9+1,1))-AVERAGE(OFFSET($H$3,0,0,'Données projet'!$E$9+1,1))</f>
        <v>355.09162485318728</v>
      </c>
      <c r="T32" s="59">
        <f t="shared" si="34"/>
        <v>320.06572891923685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9.1470810076091649</v>
      </c>
      <c r="AA32" s="21">
        <f>EXP(-LN(2)/25)*AA31+(1-EXP(-LN(2)/25))/(LN(2)/25)*Calculateur!V32*Calculateur!X32*VLOOKUP('Données projet'!$B$9,Paramètres!$A$1:$I$89,3,0)*0.475*44/12</f>
        <v>9.1246428200680949</v>
      </c>
      <c r="AB32" s="21">
        <f>EXP(-LN(2)/2)*AB31+(1-EXP(-LN(2)/2))/(LN(2)/2)*V32*Y32*VLOOKUP('Données projet'!$B$9,Paramètres!$A$1:$I$89,3,0)*0.475*44/12</f>
        <v>1.0717944219236322</v>
      </c>
      <c r="AC32" s="22">
        <f t="shared" si="3"/>
        <v>19.343518249600891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2.5115384615384619</v>
      </c>
      <c r="AI32" s="13">
        <f>IF('Données projet'!$A$62&gt;35,AI31+AH32-AQ31,IF(A32&lt;'Données projet'!$A$62,$AF$205^A32,IF(A32='Données projet'!$A$62,'Données projet'!$B$62,AI31+AH32-AQ31)))</f>
        <v>65.236760229825805</v>
      </c>
      <c r="AJ32" s="13">
        <f>AI32*VLOOKUP('Données projet'!$B$10,Paramètres!$A$1:$I$89,3,0)*VLOOKUP('Données projet'!$B$10,Paramètres!$A$1:$I$89,5,0)</f>
        <v>59.026220655946382</v>
      </c>
      <c r="AK32" s="13">
        <f t="shared" si="35"/>
        <v>16.921833071284709</v>
      </c>
      <c r="AL32" s="20">
        <f t="shared" si="4"/>
        <v>132.27619357492748</v>
      </c>
      <c r="AM32" s="59">
        <f t="shared" si="5"/>
        <v>424.38730468603865</v>
      </c>
      <c r="AN32" s="59">
        <f ca="1">AVERAGE(OFFSET($AM$3,0,0,'Données projet'!$E$10+1,1))-AVERAGE(OFFSET($H$3,0,0,'Données projet'!$E$10+1,1))</f>
        <v>447.91110718952615</v>
      </c>
      <c r="AO32" s="59">
        <f t="shared" si="36"/>
        <v>188.87492758536894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2.5115384615384619</v>
      </c>
      <c r="BD32" s="12">
        <f>IF('Données projet'!$A$88&gt;35,BD31+BC32-BL31,IF(A32&lt;'Données projet'!$A$88,$BA$205^A32,IF(A32='Données projet'!$A$88,'Données projet'!$B$88,BD31+BC32-BL31)))</f>
        <v>65.236760229825805</v>
      </c>
      <c r="BE32" s="13">
        <f>BD32*VLOOKUP('Données projet'!$B$11,Paramètres!$A$1:$I$89,3,0)*VLOOKUP('Données projet'!$B$11,Paramètres!$A$1:$I$89,5,0)</f>
        <v>66.150074873043366</v>
      </c>
      <c r="BF32" s="13">
        <f t="shared" si="37"/>
        <v>18.714260623526272</v>
      </c>
      <c r="BG32" s="20">
        <f t="shared" si="7"/>
        <v>147.8053843231921</v>
      </c>
      <c r="BH32" s="59">
        <f t="shared" si="8"/>
        <v>439.91649543430322</v>
      </c>
      <c r="BI32" s="59">
        <f ca="1">AVERAGE(OFFSET($BH$3,0,0,'Données projet'!$E$11+1,1))-AVERAGE(OFFSET($H$3,0,0,'Données projet'!$E$11+1,1))</f>
        <v>496.71433459306451</v>
      </c>
      <c r="BJ32" s="59">
        <f t="shared" si="38"/>
        <v>206.75063396134982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215.65384615384616</v>
      </c>
      <c r="L33" s="12">
        <f>VLOOKUP(A33,'Données projet'!$A$35:$I$55,9,0)</f>
        <v>16.020512820512824</v>
      </c>
      <c r="M33" s="12">
        <f t="array" ref="M33">INDEX(L:L,MIN(IF(ISNUMBER(L33:L229),ROW(L33:L229),"")))</f>
        <v>16.020512820512824</v>
      </c>
      <c r="N33" s="13">
        <f>IF('Données projet'!$A$36&gt;35,N32+M33-V32,IF(A33&lt;'Données projet'!$A$36,$K$205^A33,IF(A33='Données projet'!$A$36,'Données projet'!$B$36,N32+M33-V32)))</f>
        <v>215.65384615384622</v>
      </c>
      <c r="O33" s="13">
        <f>N33*VLOOKUP('Données projet'!$B$9,Paramètres!$A$1:$I$89,3,0)*VLOOKUP('Données projet'!$B$9,Paramètres!$A$1:$I$89,5,0)</f>
        <v>128.96100000000004</v>
      </c>
      <c r="P33" s="13">
        <f t="shared" si="33"/>
        <v>33.756164929705356</v>
      </c>
      <c r="Q33" s="20">
        <f t="shared" si="2"/>
        <v>283.39906225257022</v>
      </c>
      <c r="R33" s="59">
        <f t="shared" si="0"/>
        <v>576.73239558590353</v>
      </c>
      <c r="S33" s="59">
        <f ca="1">AVERAGE(OFFSET($R$3,0,0,'Données projet'!$E$9+1,1))-AVERAGE(OFFSET($H$3,0,0,'Données projet'!$E$9+1,1))</f>
        <v>355.09162485318728</v>
      </c>
      <c r="T33" s="59">
        <f t="shared" si="34"/>
        <v>320.06572891923685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55.869230769230761</v>
      </c>
      <c r="W33" s="16">
        <f>IF(ISNA(VLOOKUP(A33,'Données projet'!$A$35:$I$55,5,0)),0%,VLOOKUP(A33,'Données projet'!$A$35:$I$55,5,0)*VLOOKUP('Données projet'!$B$9,Paramètres!$A$1:$I$89,7,0))</f>
        <v>0.315</v>
      </c>
      <c r="X33" s="16">
        <f>IF(ISNA(VLOOKUP(A33,'Données projet'!$A$35:$I$55,6,0)),0%,VLOOKUP(A33,'Données projet'!$A$35:$I$55,6,0)*VLOOKUP('Données projet'!$B$9,Paramètres!$A$1:$I$89,7,0))</f>
        <v>7.5600000000000001E-2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22.92859206837181</v>
      </c>
      <c r="AA33" s="21">
        <f>EXP(-LN(2)/25)*AA32+(1-EXP(-LN(2)/25))/(LN(2)/25)*Calculateur!V33*Calculateur!X33*VLOOKUP('Données projet'!$B$9,Paramètres!$A$1:$I$89,3,0)*0.475*44/12</f>
        <v>12.212547487214213</v>
      </c>
      <c r="AB33" s="21">
        <f>EXP(-LN(2)/2)*AB32+(1-EXP(-LN(2)/2))/(LN(2)/2)*V33*Y33*VLOOKUP('Données projet'!$B$9,Paramètres!$A$1:$I$89,3,0)*0.475*44/12</f>
        <v>5.7511235128148783</v>
      </c>
      <c r="AC33" s="22">
        <f t="shared" si="3"/>
        <v>40.892263068400901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75.346153846153854</v>
      </c>
      <c r="AG33" s="12">
        <f>VLOOKUP(A33,'Données projet'!$A$61:$I$81,9,0)</f>
        <v>2.5115384615384619</v>
      </c>
      <c r="AH33" s="12">
        <f t="array" ref="AH33">INDEX(AG:AG,MIN(IF(ISNUMBER(AG33:AG229),ROW(AG33:AG229),"")))</f>
        <v>2.5115384615384619</v>
      </c>
      <c r="AI33" s="13">
        <f>IF('Données projet'!$A$62&gt;35,AI32+AH33-AQ32,IF(A33&lt;'Données projet'!$A$62,$AF$205^A33,IF(A33='Données projet'!$A$62,'Données projet'!$B$62,AI32+AH33-AQ32)))</f>
        <v>75.346153846153854</v>
      </c>
      <c r="AJ33" s="13">
        <f>AI33*VLOOKUP('Données projet'!$B$10,Paramètres!$A$1:$I$89,3,0)*VLOOKUP('Données projet'!$B$10,Paramètres!$A$1:$I$89,5,0)</f>
        <v>68.173200000000008</v>
      </c>
      <c r="AK33" s="13">
        <f t="shared" si="35"/>
        <v>19.219102919829069</v>
      </c>
      <c r="AL33" s="20">
        <f t="shared" si="4"/>
        <v>152.20826091870231</v>
      </c>
      <c r="AM33" s="59">
        <f t="shared" si="5"/>
        <v>445.54159425203562</v>
      </c>
      <c r="AN33" s="59">
        <f ca="1">AVERAGE(OFFSET($AM$3,0,0,'Données projet'!$E$10+1,1))-AVERAGE(OFFSET($H$3,0,0,'Données projet'!$E$10+1,1))</f>
        <v>447.91110718952615</v>
      </c>
      <c r="AO33" s="59">
        <f t="shared" si="36"/>
        <v>188.87492758536894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75.346153846153854</v>
      </c>
      <c r="BB33" s="12">
        <f>VLOOKUP(A33,'Données projet'!$A$87:$I$107,9,0)</f>
        <v>2.5115384615384619</v>
      </c>
      <c r="BC33" s="12">
        <f t="array" ref="BC33">INDEX(BB:BB,MIN(IF(ISNUMBER(BB33:BB229),ROW(BB33:BB229),"")))</f>
        <v>2.5115384615384619</v>
      </c>
      <c r="BD33" s="12">
        <f>IF('Données projet'!$A$88&gt;35,BD32+BC33-BL32,IF(A33&lt;'Données projet'!$A$88,$BA$205^A33,IF(A33='Données projet'!$A$88,'Données projet'!$B$88,BD32+BC33-BL32)))</f>
        <v>75.346153846153854</v>
      </c>
      <c r="BE33" s="13">
        <f>BD33*VLOOKUP('Données projet'!$B$11,Paramètres!$A$1:$I$89,3,0)*VLOOKUP('Données projet'!$B$11,Paramètres!$A$1:$I$89,5,0)</f>
        <v>76.40100000000001</v>
      </c>
      <c r="BF33" s="13">
        <f t="shared" si="37"/>
        <v>21.254866389291809</v>
      </c>
      <c r="BG33" s="20">
        <f t="shared" si="7"/>
        <v>170.08396729468322</v>
      </c>
      <c r="BH33" s="59">
        <f t="shared" si="8"/>
        <v>463.41730062801651</v>
      </c>
      <c r="BI33" s="59">
        <f ca="1">AVERAGE(OFFSET($BH$3,0,0,'Données projet'!$E$11+1,1))-AVERAGE(OFFSET($H$3,0,0,'Données projet'!$E$11+1,1))</f>
        <v>496.71433459306451</v>
      </c>
      <c r="BJ33" s="59">
        <f t="shared" si="38"/>
        <v>206.75063396134982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15.48351648351648</v>
      </c>
      <c r="N34" s="13">
        <f>IF('Données projet'!$A$36&gt;35,N33+M34-V33,IF(A34&lt;'Données projet'!$A$36,$K$205^A34,IF(A34='Données projet'!$A$36,'Données projet'!$B$36,N33+M34-V33)))</f>
        <v>175.26813186813192</v>
      </c>
      <c r="O34" s="13">
        <f>N34*VLOOKUP('Données projet'!$B$9,Paramètres!$A$1:$I$89,3,0)*VLOOKUP('Données projet'!$B$9,Paramètres!$A$1:$I$89,5,0)</f>
        <v>104.8103428571429</v>
      </c>
      <c r="P34" s="13">
        <f t="shared" si="33"/>
        <v>28.104843056220705</v>
      </c>
      <c r="Q34" s="20">
        <f t="shared" si="2"/>
        <v>231.49394879910827</v>
      </c>
      <c r="R34" s="59">
        <f t="shared" si="0"/>
        <v>524.82728213244161</v>
      </c>
      <c r="S34" s="59">
        <f ca="1">AVERAGE(OFFSET($R$3,0,0,'Données projet'!$E$9+1,1))-AVERAGE(OFFSET($H$3,0,0,'Données projet'!$E$9+1,1))</f>
        <v>355.09162485318728</v>
      </c>
      <c r="T34" s="59">
        <f t="shared" si="34"/>
        <v>320.06572891923685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22.478976362971292</v>
      </c>
      <c r="AA34" s="21">
        <f>EXP(-LN(2)/25)*AA33+(1-EXP(-LN(2)/25))/(LN(2)/25)*Calculateur!V34*Calculateur!X34*VLOOKUP('Données projet'!$B$9,Paramètres!$A$1:$I$89,3,0)*0.475*44/12</f>
        <v>11.878594733946381</v>
      </c>
      <c r="AB34" s="21">
        <f>EXP(-LN(2)/2)*AB33+(1-EXP(-LN(2)/2))/(LN(2)/2)*V34*Y34*VLOOKUP('Données projet'!$B$9,Paramètres!$A$1:$I$89,3,0)*0.475*44/12</f>
        <v>4.0666584353527986</v>
      </c>
      <c r="AC34" s="22">
        <f t="shared" si="3"/>
        <v>38.424229532270473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5.4791666666666652</v>
      </c>
      <c r="AI34" s="13">
        <f>IF('Données projet'!$A$62&gt;35,AI33+AH34-AQ33,IF(A34&lt;'Données projet'!$A$62,$AF$205^A34,IF(A34='Données projet'!$A$62,'Données projet'!$B$62,AI33+AH34-AQ33)))</f>
        <v>80.825320512820525</v>
      </c>
      <c r="AJ34" s="13">
        <f>AI34*VLOOKUP('Données projet'!$B$10,Paramètres!$A$1:$I$89,3,0)*VLOOKUP('Données projet'!$B$10,Paramètres!$A$1:$I$89,5,0)</f>
        <v>73.130750000000006</v>
      </c>
      <c r="AK34" s="13">
        <f t="shared" si="35"/>
        <v>20.448942280216116</v>
      </c>
      <c r="AL34" s="20">
        <f t="shared" si="4"/>
        <v>162.98463072137639</v>
      </c>
      <c r="AM34" s="59">
        <f t="shared" si="5"/>
        <v>456.31796405470971</v>
      </c>
      <c r="AN34" s="59">
        <f ca="1">AVERAGE(OFFSET($AM$3,0,0,'Données projet'!$E$10+1,1))-AVERAGE(OFFSET($H$3,0,0,'Données projet'!$E$10+1,1))</f>
        <v>447.91110718952615</v>
      </c>
      <c r="AO34" s="59">
        <f t="shared" si="36"/>
        <v>188.87492758536894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5.4791666666666652</v>
      </c>
      <c r="BD34" s="12">
        <f>IF('Données projet'!$A$88&gt;35,BD33+BC34-BL33,IF(A34&lt;'Données projet'!$A$88,$BA$205^A34,IF(A34='Données projet'!$A$88,'Données projet'!$B$88,BD33+BC34-BL33)))</f>
        <v>80.825320512820525</v>
      </c>
      <c r="BE34" s="13">
        <f>BD34*VLOOKUP('Données projet'!$B$11,Paramètres!$A$1:$I$89,3,0)*VLOOKUP('Données projet'!$B$11,Paramètres!$A$1:$I$89,5,0)</f>
        <v>81.956875000000011</v>
      </c>
      <c r="BF34" s="13">
        <f t="shared" si="37"/>
        <v>22.614975203650118</v>
      </c>
      <c r="BG34" s="20">
        <f t="shared" si="7"/>
        <v>182.12930577135731</v>
      </c>
      <c r="BH34" s="59">
        <f t="shared" si="8"/>
        <v>475.46263910469065</v>
      </c>
      <c r="BI34" s="59">
        <f ca="1">AVERAGE(OFFSET($BH$3,0,0,'Données projet'!$E$11+1,1))-AVERAGE(OFFSET($H$3,0,0,'Données projet'!$E$11+1,1))</f>
        <v>496.71433459306451</v>
      </c>
      <c r="BJ34" s="59">
        <f t="shared" si="38"/>
        <v>206.75063396134982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15.48351648351648</v>
      </c>
      <c r="N35" s="13">
        <f>IF('Données projet'!$A$36&gt;35,N34+M35-V34,IF(A35&lt;'Données projet'!$A$36,$K$205^A35,IF(A35='Données projet'!$A$36,'Données projet'!$B$36,N34+M35-V34)))</f>
        <v>190.75164835164838</v>
      </c>
      <c r="O35" s="13">
        <f>N35*VLOOKUP('Données projet'!$B$9,Paramètres!$A$1:$I$89,3,0)*VLOOKUP('Données projet'!$B$9,Paramètres!$A$1:$I$89,5,0)</f>
        <v>114.06948571428575</v>
      </c>
      <c r="P35" s="13">
        <f t="shared" si="33"/>
        <v>30.287750600607666</v>
      </c>
      <c r="Q35" s="20">
        <f t="shared" ref="Q35:Q66" si="53">(O35+P35)*0.475*44/12</f>
        <v>251.42218658177271</v>
      </c>
      <c r="R35" s="59">
        <f t="shared" si="0"/>
        <v>544.75551991510599</v>
      </c>
      <c r="S35" s="59">
        <f ca="1">AVERAGE(OFFSET($R$3,0,0,'Données projet'!$E$9+1,1))-AVERAGE(OFFSET($H$3,0,0,'Données projet'!$E$9+1,1))</f>
        <v>355.09162485318728</v>
      </c>
      <c r="T35" s="59">
        <f t="shared" si="34"/>
        <v>320.06572891923685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22.038177347315173</v>
      </c>
      <c r="AA35" s="21">
        <f>EXP(-LN(2)/25)*AA34+(1-EXP(-LN(2)/25))/(LN(2)/25)*Calculateur!V35*Calculateur!X35*VLOOKUP('Données projet'!$B$9,Paramètres!$A$1:$I$89,3,0)*0.475*44/12</f>
        <v>11.553773936278469</v>
      </c>
      <c r="AB35" s="21">
        <f>EXP(-LN(2)/2)*AB34+(1-EXP(-LN(2)/2))/(LN(2)/2)*V35*Y35*VLOOKUP('Données projet'!$B$9,Paramètres!$A$1:$I$89,3,0)*0.475*44/12</f>
        <v>2.8755617564074392</v>
      </c>
      <c r="AC35" s="22">
        <f t="shared" si="3"/>
        <v>36.46751304000108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5.4791666666666652</v>
      </c>
      <c r="AI35" s="13">
        <f>IF('Données projet'!$A$62&gt;35,AI34+AH35-AQ34,IF(A35&lt;'Données projet'!$A$62,$AF$205^A35,IF(A35='Données projet'!$A$62,'Données projet'!$B$62,AI34+AH35-AQ34)))</f>
        <v>86.304487179487197</v>
      </c>
      <c r="AJ35" s="13">
        <f>AI35*VLOOKUP('Données projet'!$B$10,Paramètres!$A$1:$I$89,3,0)*VLOOKUP('Données projet'!$B$10,Paramètres!$A$1:$I$89,5,0)</f>
        <v>78.088300000000004</v>
      </c>
      <c r="AK35" s="13">
        <f t="shared" si="35"/>
        <v>21.669107614619822</v>
      </c>
      <c r="AL35" s="20">
        <f t="shared" si="4"/>
        <v>173.74415159546285</v>
      </c>
      <c r="AM35" s="59">
        <f t="shared" si="5"/>
        <v>467.07748492879614</v>
      </c>
      <c r="AN35" s="59">
        <f ca="1">AVERAGE(OFFSET($AM$3,0,0,'Données projet'!$E$10+1,1))-AVERAGE(OFFSET($H$3,0,0,'Données projet'!$E$10+1,1))</f>
        <v>447.91110718952615</v>
      </c>
      <c r="AO35" s="59">
        <f t="shared" si="36"/>
        <v>188.87492758536894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5.4791666666666652</v>
      </c>
      <c r="BD35" s="12">
        <f>IF('Données projet'!$A$88&gt;35,BD34+BC35-BL34,IF(A35&lt;'Données projet'!$A$88,$BA$205^A35,IF(A35='Données projet'!$A$88,'Données projet'!$B$88,BD34+BC35-BL34)))</f>
        <v>86.304487179487197</v>
      </c>
      <c r="BE35" s="13">
        <f>BD35*VLOOKUP('Données projet'!$B$11,Paramètres!$A$1:$I$89,3,0)*VLOOKUP('Données projet'!$B$11,Paramètres!$A$1:$I$89,5,0)</f>
        <v>87.512750000000025</v>
      </c>
      <c r="BF35" s="13">
        <f t="shared" si="37"/>
        <v>23.964385280893545</v>
      </c>
      <c r="BG35" s="20">
        <f t="shared" si="7"/>
        <v>194.15601061422299</v>
      </c>
      <c r="BH35" s="59">
        <f t="shared" si="8"/>
        <v>487.48934394755634</v>
      </c>
      <c r="BI35" s="59">
        <f ca="1">AVERAGE(OFFSET($BH$3,0,0,'Données projet'!$E$11+1,1))-AVERAGE(OFFSET($H$3,0,0,'Données projet'!$E$11+1,1))</f>
        <v>496.71433459306451</v>
      </c>
      <c r="BJ35" s="59">
        <f t="shared" si="38"/>
        <v>206.75063396134982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15.48351648351648</v>
      </c>
      <c r="N36" s="13">
        <f>IF('Données projet'!$A$36&gt;35,N35+M36-V35,IF(A36&lt;'Données projet'!$A$36,$K$205^A36,IF(A36='Données projet'!$A$36,'Données projet'!$B$36,N35+M36-V35)))</f>
        <v>206.23516483516485</v>
      </c>
      <c r="O36" s="13">
        <f>N36*VLOOKUP('Données projet'!$B$9,Paramètres!$A$1:$I$89,3,0)*VLOOKUP('Données projet'!$B$9,Paramètres!$A$1:$I$89,5,0)</f>
        <v>123.3286285714286</v>
      </c>
      <c r="P36" s="13">
        <f t="shared" si="33"/>
        <v>32.450106672465495</v>
      </c>
      <c r="Q36" s="20">
        <f t="shared" si="53"/>
        <v>271.31463054978218</v>
      </c>
      <c r="R36" s="59">
        <f t="shared" si="0"/>
        <v>564.64796388311549</v>
      </c>
      <c r="S36" s="59">
        <f ca="1">AVERAGE(OFFSET($R$3,0,0,'Données projet'!$E$9+1,1))-AVERAGE(OFFSET($H$3,0,0,'Données projet'!$E$9+1,1))</f>
        <v>355.09162485318728</v>
      </c>
      <c r="T36" s="59">
        <f t="shared" si="34"/>
        <v>320.06572891923685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21.606022131495219</v>
      </c>
      <c r="AA36" s="21">
        <f>EXP(-LN(2)/25)*AA35+(1-EXP(-LN(2)/25))/(LN(2)/25)*Calculateur!V36*Calculateur!X36*VLOOKUP('Données projet'!$B$9,Paramètres!$A$1:$I$89,3,0)*0.475*44/12</f>
        <v>11.23783538040437</v>
      </c>
      <c r="AB36" s="21">
        <f>EXP(-LN(2)/2)*AB35+(1-EXP(-LN(2)/2))/(LN(2)/2)*V36*Y36*VLOOKUP('Données projet'!$B$9,Paramètres!$A$1:$I$89,3,0)*0.475*44/12</f>
        <v>2.0333292176763993</v>
      </c>
      <c r="AC36" s="22">
        <f t="shared" si="3"/>
        <v>34.877186729575982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5.4791666666666652</v>
      </c>
      <c r="AI36" s="13">
        <f>IF('Données projet'!$A$62&gt;35,AI35+AH36-AQ35,IF(A36&lt;'Données projet'!$A$62,$AF$205^A36,IF(A36='Données projet'!$A$62,'Données projet'!$B$62,AI35+AH36-AQ35)))</f>
        <v>91.783653846153868</v>
      </c>
      <c r="AJ36" s="13">
        <f>AI36*VLOOKUP('Données projet'!$B$10,Paramètres!$A$1:$I$89,3,0)*VLOOKUP('Données projet'!$B$10,Paramètres!$A$1:$I$89,5,0)</f>
        <v>83.045850000000016</v>
      </c>
      <c r="AK36" s="13">
        <f t="shared" si="35"/>
        <v>22.880283002768671</v>
      </c>
      <c r="AL36" s="20">
        <f t="shared" si="4"/>
        <v>184.48801497982217</v>
      </c>
      <c r="AM36" s="59">
        <f t="shared" si="5"/>
        <v>477.82134831315545</v>
      </c>
      <c r="AN36" s="59">
        <f ca="1">AVERAGE(OFFSET($AM$3,0,0,'Données projet'!$E$10+1,1))-AVERAGE(OFFSET($H$3,0,0,'Données projet'!$E$10+1,1))</f>
        <v>447.91110718952615</v>
      </c>
      <c r="AO36" s="59">
        <f t="shared" si="36"/>
        <v>188.87492758536894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5.4791666666666652</v>
      </c>
      <c r="BD36" s="12">
        <f>IF('Données projet'!$A$88&gt;35,BD35+BC36-BL35,IF(A36&lt;'Données projet'!$A$88,$BA$205^A36,IF(A36='Données projet'!$A$88,'Données projet'!$B$88,BD35+BC36-BL35)))</f>
        <v>91.783653846153868</v>
      </c>
      <c r="BE36" s="13">
        <f>BD36*VLOOKUP('Données projet'!$B$11,Paramètres!$A$1:$I$89,3,0)*VLOOKUP('Données projet'!$B$11,Paramètres!$A$1:$I$89,5,0)</f>
        <v>93.068625000000026</v>
      </c>
      <c r="BF36" s="13">
        <f t="shared" si="37"/>
        <v>25.303853161183731</v>
      </c>
      <c r="BG36" s="20">
        <f t="shared" si="7"/>
        <v>206.16539946406169</v>
      </c>
      <c r="BH36" s="59">
        <f t="shared" si="8"/>
        <v>499.49873279739501</v>
      </c>
      <c r="BI36" s="59">
        <f ca="1">AVERAGE(OFFSET($BH$3,0,0,'Données projet'!$E$11+1,1))-AVERAGE(OFFSET($H$3,0,0,'Données projet'!$E$11+1,1))</f>
        <v>496.71433459306451</v>
      </c>
      <c r="BJ36" s="59">
        <f t="shared" si="38"/>
        <v>206.75063396134982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15.48351648351648</v>
      </c>
      <c r="N37" s="13">
        <f>IF('Données projet'!$A$36&gt;35,N36+M37-V36,IF(A37&lt;'Données projet'!$A$36,$K$205^A37,IF(A37='Données projet'!$A$36,'Données projet'!$B$36,N36+M37-V36)))</f>
        <v>221.71868131868132</v>
      </c>
      <c r="O37" s="13">
        <f>N37*VLOOKUP('Données projet'!$B$9,Paramètres!$A$1:$I$89,3,0)*VLOOKUP('Données projet'!$B$9,Paramètres!$A$1:$I$89,5,0)</f>
        <v>132.58777142857144</v>
      </c>
      <c r="P37" s="13">
        <f t="shared" si="33"/>
        <v>34.593629659414489</v>
      </c>
      <c r="Q37" s="20">
        <f t="shared" si="53"/>
        <v>291.17427356157549</v>
      </c>
      <c r="R37" s="59">
        <f t="shared" si="0"/>
        <v>584.5076068949088</v>
      </c>
      <c r="S37" s="59">
        <f ca="1">AVERAGE(OFFSET($R$3,0,0,'Données projet'!$E$9+1,1))-AVERAGE(OFFSET($H$3,0,0,'Données projet'!$E$9+1,1))</f>
        <v>355.09162485318728</v>
      </c>
      <c r="T37" s="59">
        <f t="shared" si="34"/>
        <v>320.06572891923685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21.182341215868842</v>
      </c>
      <c r="AA37" s="21">
        <f>EXP(-LN(2)/25)*AA36+(1-EXP(-LN(2)/25))/(LN(2)/25)*Calculateur!V37*Calculateur!X37*VLOOKUP('Données projet'!$B$9,Paramètres!$A$1:$I$89,3,0)*0.475*44/12</f>
        <v>10.930536180955134</v>
      </c>
      <c r="AB37" s="21">
        <f>EXP(-LN(2)/2)*AB36+(1-EXP(-LN(2)/2))/(LN(2)/2)*V37*Y37*VLOOKUP('Données projet'!$B$9,Paramètres!$A$1:$I$89,3,0)*0.475*44/12</f>
        <v>1.4377808782037196</v>
      </c>
      <c r="AC37" s="22">
        <f t="shared" si="3"/>
        <v>33.550658275027693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5.4791666666666652</v>
      </c>
      <c r="AI37" s="13">
        <f>IF('Données projet'!$A$62&gt;35,AI36+AH37-AQ36,IF(A37&lt;'Données projet'!$A$62,$AF$205^A37,IF(A37='Données projet'!$A$62,'Données projet'!$B$62,AI36+AH37-AQ36)))</f>
        <v>97.262820512820539</v>
      </c>
      <c r="AJ37" s="13">
        <f>AI37*VLOOKUP('Données projet'!$B$10,Paramètres!$A$1:$I$89,3,0)*VLOOKUP('Données projet'!$B$10,Paramètres!$A$1:$I$89,5,0)</f>
        <v>88.003400000000013</v>
      </c>
      <c r="AK37" s="13">
        <f t="shared" si="35"/>
        <v>24.083066235714515</v>
      </c>
      <c r="AL37" s="20">
        <f t="shared" si="4"/>
        <v>195.21726202720279</v>
      </c>
      <c r="AM37" s="59">
        <f t="shared" si="5"/>
        <v>488.55059536053614</v>
      </c>
      <c r="AN37" s="59">
        <f ca="1">AVERAGE(OFFSET($AM$3,0,0,'Données projet'!$E$10+1,1))-AVERAGE(OFFSET($H$3,0,0,'Données projet'!$E$10+1,1))</f>
        <v>447.91110718952615</v>
      </c>
      <c r="AO37" s="59">
        <f t="shared" si="36"/>
        <v>188.87492758536894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5.4791666666666652</v>
      </c>
      <c r="BD37" s="12">
        <f>IF('Données projet'!$A$88&gt;35,BD36+BC37-BL36,IF(A37&lt;'Données projet'!$A$88,$BA$205^A37,IF(A37='Données projet'!$A$88,'Données projet'!$B$88,BD36+BC37-BL36)))</f>
        <v>97.262820512820539</v>
      </c>
      <c r="BE37" s="13">
        <f>BD37*VLOOKUP('Données projet'!$B$11,Paramètres!$A$1:$I$89,3,0)*VLOOKUP('Données projet'!$B$11,Paramètres!$A$1:$I$89,5,0)</f>
        <v>98.62450000000004</v>
      </c>
      <c r="BF37" s="13">
        <f t="shared" si="37"/>
        <v>26.634039955967385</v>
      </c>
      <c r="BG37" s="20">
        <f t="shared" si="7"/>
        <v>218.15862375664324</v>
      </c>
      <c r="BH37" s="59">
        <f t="shared" si="8"/>
        <v>511.49195708997655</v>
      </c>
      <c r="BI37" s="59">
        <f ca="1">AVERAGE(OFFSET($BH$3,0,0,'Données projet'!$E$11+1,1))-AVERAGE(OFFSET($H$3,0,0,'Données projet'!$E$11+1,1))</f>
        <v>496.71433459306451</v>
      </c>
      <c r="BJ37" s="59">
        <f t="shared" si="38"/>
        <v>206.75063396134982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15.48351648351648</v>
      </c>
      <c r="N38" s="13">
        <f>IF('Données projet'!$A$36&gt;35,N37+M38-V37,IF(A38&lt;'Données projet'!$A$36,$K$205^A38,IF(A38='Données projet'!$A$36,'Données projet'!$B$36,N37+M38-V37)))</f>
        <v>237.20219780219779</v>
      </c>
      <c r="O38" s="13">
        <f>N38*VLOOKUP('Données projet'!$B$9,Paramètres!$A$1:$I$89,3,0)*VLOOKUP('Données projet'!$B$9,Paramètres!$A$1:$I$89,5,0)</f>
        <v>141.84691428571429</v>
      </c>
      <c r="P38" s="13">
        <f t="shared" si="33"/>
        <v>36.719784353381193</v>
      </c>
      <c r="Q38" s="20">
        <f t="shared" si="53"/>
        <v>311.00366679642457</v>
      </c>
      <c r="R38" s="59">
        <f t="shared" si="0"/>
        <v>604.33700012975783</v>
      </c>
      <c r="S38" s="59">
        <f ca="1">AVERAGE(OFFSET($R$3,0,0,'Données projet'!$E$9+1,1))-AVERAGE(OFFSET($H$3,0,0,'Données projet'!$E$9+1,1))</f>
        <v>355.09162485318728</v>
      </c>
      <c r="T38" s="59">
        <f t="shared" si="34"/>
        <v>320.06572891923685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20.766968424578057</v>
      </c>
      <c r="AA38" s="21">
        <f>EXP(-LN(2)/25)*AA37+(1-EXP(-LN(2)/25))/(LN(2)/25)*Calculateur!V38*Calculateur!X38*VLOOKUP('Données projet'!$B$9,Paramètres!$A$1:$I$89,3,0)*0.475*44/12</f>
        <v>10.631640094274999</v>
      </c>
      <c r="AB38" s="21">
        <f>EXP(-LN(2)/2)*AB37+(1-EXP(-LN(2)/2))/(LN(2)/2)*V38*Y38*VLOOKUP('Données projet'!$B$9,Paramètres!$A$1:$I$89,3,0)*0.475*44/12</f>
        <v>1.0166646088381996</v>
      </c>
      <c r="AC38" s="22">
        <f t="shared" si="3"/>
        <v>32.415273127691258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5.4791666666666652</v>
      </c>
      <c r="AI38" s="13">
        <f>IF('Données projet'!$A$62&gt;35,AI37+AH38-AQ37,IF(A38&lt;'Données projet'!$A$62,$AF$205^A38,IF(A38='Données projet'!$A$62,'Données projet'!$B$62,AI37+AH38-AQ37)))</f>
        <v>102.74198717948721</v>
      </c>
      <c r="AJ38" s="13">
        <f>AI38*VLOOKUP('Données projet'!$B$10,Paramètres!$A$1:$I$89,3,0)*VLOOKUP('Données projet'!$B$10,Paramètres!$A$1:$I$89,5,0)</f>
        <v>92.960950000000025</v>
      </c>
      <c r="AK38" s="13">
        <f t="shared" si="35"/>
        <v>25.277983948995907</v>
      </c>
      <c r="AL38" s="20">
        <f t="shared" si="4"/>
        <v>205.93280996116789</v>
      </c>
      <c r="AM38" s="59">
        <f t="shared" si="5"/>
        <v>499.26614329450121</v>
      </c>
      <c r="AN38" s="59">
        <f ca="1">AVERAGE(OFFSET($AM$3,0,0,'Données projet'!$E$10+1,1))-AVERAGE(OFFSET($H$3,0,0,'Données projet'!$E$10+1,1))</f>
        <v>447.91110718952615</v>
      </c>
      <c r="AO38" s="59">
        <f t="shared" si="36"/>
        <v>188.87492758536894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5.4791666666666652</v>
      </c>
      <c r="BD38" s="12">
        <f>IF('Données projet'!$A$88&gt;35,BD37+BC38-BL37,IF(A38&lt;'Données projet'!$A$88,$BA$205^A38,IF(A38='Données projet'!$A$88,'Données projet'!$B$88,BD37+BC38-BL37)))</f>
        <v>102.74198717948721</v>
      </c>
      <c r="BE38" s="13">
        <f>BD38*VLOOKUP('Données projet'!$B$11,Paramètres!$A$1:$I$89,3,0)*VLOOKUP('Données projet'!$B$11,Paramètres!$A$1:$I$89,5,0)</f>
        <v>104.18037500000004</v>
      </c>
      <c r="BF38" s="13">
        <f t="shared" si="37"/>
        <v>27.955528084104234</v>
      </c>
      <c r="BG38" s="20">
        <f t="shared" si="7"/>
        <v>230.13669787148163</v>
      </c>
      <c r="BH38" s="59">
        <f t="shared" si="8"/>
        <v>523.47003120481497</v>
      </c>
      <c r="BI38" s="59">
        <f ca="1">AVERAGE(OFFSET($BH$3,0,0,'Données projet'!$E$11+1,1))-AVERAGE(OFFSET($H$3,0,0,'Données projet'!$E$11+1,1))</f>
        <v>496.71433459306451</v>
      </c>
      <c r="BJ38" s="59">
        <f t="shared" si="38"/>
        <v>206.75063396134982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15.48351648351648</v>
      </c>
      <c r="N39" s="13">
        <f>IF('Données projet'!$A$36&gt;35,N38+M39-V38,IF(A39&lt;'Données projet'!$A$36,$K$205^A39,IF(A39='Données projet'!$A$36,'Données projet'!$B$36,N38+M39-V38)))</f>
        <v>252.68571428571425</v>
      </c>
      <c r="O39" s="13">
        <f>N39*VLOOKUP('Données projet'!$B$9,Paramètres!$A$1:$I$89,3,0)*VLOOKUP('Données projet'!$B$9,Paramètres!$A$1:$I$89,5,0)</f>
        <v>151.10605714285714</v>
      </c>
      <c r="P39" s="13">
        <f t="shared" si="33"/>
        <v>38.829833501111224</v>
      </c>
      <c r="Q39" s="20">
        <f t="shared" si="53"/>
        <v>330.80500953824486</v>
      </c>
      <c r="R39" s="59">
        <f t="shared" si="0"/>
        <v>624.13834287157817</v>
      </c>
      <c r="S39" s="59">
        <f ca="1">AVERAGE(OFFSET($R$3,0,0,'Données projet'!$E$9+1,1))-AVERAGE(OFFSET($H$3,0,0,'Données projet'!$E$9+1,1))</f>
        <v>355.09162485318728</v>
      </c>
      <c r="T39" s="59">
        <f t="shared" si="34"/>
        <v>320.06572891923685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20.359740840372098</v>
      </c>
      <c r="AA39" s="21">
        <f>EXP(-LN(2)/25)*AA38+(1-EXP(-LN(2)/25))/(LN(2)/25)*Calculateur!V39*Calculateur!X39*VLOOKUP('Données projet'!$B$9,Paramètres!$A$1:$I$89,3,0)*0.475*44/12</f>
        <v>10.340917336803395</v>
      </c>
      <c r="AB39" s="21">
        <f>EXP(-LN(2)/2)*AB38+(1-EXP(-LN(2)/2))/(LN(2)/2)*V39*Y39*VLOOKUP('Données projet'!$B$9,Paramètres!$A$1:$I$89,3,0)*0.475*44/12</f>
        <v>0.71889043910185979</v>
      </c>
      <c r="AC39" s="22">
        <f t="shared" si="3"/>
        <v>31.41954861627735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5.4791666666666652</v>
      </c>
      <c r="AI39" s="13">
        <f>IF('Données projet'!$A$62&gt;35,AI38+AH39-AQ38,IF(A39&lt;'Données projet'!$A$62,$AF$205^A39,IF(A39='Données projet'!$A$62,'Données projet'!$B$62,AI38+AH39-AQ38)))</f>
        <v>108.22115384615388</v>
      </c>
      <c r="AJ39" s="13">
        <f>AI39*VLOOKUP('Données projet'!$B$10,Paramètres!$A$1:$I$89,3,0)*VLOOKUP('Données projet'!$B$10,Paramètres!$A$1:$I$89,5,0)</f>
        <v>97.918500000000037</v>
      </c>
      <c r="AK39" s="13">
        <f t="shared" si="35"/>
        <v>26.465503435437213</v>
      </c>
      <c r="AL39" s="20">
        <f t="shared" si="4"/>
        <v>216.6354726500532</v>
      </c>
      <c r="AM39" s="59">
        <f t="shared" si="5"/>
        <v>509.96880598338652</v>
      </c>
      <c r="AN39" s="59">
        <f ca="1">AVERAGE(OFFSET($AM$3,0,0,'Données projet'!$E$10+1,1))-AVERAGE(OFFSET($H$3,0,0,'Données projet'!$E$10+1,1))</f>
        <v>447.91110718952615</v>
      </c>
      <c r="AO39" s="59">
        <f t="shared" si="36"/>
        <v>188.87492758536894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5.4791666666666652</v>
      </c>
      <c r="BD39" s="12">
        <f>IF('Données projet'!$A$88&gt;35,BD38+BC39-BL38,IF(A39&lt;'Données projet'!$A$88,$BA$205^A39,IF(A39='Données projet'!$A$88,'Données projet'!$B$88,BD38+BC39-BL38)))</f>
        <v>108.22115384615388</v>
      </c>
      <c r="BE39" s="13">
        <f>BD39*VLOOKUP('Données projet'!$B$11,Paramètres!$A$1:$I$89,3,0)*VLOOKUP('Données projet'!$B$11,Paramètres!$A$1:$I$89,5,0)</f>
        <v>109.73625000000006</v>
      </c>
      <c r="BF39" s="13">
        <f t="shared" si="37"/>
        <v>29.268834335924563</v>
      </c>
      <c r="BG39" s="20">
        <f t="shared" si="7"/>
        <v>242.1005218850687</v>
      </c>
      <c r="BH39" s="59">
        <f t="shared" si="8"/>
        <v>535.43385521840196</v>
      </c>
      <c r="BI39" s="59">
        <f ca="1">AVERAGE(OFFSET($BH$3,0,0,'Données projet'!$E$11+1,1))-AVERAGE(OFFSET($H$3,0,0,'Données projet'!$E$11+1,1))</f>
        <v>496.71433459306451</v>
      </c>
      <c r="BJ39" s="59">
        <f t="shared" si="38"/>
        <v>206.75063396134982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>
        <f>VLOOKUP(A40,'Données projet'!$A$35:$I$55,2,0)</f>
        <v>268.16923076923075</v>
      </c>
      <c r="L40" s="12">
        <f>VLOOKUP(A40,'Données projet'!$A$35:$I$55,9,0)</f>
        <v>15.48351648351648</v>
      </c>
      <c r="M40" s="12">
        <f t="array" ref="M40">INDEX(L:L,MIN(IF(ISNUMBER(L40:L236),ROW(L40:L236),"")))</f>
        <v>15.48351648351648</v>
      </c>
      <c r="N40" s="13">
        <f>IF('Données projet'!$A$36&gt;35,N39+M40-V39,IF(A40&lt;'Données projet'!$A$36,$K$205^A40,IF(A40='Données projet'!$A$36,'Données projet'!$B$36,N39+M40-V39)))</f>
        <v>268.16923076923075</v>
      </c>
      <c r="O40" s="13">
        <f>N40*VLOOKUP('Données projet'!$B$9,Paramètres!$A$1:$I$89,3,0)*VLOOKUP('Données projet'!$B$9,Paramètres!$A$1:$I$89,5,0)</f>
        <v>160.36520000000002</v>
      </c>
      <c r="P40" s="13">
        <f t="shared" si="33"/>
        <v>40.924876352970031</v>
      </c>
      <c r="Q40" s="20">
        <f t="shared" si="53"/>
        <v>350.58021631475617</v>
      </c>
      <c r="R40" s="59">
        <f t="shared" si="0"/>
        <v>643.91354964808943</v>
      </c>
      <c r="S40" s="59">
        <f ca="1">AVERAGE(OFFSET($R$3,0,0,'Données projet'!$E$9+1,1))-AVERAGE(OFFSET($H$3,0,0,'Données projet'!$E$9+1,1))</f>
        <v>355.09162485318728</v>
      </c>
      <c r="T40" s="59">
        <f t="shared" si="34"/>
        <v>320.06572891923685</v>
      </c>
      <c r="U40" s="15">
        <f>IF(ISNA(VLOOKUP(A40,'Données projet'!$A$35:$I$55,3,0)),0,VLOOKUP(A40,'Données projet'!$A$35:$I$55,3,0))</f>
        <v>4</v>
      </c>
      <c r="V40" s="15">
        <f>IF(ISNA(VLOOKUP(A40,'Données projet'!$A$35:$I$55,4,0)),0,VLOOKUP(A40,'Données projet'!$A$35:$I$55,4,0))</f>
        <v>43.623076923076923</v>
      </c>
      <c r="W40" s="16">
        <f>IF(ISNA(VLOOKUP(A40,'Données projet'!$A$35:$I$55,5,0)),0%,VLOOKUP(A40,'Données projet'!$A$35:$I$55,5,0)*VLOOKUP('Données projet'!$B$9,Paramètres!$A$1:$I$89,7,0))</f>
        <v>0.315</v>
      </c>
      <c r="X40" s="16">
        <f>IF(ISNA(VLOOKUP(A40,'Données projet'!$A$35:$I$55,6,0)),0%,VLOOKUP(A40,'Données projet'!$A$35:$I$55,6,0)*VLOOKUP('Données projet'!$B$9,Paramètres!$A$1:$I$89,7,0))</f>
        <v>7.5600000000000001E-2</v>
      </c>
      <c r="Y40" s="16">
        <f>IF(ISNA(VLOOKUP(A40,'Données projet'!$A$35:$I$55,7,0)),0%,VLOOKUP(A40,'Données projet'!$A$35:$I$55,7,0))</f>
        <v>0.13200000000000001</v>
      </c>
      <c r="Z40" s="21">
        <f>EXP(-LN(2)/35)*Z39+(1-EXP(-LN(2)/35))/(LN(2)/35)*V40*W40*VLOOKUP('Données projet'!$B$9,Paramètres!$A$1:$I$89,3,0)*0.475*44/12</f>
        <v>30.861248982537887</v>
      </c>
      <c r="AA40" s="21">
        <f>EXP(-LN(2)/25)*AA39+(1-EXP(-LN(2)/25))/(LN(2)/25)*Calculateur!V40*Calculateur!X40*VLOOKUP('Données projet'!$B$9,Paramètres!$A$1:$I$89,3,0)*0.475*44/12</f>
        <v>12.664023568731189</v>
      </c>
      <c r="AB40" s="21">
        <f>EXP(-LN(2)/2)*AB39+(1-EXP(-LN(2)/2))/(LN(2)/2)*V40*Y40*VLOOKUP('Données projet'!$B$9,Paramètres!$A$1:$I$89,3,0)*0.475*44/12</f>
        <v>4.4070963233694158</v>
      </c>
      <c r="AC40" s="22">
        <f t="shared" si="3"/>
        <v>47.932368874638492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5.4791666666666652</v>
      </c>
      <c r="AI40" s="13">
        <f>IF('Données projet'!$A$62&gt;35,AI39+AH40-AQ39,IF(A40&lt;'Données projet'!$A$62,$AF$205^A40,IF(A40='Données projet'!$A$62,'Données projet'!$B$62,AI39+AH40-AQ39)))</f>
        <v>113.70032051282055</v>
      </c>
      <c r="AJ40" s="13">
        <f>AI40*VLOOKUP('Données projet'!$B$10,Paramètres!$A$1:$I$89,3,0)*VLOOKUP('Données projet'!$B$10,Paramètres!$A$1:$I$89,5,0)</f>
        <v>102.87605000000002</v>
      </c>
      <c r="AK40" s="13">
        <f t="shared" si="35"/>
        <v>27.646041997606424</v>
      </c>
      <c r="AL40" s="20">
        <f t="shared" si="4"/>
        <v>227.32597689583122</v>
      </c>
      <c r="AM40" s="59">
        <f t="shared" si="5"/>
        <v>520.65931022916448</v>
      </c>
      <c r="AN40" s="59">
        <f ca="1">AVERAGE(OFFSET($AM$3,0,0,'Données projet'!$E$10+1,1))-AVERAGE(OFFSET($H$3,0,0,'Données projet'!$E$10+1,1))</f>
        <v>447.91110718952615</v>
      </c>
      <c r="AO40" s="59">
        <f t="shared" si="36"/>
        <v>188.87492758536894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5.4791666666666652</v>
      </c>
      <c r="BD40" s="12">
        <f>IF('Données projet'!$A$88&gt;35,BD39+BC40-BL39,IF(A40&lt;'Données projet'!$A$88,$BA$205^A40,IF(A40='Données projet'!$A$88,'Données projet'!$B$88,BD39+BC40-BL39)))</f>
        <v>113.70032051282055</v>
      </c>
      <c r="BE40" s="13">
        <f>BD40*VLOOKUP('Données projet'!$B$11,Paramètres!$A$1:$I$89,3,0)*VLOOKUP('Données projet'!$B$11,Paramètres!$A$1:$I$89,5,0)</f>
        <v>115.29212500000006</v>
      </c>
      <c r="BF40" s="13">
        <f t="shared" si="37"/>
        <v>30.574420216336556</v>
      </c>
      <c r="BG40" s="20">
        <f t="shared" si="7"/>
        <v>254.05089958511962</v>
      </c>
      <c r="BH40" s="59">
        <f t="shared" si="8"/>
        <v>547.38423291845288</v>
      </c>
      <c r="BI40" s="59">
        <f ca="1">AVERAGE(OFFSET($BH$3,0,0,'Données projet'!$E$11+1,1))-AVERAGE(OFFSET($H$3,0,0,'Données projet'!$E$11+1,1))</f>
        <v>496.71433459306451</v>
      </c>
      <c r="BJ40" s="59">
        <f t="shared" si="38"/>
        <v>206.75063396134982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15.364102564102561</v>
      </c>
      <c r="N41" s="13">
        <f>IF('Données projet'!$A$36&gt;35,N40+M41-V40,IF(A41&lt;'Données projet'!$A$36,$K$205^A41,IF(A41='Données projet'!$A$36,'Données projet'!$B$36,N40+M41-V40)))</f>
        <v>239.91025641025638</v>
      </c>
      <c r="O41" s="13">
        <f>N41*VLOOKUP('Données projet'!$B$9,Paramètres!$A$1:$I$89,3,0)*VLOOKUP('Données projet'!$B$9,Paramètres!$A$1:$I$89,5,0)</f>
        <v>143.46633333333332</v>
      </c>
      <c r="P41" s="13">
        <f t="shared" si="33"/>
        <v>37.089959908428597</v>
      </c>
      <c r="Q41" s="20">
        <f t="shared" si="53"/>
        <v>314.46887739606865</v>
      </c>
      <c r="R41" s="59">
        <f t="shared" si="0"/>
        <v>607.80221072940196</v>
      </c>
      <c r="S41" s="59">
        <f ca="1">AVERAGE(OFFSET($R$3,0,0,'Données projet'!$E$9+1,1))-AVERAGE(OFFSET($H$3,0,0,'Données projet'!$E$9+1,1))</f>
        <v>355.09162485318728</v>
      </c>
      <c r="T41" s="59">
        <f t="shared" si="34"/>
        <v>320.06572891923685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30.256078713493533</v>
      </c>
      <c r="AA41" s="21">
        <f>EXP(-LN(2)/25)*AA40+(1-EXP(-LN(2)/25))/(LN(2)/25)*Calculateur!V41*Calculateur!X41*VLOOKUP('Données projet'!$B$9,Paramètres!$A$1:$I$89,3,0)*0.475*44/12</f>
        <v>12.317725178272179</v>
      </c>
      <c r="AB41" s="21">
        <f>EXP(-LN(2)/2)*AB40+(1-EXP(-LN(2)/2))/(LN(2)/2)*V41*Y41*VLOOKUP('Données projet'!$B$9,Paramètres!$A$1:$I$89,3,0)*0.475*44/12</f>
        <v>3.116287695596816</v>
      </c>
      <c r="AC41" s="22">
        <f t="shared" si="3"/>
        <v>45.690091587362531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5.4791666666666652</v>
      </c>
      <c r="AI41" s="13">
        <f>IF('Données projet'!$A$62&gt;35,AI40+AH41-AQ40,IF(A41&lt;'Données projet'!$A$62,$AF$205^A41,IF(A41='Données projet'!$A$62,'Données projet'!$B$62,AI40+AH41-AQ40)))</f>
        <v>119.17948717948723</v>
      </c>
      <c r="AJ41" s="13">
        <f>AI41*VLOOKUP('Données projet'!$B$10,Paramètres!$A$1:$I$89,3,0)*VLOOKUP('Données projet'!$B$10,Paramètres!$A$1:$I$89,5,0)</f>
        <v>107.83360000000003</v>
      </c>
      <c r="AK41" s="13">
        <f t="shared" si="35"/>
        <v>28.819974446397296</v>
      </c>
      <c r="AL41" s="20">
        <f t="shared" si="4"/>
        <v>238.00497549414197</v>
      </c>
      <c r="AM41" s="59">
        <f t="shared" si="5"/>
        <v>531.33830882747532</v>
      </c>
      <c r="AN41" s="59">
        <f ca="1">AVERAGE(OFFSET($AM$3,0,0,'Données projet'!$E$10+1,1))-AVERAGE(OFFSET($H$3,0,0,'Données projet'!$E$10+1,1))</f>
        <v>447.91110718952615</v>
      </c>
      <c r="AO41" s="59">
        <f t="shared" si="36"/>
        <v>188.87492758536894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5.4791666666666652</v>
      </c>
      <c r="BD41" s="12">
        <f>IF('Données projet'!$A$88&gt;35,BD40+BC41-BL40,IF(A41&lt;'Données projet'!$A$88,$BA$205^A41,IF(A41='Données projet'!$A$88,'Données projet'!$B$88,BD40+BC41-BL40)))</f>
        <v>119.17948717948723</v>
      </c>
      <c r="BE41" s="13">
        <f>BD41*VLOOKUP('Données projet'!$B$11,Paramètres!$A$1:$I$89,3,0)*VLOOKUP('Données projet'!$B$11,Paramètres!$A$1:$I$89,5,0)</f>
        <v>120.84800000000006</v>
      </c>
      <c r="BF41" s="13">
        <f t="shared" si="37"/>
        <v>31.872700237687603</v>
      </c>
      <c r="BG41" s="20">
        <f t="shared" si="7"/>
        <v>265.98855291397268</v>
      </c>
      <c r="BH41" s="59">
        <f t="shared" si="8"/>
        <v>559.321886247306</v>
      </c>
      <c r="BI41" s="59">
        <f ca="1">AVERAGE(OFFSET($BH$3,0,0,'Données projet'!$E$11+1,1))-AVERAGE(OFFSET($H$3,0,0,'Données projet'!$E$11+1,1))</f>
        <v>496.71433459306451</v>
      </c>
      <c r="BJ41" s="59">
        <f t="shared" si="38"/>
        <v>206.75063396134982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15.364102564102561</v>
      </c>
      <c r="N42" s="13">
        <f>IF('Données projet'!$A$36&gt;35,N41+M42-V41,IF(A42&lt;'Données projet'!$A$36,$K$205^A42,IF(A42='Données projet'!$A$36,'Données projet'!$B$36,N41+M42-V41)))</f>
        <v>255.27435897435893</v>
      </c>
      <c r="O42" s="13">
        <f>N42*VLOOKUP('Données projet'!$B$9,Paramètres!$A$1:$I$89,3,0)*VLOOKUP('Données projet'!$B$9,Paramètres!$A$1:$I$89,5,0)</f>
        <v>152.65406666666664</v>
      </c>
      <c r="P42" s="13">
        <f t="shared" si="33"/>
        <v>39.18111473980327</v>
      </c>
      <c r="Q42" s="20">
        <f t="shared" si="53"/>
        <v>334.11294094960175</v>
      </c>
      <c r="R42" s="59">
        <f t="shared" si="0"/>
        <v>627.44627428293506</v>
      </c>
      <c r="S42" s="59">
        <f ca="1">AVERAGE(OFFSET($R$3,0,0,'Données projet'!$E$9+1,1))-AVERAGE(OFFSET($H$3,0,0,'Données projet'!$E$9+1,1))</f>
        <v>355.09162485318728</v>
      </c>
      <c r="T42" s="59">
        <f t="shared" si="34"/>
        <v>320.06572891923685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29.662775464307721</v>
      </c>
      <c r="AA42" s="21">
        <f>EXP(-LN(2)/25)*AA41+(1-EXP(-LN(2)/25))/(LN(2)/25)*Calculateur!V42*Calculateur!X42*VLOOKUP('Données projet'!$B$9,Paramètres!$A$1:$I$89,3,0)*0.475*44/12</f>
        <v>11.980896335511311</v>
      </c>
      <c r="AB42" s="21">
        <f>EXP(-LN(2)/2)*AB41+(1-EXP(-LN(2)/2))/(LN(2)/2)*V42*Y42*VLOOKUP('Données projet'!$B$9,Paramètres!$A$1:$I$89,3,0)*0.475*44/12</f>
        <v>2.2035481616847084</v>
      </c>
      <c r="AC42" s="22">
        <f t="shared" si="3"/>
        <v>43.84721996150374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5.4791666666666652</v>
      </c>
      <c r="AI42" s="13">
        <f>IF('Données projet'!$A$62&gt;35,AI41+AH42-AQ41,IF(A42&lt;'Données projet'!$A$62,$AF$205^A42,IF(A42='Données projet'!$A$62,'Données projet'!$B$62,AI41+AH42-AQ41)))</f>
        <v>124.6586538461539</v>
      </c>
      <c r="AJ42" s="13">
        <f>AI42*VLOOKUP('Données projet'!$B$10,Paramètres!$A$1:$I$89,3,0)*VLOOKUP('Données projet'!$B$10,Paramètres!$A$1:$I$89,5,0)</f>
        <v>112.79115000000004</v>
      </c>
      <c r="AK42" s="13">
        <f t="shared" si="35"/>
        <v>29.987639181649424</v>
      </c>
      <c r="AL42" s="20">
        <f t="shared" si="4"/>
        <v>248.67305782470615</v>
      </c>
      <c r="AM42" s="59">
        <f t="shared" si="5"/>
        <v>542.00639115803949</v>
      </c>
      <c r="AN42" s="59">
        <f ca="1">AVERAGE(OFFSET($AM$3,0,0,'Données projet'!$E$10+1,1))-AVERAGE(OFFSET($H$3,0,0,'Données projet'!$E$10+1,1))</f>
        <v>447.91110718952615</v>
      </c>
      <c r="AO42" s="59">
        <f t="shared" si="36"/>
        <v>188.87492758536894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5.4791666666666652</v>
      </c>
      <c r="BD42" s="12">
        <f>IF('Données projet'!$A$88&gt;35,BD41+BC42-BL41,IF(A42&lt;'Données projet'!$A$88,$BA$205^A42,IF(A42='Données projet'!$A$88,'Données projet'!$B$88,BD41+BC42-BL41)))</f>
        <v>124.6586538461539</v>
      </c>
      <c r="BE42" s="13">
        <f>BD42*VLOOKUP('Données projet'!$B$11,Paramètres!$A$1:$I$89,3,0)*VLOOKUP('Données projet'!$B$11,Paramètres!$A$1:$I$89,5,0)</f>
        <v>126.40387500000006</v>
      </c>
      <c r="BF42" s="13">
        <f t="shared" si="37"/>
        <v>33.164048644468131</v>
      </c>
      <c r="BG42" s="20">
        <f t="shared" si="7"/>
        <v>277.91413368078207</v>
      </c>
      <c r="BH42" s="59">
        <f t="shared" si="8"/>
        <v>571.24746701411539</v>
      </c>
      <c r="BI42" s="59">
        <f ca="1">AVERAGE(OFFSET($BH$3,0,0,'Données projet'!$E$11+1,1))-AVERAGE(OFFSET($H$3,0,0,'Données projet'!$E$11+1,1))</f>
        <v>496.71433459306451</v>
      </c>
      <c r="BJ42" s="59">
        <f t="shared" si="38"/>
        <v>206.75063396134982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15.364102564102561</v>
      </c>
      <c r="N43" s="13">
        <f>IF('Données projet'!$A$36&gt;35,N42+M43-V42,IF(A43&lt;'Données projet'!$A$36,$K$205^A43,IF(A43='Données projet'!$A$36,'Données projet'!$B$36,N42+M43-V42)))</f>
        <v>270.63846153846151</v>
      </c>
      <c r="O43" s="13">
        <f>N43*VLOOKUP('Données projet'!$B$9,Paramètres!$A$1:$I$89,3,0)*VLOOKUP('Données projet'!$B$9,Paramètres!$A$1:$I$89,5,0)</f>
        <v>161.84180000000001</v>
      </c>
      <c r="P43" s="13">
        <f t="shared" si="33"/>
        <v>41.257661408086413</v>
      </c>
      <c r="Q43" s="20">
        <f t="shared" si="53"/>
        <v>353.73156195241717</v>
      </c>
      <c r="R43" s="59">
        <f t="shared" si="0"/>
        <v>647.06489528575048</v>
      </c>
      <c r="S43" s="59">
        <f ca="1">AVERAGE(OFFSET($R$3,0,0,'Données projet'!$E$9+1,1))-AVERAGE(OFFSET($H$3,0,0,'Données projet'!$E$9+1,1))</f>
        <v>355.09162485318728</v>
      </c>
      <c r="T43" s="59">
        <f t="shared" si="34"/>
        <v>320.06572891923685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29.081106529959193</v>
      </c>
      <c r="AA43" s="21">
        <f>EXP(-LN(2)/25)*AA42+(1-EXP(-LN(2)/25))/(LN(2)/25)*Calculateur!V43*Calculateur!X43*VLOOKUP('Données projet'!$B$9,Paramètres!$A$1:$I$89,3,0)*0.475*44/12</f>
        <v>11.653278095168798</v>
      </c>
      <c r="AB43" s="21">
        <f>EXP(-LN(2)/2)*AB42+(1-EXP(-LN(2)/2))/(LN(2)/2)*V43*Y43*VLOOKUP('Données projet'!$B$9,Paramètres!$A$1:$I$89,3,0)*0.475*44/12</f>
        <v>1.5581438477984082</v>
      </c>
      <c r="AC43" s="22">
        <f t="shared" si="3"/>
        <v>42.292528472926392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5.4791666666666652</v>
      </c>
      <c r="AI43" s="13">
        <f>IF('Données projet'!$A$62&gt;35,AI42+AH43-AQ42,IF(A43&lt;'Données projet'!$A$62,$AF$205^A43,IF(A43='Données projet'!$A$62,'Données projet'!$B$62,AI42+AH43-AQ42)))</f>
        <v>130.13782051282055</v>
      </c>
      <c r="AJ43" s="13">
        <f>AI43*VLOOKUP('Données projet'!$B$10,Paramètres!$A$1:$I$89,3,0)*VLOOKUP('Données projet'!$B$10,Paramètres!$A$1:$I$89,5,0)</f>
        <v>117.74870000000004</v>
      </c>
      <c r="AK43" s="13">
        <f t="shared" si="35"/>
        <v>31.149343173536209</v>
      </c>
      <c r="AL43" s="20">
        <f t="shared" si="4"/>
        <v>259.33075852724227</v>
      </c>
      <c r="AM43" s="59">
        <f t="shared" si="5"/>
        <v>552.66409186057558</v>
      </c>
      <c r="AN43" s="59">
        <f ca="1">AVERAGE(OFFSET($AM$3,0,0,'Données projet'!$E$10+1,1))-AVERAGE(OFFSET($H$3,0,0,'Données projet'!$E$10+1,1))</f>
        <v>447.91110718952615</v>
      </c>
      <c r="AO43" s="59">
        <f t="shared" si="36"/>
        <v>188.87492758536894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5.4791666666666652</v>
      </c>
      <c r="BD43" s="12">
        <f>IF('Données projet'!$A$88&gt;35,BD42+BC43-BL42,IF(A43&lt;'Données projet'!$A$88,$BA$205^A43,IF(A43='Données projet'!$A$88,'Données projet'!$B$88,BD42+BC43-BL42)))</f>
        <v>130.13782051282055</v>
      </c>
      <c r="BE43" s="13">
        <f>BD43*VLOOKUP('Données projet'!$B$11,Paramètres!$A$1:$I$89,3,0)*VLOOKUP('Données projet'!$B$11,Paramètres!$A$1:$I$89,5,0)</f>
        <v>131.95975000000004</v>
      </c>
      <c r="BF43" s="13">
        <f t="shared" si="37"/>
        <v>34.448804922347492</v>
      </c>
      <c r="BG43" s="20">
        <f t="shared" si="7"/>
        <v>289.82823315642196</v>
      </c>
      <c r="BH43" s="59">
        <f t="shared" si="8"/>
        <v>583.16156648975527</v>
      </c>
      <c r="BI43" s="59">
        <f ca="1">AVERAGE(OFFSET($BH$3,0,0,'Données projet'!$E$11+1,1))-AVERAGE(OFFSET($H$3,0,0,'Données projet'!$E$11+1,1))</f>
        <v>496.71433459306451</v>
      </c>
      <c r="BJ43" s="59">
        <f t="shared" si="38"/>
        <v>206.75063396134982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15.364102564102561</v>
      </c>
      <c r="N44" s="13">
        <f>IF('Données projet'!$A$36&gt;35,N43+M44-V43,IF(A44&lt;'Données projet'!$A$36,$K$205^A44,IF(A44='Données projet'!$A$36,'Données projet'!$B$36,N43+M44-V43)))</f>
        <v>286.00256410256407</v>
      </c>
      <c r="O44" s="13">
        <f>N44*VLOOKUP('Données projet'!$B$9,Paramètres!$A$1:$I$89,3,0)*VLOOKUP('Données projet'!$B$9,Paramètres!$A$1:$I$89,5,0)</f>
        <v>171.02953333333335</v>
      </c>
      <c r="P44" s="13">
        <f t="shared" si="33"/>
        <v>43.320523714936215</v>
      </c>
      <c r="Q44" s="20">
        <f t="shared" si="53"/>
        <v>373.32634935906952</v>
      </c>
      <c r="R44" s="59">
        <f t="shared" si="0"/>
        <v>666.65968269240284</v>
      </c>
      <c r="S44" s="59">
        <f ca="1">AVERAGE(OFFSET($R$3,0,0,'Données projet'!$E$9+1,1))-AVERAGE(OFFSET($H$3,0,0,'Données projet'!$E$9+1,1))</f>
        <v>355.09162485318728</v>
      </c>
      <c r="T44" s="59">
        <f t="shared" si="34"/>
        <v>320.06572891923685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28.51084376863022</v>
      </c>
      <c r="AA44" s="21">
        <f>EXP(-LN(2)/25)*AA43+(1-EXP(-LN(2)/25))/(LN(2)/25)*Calculateur!V44*Calculateur!X44*VLOOKUP('Données projet'!$B$9,Paramètres!$A$1:$I$89,3,0)*0.475*44/12</f>
        <v>11.334618592837145</v>
      </c>
      <c r="AB44" s="21">
        <f>EXP(-LN(2)/2)*AB43+(1-EXP(-LN(2)/2))/(LN(2)/2)*V44*Y44*VLOOKUP('Données projet'!$B$9,Paramètres!$A$1:$I$89,3,0)*0.475*44/12</f>
        <v>1.1017740808423544</v>
      </c>
      <c r="AC44" s="22">
        <f t="shared" si="3"/>
        <v>40.947236442309723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5.4791666666666652</v>
      </c>
      <c r="AI44" s="13">
        <f>IF('Données projet'!$A$62&gt;35,AI43+AH44-AQ43,IF(A44&lt;'Données projet'!$A$62,$AF$205^A44,IF(A44='Données projet'!$A$62,'Données projet'!$B$62,AI43+AH44-AQ43)))</f>
        <v>135.61698717948721</v>
      </c>
      <c r="AJ44" s="13">
        <f>AI44*VLOOKUP('Données projet'!$B$10,Paramètres!$A$1:$I$89,3,0)*VLOOKUP('Données projet'!$B$10,Paramètres!$A$1:$I$89,5,0)</f>
        <v>122.70625000000004</v>
      </c>
      <c r="AK44" s="13">
        <f t="shared" si="35"/>
        <v>32.305366081384335</v>
      </c>
      <c r="AL44" s="20">
        <f t="shared" si="4"/>
        <v>269.97856467507779</v>
      </c>
      <c r="AM44" s="59">
        <f t="shared" si="5"/>
        <v>563.31189800841116</v>
      </c>
      <c r="AN44" s="59">
        <f ca="1">AVERAGE(OFFSET($AM$3,0,0,'Données projet'!$E$10+1,1))-AVERAGE(OFFSET($H$3,0,0,'Données projet'!$E$10+1,1))</f>
        <v>447.91110718952615</v>
      </c>
      <c r="AO44" s="59">
        <f t="shared" si="36"/>
        <v>188.87492758536894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5.4791666666666652</v>
      </c>
      <c r="BD44" s="12">
        <f>IF('Données projet'!$A$88&gt;35,BD43+BC44-BL43,IF(A44&lt;'Données projet'!$A$88,$BA$205^A44,IF(A44='Données projet'!$A$88,'Données projet'!$B$88,BD43+BC44-BL43)))</f>
        <v>135.61698717948721</v>
      </c>
      <c r="BE44" s="13">
        <f>BD44*VLOOKUP('Données projet'!$B$11,Paramètres!$A$1:$I$89,3,0)*VLOOKUP('Données projet'!$B$11,Paramètres!$A$1:$I$89,5,0)</f>
        <v>137.51562500000003</v>
      </c>
      <c r="BF44" s="13">
        <f t="shared" si="37"/>
        <v>35.727278353275508</v>
      </c>
      <c r="BG44" s="20">
        <f t="shared" si="7"/>
        <v>301.73139000695488</v>
      </c>
      <c r="BH44" s="59">
        <f t="shared" si="8"/>
        <v>595.0647233402882</v>
      </c>
      <c r="BI44" s="59">
        <f ca="1">AVERAGE(OFFSET($BH$3,0,0,'Données projet'!$E$11+1,1))-AVERAGE(OFFSET($H$3,0,0,'Données projet'!$E$11+1,1))</f>
        <v>496.71433459306451</v>
      </c>
      <c r="BJ44" s="59">
        <f t="shared" si="38"/>
        <v>206.75063396134982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15.364102564102561</v>
      </c>
      <c r="N45" s="13">
        <f>IF('Données projet'!$A$36&gt;35,N44+M45-V44,IF(A45&lt;'Données projet'!$A$36,$K$205^A45,IF(A45='Données projet'!$A$36,'Données projet'!$B$36,N44+M45-V44)))</f>
        <v>301.36666666666662</v>
      </c>
      <c r="O45" s="13">
        <f>N45*VLOOKUP('Données projet'!$B$9,Paramètres!$A$1:$I$89,3,0)*VLOOKUP('Données projet'!$B$9,Paramètres!$A$1:$I$89,5,0)</f>
        <v>180.21726666666666</v>
      </c>
      <c r="P45" s="13">
        <f t="shared" si="33"/>
        <v>45.370520602809727</v>
      </c>
      <c r="Q45" s="20">
        <f t="shared" si="53"/>
        <v>392.89872949433806</v>
      </c>
      <c r="R45" s="59">
        <f t="shared" si="0"/>
        <v>686.23206282767137</v>
      </c>
      <c r="S45" s="59">
        <f ca="1">AVERAGE(OFFSET($R$3,0,0,'Données projet'!$E$9+1,1))-AVERAGE(OFFSET($H$3,0,0,'Données projet'!$E$9+1,1))</f>
        <v>355.09162485318728</v>
      </c>
      <c r="T45" s="59">
        <f t="shared" si="34"/>
        <v>320.06572891923685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27.951763512224971</v>
      </c>
      <c r="AA45" s="21">
        <f>EXP(-LN(2)/25)*AA44+(1-EXP(-LN(2)/25))/(LN(2)/25)*Calculateur!V45*Calculateur!X45*VLOOKUP('Données projet'!$B$9,Paramètres!$A$1:$I$89,3,0)*0.475*44/12</f>
        <v>11.024672851354328</v>
      </c>
      <c r="AB45" s="21">
        <f>EXP(-LN(2)/2)*AB44+(1-EXP(-LN(2)/2))/(LN(2)/2)*V45*Y45*VLOOKUP('Données projet'!$B$9,Paramètres!$A$1:$I$89,3,0)*0.475*44/12</f>
        <v>0.77907192389920432</v>
      </c>
      <c r="AC45" s="22">
        <f t="shared" si="3"/>
        <v>39.755508287478499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141.09615384615384</v>
      </c>
      <c r="AG45" s="12">
        <f>VLOOKUP(A45,'Données projet'!$A$61:$I$81,9,0)</f>
        <v>5.4791666666666652</v>
      </c>
      <c r="AH45" s="12">
        <f t="array" ref="AH45">INDEX(AG:AG,MIN(IF(ISNUMBER(AG45:AG241),ROW(AG45:AG241),"")))</f>
        <v>5.4791666666666652</v>
      </c>
      <c r="AI45" s="13">
        <f>IF('Données projet'!$A$62&gt;35,AI44+AH45-AQ44,IF(A45&lt;'Données projet'!$A$62,$AF$205^A45,IF(A45='Données projet'!$A$62,'Données projet'!$B$62,AI44+AH45-AQ44)))</f>
        <v>141.09615384615387</v>
      </c>
      <c r="AJ45" s="13">
        <f>AI45*VLOOKUP('Données projet'!$B$10,Paramètres!$A$1:$I$89,3,0)*VLOOKUP('Données projet'!$B$10,Paramètres!$A$1:$I$89,5,0)</f>
        <v>127.66380000000002</v>
      </c>
      <c r="AK45" s="13">
        <f t="shared" si="35"/>
        <v>33.455963688122218</v>
      </c>
      <c r="AL45" s="20">
        <f t="shared" si="4"/>
        <v>280.61692175681293</v>
      </c>
      <c r="AM45" s="59">
        <f t="shared" si="5"/>
        <v>573.95025509014624</v>
      </c>
      <c r="AN45" s="59">
        <f ca="1">AVERAGE(OFFSET($AM$3,0,0,'Données projet'!$E$10+1,1))-AVERAGE(OFFSET($H$3,0,0,'Données projet'!$E$10+1,1))</f>
        <v>447.91110718952615</v>
      </c>
      <c r="AO45" s="59">
        <f t="shared" si="36"/>
        <v>188.87492758536894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38.685897435897438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141.09615384615384</v>
      </c>
      <c r="BB45" s="12">
        <f>VLOOKUP(A45,'Données projet'!$A$87:$I$107,9,0)</f>
        <v>5.4791666666666652</v>
      </c>
      <c r="BC45" s="12">
        <f t="array" ref="BC45">INDEX(BB:BB,MIN(IF(ISNUMBER(BB45:BB241),ROW(BB45:BB241),"")))</f>
        <v>5.4791666666666652</v>
      </c>
      <c r="BD45" s="12">
        <f>IF('Données projet'!$A$88&gt;35,BD44+BC45-BL44,IF(A45&lt;'Données projet'!$A$88,$BA$205^A45,IF(A45='Données projet'!$A$88,'Données projet'!$B$88,BD44+BC45-BL44)))</f>
        <v>141.09615384615387</v>
      </c>
      <c r="BE45" s="13">
        <f>BD45*VLOOKUP('Données projet'!$B$11,Paramètres!$A$1:$I$89,3,0)*VLOOKUP('Données projet'!$B$11,Paramètres!$A$1:$I$89,5,0)</f>
        <v>143.07150000000004</v>
      </c>
      <c r="BF45" s="13">
        <f t="shared" si="37"/>
        <v>36.999751813721012</v>
      </c>
      <c r="BG45" s="20">
        <f t="shared" si="7"/>
        <v>313.62409690889746</v>
      </c>
      <c r="BH45" s="59">
        <f t="shared" si="8"/>
        <v>606.95743024223077</v>
      </c>
      <c r="BI45" s="59">
        <f ca="1">AVERAGE(OFFSET($BH$3,0,0,'Données projet'!$E$11+1,1))-AVERAGE(OFFSET($H$3,0,0,'Données projet'!$E$11+1,1))</f>
        <v>496.71433459306451</v>
      </c>
      <c r="BJ45" s="59">
        <f t="shared" si="38"/>
        <v>206.75063396134982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38.685897435897438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15.364102564102561</v>
      </c>
      <c r="N46" s="13">
        <f>IF('Données projet'!$A$36&gt;35,N45+M46-V45,IF(A46&lt;'Données projet'!$A$36,$K$205^A46,IF(A46='Données projet'!$A$36,'Données projet'!$B$36,N45+M46-V45)))</f>
        <v>316.73076923076917</v>
      </c>
      <c r="O46" s="13">
        <f>N46*VLOOKUP('Données projet'!$B$9,Paramètres!$A$1:$I$89,3,0)*VLOOKUP('Données projet'!$B$9,Paramètres!$A$1:$I$89,5,0)</f>
        <v>189.405</v>
      </c>
      <c r="P46" s="13">
        <f t="shared" si="33"/>
        <v>47.408382795872441</v>
      </c>
      <c r="Q46" s="20">
        <f t="shared" si="53"/>
        <v>412.44997503614445</v>
      </c>
      <c r="R46" s="59">
        <f t="shared" si="0"/>
        <v>705.78330836947771</v>
      </c>
      <c r="S46" s="59">
        <f ca="1">AVERAGE(OFFSET($R$3,0,0,'Données projet'!$E$9+1,1))-AVERAGE(OFFSET($H$3,0,0,'Données projet'!$E$9+1,1))</f>
        <v>355.09162485318728</v>
      </c>
      <c r="T46" s="59">
        <f t="shared" si="34"/>
        <v>320.06572891923685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27.403646478642543</v>
      </c>
      <c r="AA46" s="21">
        <f>EXP(-LN(2)/25)*AA45+(1-EXP(-LN(2)/25))/(LN(2)/25)*Calculateur!V46*Calculateur!X46*VLOOKUP('Données projet'!$B$9,Paramètres!$A$1:$I$89,3,0)*0.475*44/12</f>
        <v>10.723202592471695</v>
      </c>
      <c r="AB46" s="21">
        <f>EXP(-LN(2)/2)*AB45+(1-EXP(-LN(2)/2))/(LN(2)/2)*V46*Y46*VLOOKUP('Données projet'!$B$9,Paramètres!$A$1:$I$89,3,0)*0.475*44/12</f>
        <v>0.55088704042117731</v>
      </c>
      <c r="AC46" s="22">
        <f t="shared" si="3"/>
        <v>38.677736111535417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7.143429487179489</v>
      </c>
      <c r="AI46" s="13">
        <f>IF('Données projet'!$A$62&gt;35,AI45+AH46-AQ45,IF(A46&lt;'Données projet'!$A$62,$AF$205^A46,IF(A46='Données projet'!$A$62,'Données projet'!$B$62,AI45+AH46-AQ45)))</f>
        <v>109.55368589743594</v>
      </c>
      <c r="AJ46" s="13">
        <f>AI46*VLOOKUP('Données projet'!$B$10,Paramètres!$A$1:$I$89,3,0)*VLOOKUP('Données projet'!$B$10,Paramètres!$A$1:$I$89,5,0)</f>
        <v>99.124175000000037</v>
      </c>
      <c r="AK46" s="13">
        <f t="shared" si="35"/>
        <v>26.753237614333433</v>
      </c>
      <c r="AL46" s="20">
        <f t="shared" si="4"/>
        <v>219.2364936366308</v>
      </c>
      <c r="AM46" s="59">
        <f t="shared" si="5"/>
        <v>512.56982696996408</v>
      </c>
      <c r="AN46" s="59">
        <f ca="1">AVERAGE(OFFSET($AM$3,0,0,'Données projet'!$E$10+1,1))-AVERAGE(OFFSET($H$3,0,0,'Données projet'!$E$10+1,1))</f>
        <v>447.91110718952615</v>
      </c>
      <c r="AO46" s="59">
        <f t="shared" si="36"/>
        <v>188.87492758536894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7.143429487179489</v>
      </c>
      <c r="BD46" s="12">
        <f>IF('Données projet'!$A$88&gt;35,BD45+BC46-BL45,IF(A46&lt;'Données projet'!$A$88,$BA$205^A46,IF(A46='Données projet'!$A$88,'Données projet'!$B$88,BD45+BC46-BL45)))</f>
        <v>109.55368589743594</v>
      </c>
      <c r="BE46" s="13">
        <f>BD46*VLOOKUP('Données projet'!$B$11,Paramètres!$A$1:$I$89,3,0)*VLOOKUP('Données projet'!$B$11,Paramètres!$A$1:$I$89,5,0)</f>
        <v>111.08743750000005</v>
      </c>
      <c r="BF46" s="13">
        <f t="shared" si="37"/>
        <v>29.587046458185583</v>
      </c>
      <c r="BG46" s="20">
        <f t="shared" si="7"/>
        <v>245.00805956050667</v>
      </c>
      <c r="BH46" s="59">
        <f t="shared" si="8"/>
        <v>538.34139289383995</v>
      </c>
      <c r="BI46" s="59">
        <f ca="1">AVERAGE(OFFSET($BH$3,0,0,'Données projet'!$E$11+1,1))-AVERAGE(OFFSET($H$3,0,0,'Données projet'!$E$11+1,1))</f>
        <v>496.71433459306451</v>
      </c>
      <c r="BJ46" s="59">
        <f t="shared" si="38"/>
        <v>206.75063396134982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15.364102564102561</v>
      </c>
      <c r="N47" s="13">
        <f>IF('Données projet'!$A$36&gt;35,N46+M47-V46,IF(A47&lt;'Données projet'!$A$36,$K$205^A47,IF(A47='Données projet'!$A$36,'Données projet'!$B$36,N46+M47-V46)))</f>
        <v>332.09487179487172</v>
      </c>
      <c r="O47" s="13">
        <f>N47*VLOOKUP('Données projet'!$B$9,Paramètres!$A$1:$I$89,3,0)*VLOOKUP('Données projet'!$B$9,Paramètres!$A$1:$I$89,5,0)</f>
        <v>198.59273333333329</v>
      </c>
      <c r="P47" s="13">
        <f t="shared" si="33"/>
        <v>49.434766120428968</v>
      </c>
      <c r="Q47" s="20">
        <f t="shared" si="53"/>
        <v>431.98122821530256</v>
      </c>
      <c r="R47" s="59">
        <f t="shared" si="0"/>
        <v>725.31456154863588</v>
      </c>
      <c r="S47" s="59">
        <f ca="1">AVERAGE(OFFSET($R$3,0,0,'Données projet'!$E$9+1,1))-AVERAGE(OFFSET($H$3,0,0,'Données projet'!$E$9+1,1))</f>
        <v>355.09162485318728</v>
      </c>
      <c r="T47" s="59">
        <f t="shared" si="34"/>
        <v>320.06572891923685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26.866277685770289</v>
      </c>
      <c r="AA47" s="21">
        <f>EXP(-LN(2)/25)*AA46+(1-EXP(-LN(2)/25))/(LN(2)/25)*Calculateur!V47*Calculateur!X47*VLOOKUP('Données projet'!$B$9,Paramètres!$A$1:$I$89,3,0)*0.475*44/12</f>
        <v>10.42997605367184</v>
      </c>
      <c r="AB47" s="21">
        <f>EXP(-LN(2)/2)*AB46+(1-EXP(-LN(2)/2))/(LN(2)/2)*V47*Y47*VLOOKUP('Données projet'!$B$9,Paramètres!$A$1:$I$89,3,0)*0.475*44/12</f>
        <v>0.38953596194960222</v>
      </c>
      <c r="AC47" s="22">
        <f t="shared" si="3"/>
        <v>37.685789701391734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7.143429487179489</v>
      </c>
      <c r="AI47" s="13">
        <f>IF('Données projet'!$A$62&gt;35,AI46+AH47-AQ46,IF(A47&lt;'Données projet'!$A$62,$AF$205^A47,IF(A47='Données projet'!$A$62,'Données projet'!$B$62,AI46+AH47-AQ46)))</f>
        <v>116.69711538461543</v>
      </c>
      <c r="AJ47" s="13">
        <f>AI47*VLOOKUP('Données projet'!$B$10,Paramètres!$A$1:$I$89,3,0)*VLOOKUP('Données projet'!$B$10,Paramètres!$A$1:$I$89,5,0)</f>
        <v>105.58755000000002</v>
      </c>
      <c r="AK47" s="13">
        <f t="shared" si="35"/>
        <v>28.288912863611589</v>
      </c>
      <c r="AL47" s="20">
        <f t="shared" si="4"/>
        <v>233.16817282079023</v>
      </c>
      <c r="AM47" s="59">
        <f t="shared" si="5"/>
        <v>526.50150615412349</v>
      </c>
      <c r="AN47" s="59">
        <f ca="1">AVERAGE(OFFSET($AM$3,0,0,'Données projet'!$E$10+1,1))-AVERAGE(OFFSET($H$3,0,0,'Données projet'!$E$10+1,1))</f>
        <v>447.91110718952615</v>
      </c>
      <c r="AO47" s="59">
        <f t="shared" si="36"/>
        <v>188.87492758536894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7.143429487179489</v>
      </c>
      <c r="BD47" s="12">
        <f>IF('Données projet'!$A$88&gt;35,BD46+BC47-BL46,IF(A47&lt;'Données projet'!$A$88,$BA$205^A47,IF(A47='Données projet'!$A$88,'Données projet'!$B$88,BD46+BC47-BL46)))</f>
        <v>116.69711538461543</v>
      </c>
      <c r="BE47" s="13">
        <f>BD47*VLOOKUP('Données projet'!$B$11,Paramètres!$A$1:$I$89,3,0)*VLOOKUP('Données projet'!$B$11,Paramètres!$A$1:$I$89,5,0)</f>
        <v>118.33087500000006</v>
      </c>
      <c r="BF47" s="13">
        <f t="shared" si="37"/>
        <v>31.285386509586893</v>
      </c>
      <c r="BG47" s="20">
        <f t="shared" si="7"/>
        <v>260.58165546253059</v>
      </c>
      <c r="BH47" s="59">
        <f t="shared" si="8"/>
        <v>553.91498879586391</v>
      </c>
      <c r="BI47" s="59">
        <f ca="1">AVERAGE(OFFSET($BH$3,0,0,'Données projet'!$E$11+1,1))-AVERAGE(OFFSET($H$3,0,0,'Données projet'!$E$11+1,1))</f>
        <v>496.71433459306451</v>
      </c>
      <c r="BJ47" s="59">
        <f t="shared" si="38"/>
        <v>206.75063396134982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15.364102564102561</v>
      </c>
      <c r="N48" s="13">
        <f>IF('Données projet'!$A$36&gt;35,N47+M48-V47,IF(A48&lt;'Données projet'!$A$36,$K$205^A48,IF(A48='Données projet'!$A$36,'Données projet'!$B$36,N47+M48-V47)))</f>
        <v>347.45897435897427</v>
      </c>
      <c r="O48" s="13">
        <f>N48*VLOOKUP('Données projet'!$B$9,Paramètres!$A$1:$I$89,3,0)*VLOOKUP('Données projet'!$B$9,Paramètres!$A$1:$I$89,5,0)</f>
        <v>207.78046666666665</v>
      </c>
      <c r="P48" s="13">
        <f t="shared" si="33"/>
        <v>51.450262290579353</v>
      </c>
      <c r="Q48" s="20">
        <f t="shared" si="53"/>
        <v>451.49351960053679</v>
      </c>
      <c r="R48" s="59">
        <f t="shared" si="0"/>
        <v>744.8268529338701</v>
      </c>
      <c r="S48" s="59">
        <f ca="1">AVERAGE(OFFSET($R$3,0,0,'Données projet'!$E$9+1,1))-AVERAGE(OFFSET($H$3,0,0,'Données projet'!$E$9+1,1))</f>
        <v>355.09162485318728</v>
      </c>
      <c r="T48" s="59">
        <f t="shared" si="34"/>
        <v>320.06572891923685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26.33944636716366</v>
      </c>
      <c r="AA48" s="21">
        <f>EXP(-LN(2)/25)*AA47+(1-EXP(-LN(2)/25))/(LN(2)/25)*Calculateur!V48*Calculateur!X48*VLOOKUP('Données projet'!$B$9,Paramètres!$A$1:$I$89,3,0)*0.475*44/12</f>
        <v>10.144767809995582</v>
      </c>
      <c r="AB48" s="21">
        <f>EXP(-LN(2)/2)*AB47+(1-EXP(-LN(2)/2))/(LN(2)/2)*V48*Y48*VLOOKUP('Données projet'!$B$9,Paramètres!$A$1:$I$89,3,0)*0.475*44/12</f>
        <v>0.27544352021058871</v>
      </c>
      <c r="AC48" s="22">
        <f t="shared" si="3"/>
        <v>36.759657697369832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7.143429487179489</v>
      </c>
      <c r="AI48" s="13">
        <f>IF('Données projet'!$A$62&gt;35,AI47+AH48-AQ47,IF(A48&lt;'Données projet'!$A$62,$AF$205^A48,IF(A48='Données projet'!$A$62,'Données projet'!$B$62,AI47+AH48-AQ47)))</f>
        <v>123.84054487179492</v>
      </c>
      <c r="AJ48" s="13">
        <f>AI48*VLOOKUP('Données projet'!$B$10,Paramètres!$A$1:$I$89,3,0)*VLOOKUP('Données projet'!$B$10,Paramètres!$A$1:$I$89,5,0)</f>
        <v>112.05092500000003</v>
      </c>
      <c r="AK48" s="13">
        <f t="shared" si="35"/>
        <v>29.813677753924459</v>
      </c>
      <c r="AL48" s="20">
        <f t="shared" si="4"/>
        <v>247.08084979641851</v>
      </c>
      <c r="AM48" s="59">
        <f t="shared" si="5"/>
        <v>540.41418312975179</v>
      </c>
      <c r="AN48" s="59">
        <f ca="1">AVERAGE(OFFSET($AM$3,0,0,'Données projet'!$E$10+1,1))-AVERAGE(OFFSET($H$3,0,0,'Données projet'!$E$10+1,1))</f>
        <v>447.91110718952615</v>
      </c>
      <c r="AO48" s="59">
        <f t="shared" si="36"/>
        <v>188.87492758536894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7.143429487179489</v>
      </c>
      <c r="BD48" s="12">
        <f>IF('Données projet'!$A$88&gt;35,BD47+BC48-BL47,IF(A48&lt;'Données projet'!$A$88,$BA$205^A48,IF(A48='Données projet'!$A$88,'Données projet'!$B$88,BD47+BC48-BL47)))</f>
        <v>123.84054487179492</v>
      </c>
      <c r="BE48" s="13">
        <f>BD48*VLOOKUP('Données projet'!$B$11,Paramètres!$A$1:$I$89,3,0)*VLOOKUP('Données projet'!$B$11,Paramètres!$A$1:$I$89,5,0)</f>
        <v>125.57431250000006</v>
      </c>
      <c r="BF48" s="13">
        <f t="shared" si="37"/>
        <v>32.971660533607363</v>
      </c>
      <c r="BG48" s="20">
        <f t="shared" si="7"/>
        <v>276.13423636686622</v>
      </c>
      <c r="BH48" s="59">
        <f t="shared" si="8"/>
        <v>569.46756970019953</v>
      </c>
      <c r="BI48" s="59">
        <f ca="1">AVERAGE(OFFSET($BH$3,0,0,'Données projet'!$E$11+1,1))-AVERAGE(OFFSET($H$3,0,0,'Données projet'!$E$11+1,1))</f>
        <v>496.71433459306451</v>
      </c>
      <c r="BJ48" s="59">
        <f t="shared" si="38"/>
        <v>206.75063396134982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362.82307692307688</v>
      </c>
      <c r="L49" s="12">
        <f>VLOOKUP(A49,'Données projet'!$A$35:$I$55,9,0)</f>
        <v>15.364102564102561</v>
      </c>
      <c r="M49" s="12">
        <f t="array" ref="M49">INDEX(L:L,MIN(IF(ISNUMBER(L49:L245),ROW(L49:L245),"")))</f>
        <v>15.364102564102561</v>
      </c>
      <c r="N49" s="13">
        <f>IF('Données projet'!$A$36&gt;35,N48+M49-V48,IF(A49&lt;'Données projet'!$A$36,$K$205^A49,IF(A49='Données projet'!$A$36,'Données projet'!$B$36,N48+M49-V48)))</f>
        <v>362.82307692307683</v>
      </c>
      <c r="O49" s="13">
        <f>N49*VLOOKUP('Données projet'!$B$9,Paramètres!$A$1:$I$89,3,0)*VLOOKUP('Données projet'!$B$9,Paramètres!$A$1:$I$89,5,0)</f>
        <v>216.96819999999994</v>
      </c>
      <c r="P49" s="13">
        <f t="shared" si="33"/>
        <v>53.455407732310803</v>
      </c>
      <c r="Q49" s="20">
        <f t="shared" si="53"/>
        <v>470.98778346710793</v>
      </c>
      <c r="R49" s="59">
        <f t="shared" si="0"/>
        <v>764.32111680044125</v>
      </c>
      <c r="S49" s="59">
        <f ca="1">AVERAGE(OFFSET($R$3,0,0,'Données projet'!$E$9+1,1))-AVERAGE(OFFSET($H$3,0,0,'Données projet'!$E$9+1,1))</f>
        <v>355.09162485318728</v>
      </c>
      <c r="T49" s="59">
        <f t="shared" si="34"/>
        <v>320.06572891923685</v>
      </c>
      <c r="U49" s="15">
        <f>IF(ISNA(VLOOKUP(A49,'Données projet'!$A$35:$I$55,3,0)),0,VLOOKUP(A49,'Données projet'!$A$35:$I$55,3,0))</f>
        <v>5</v>
      </c>
      <c r="V49" s="15">
        <f>IF(ISNA(VLOOKUP(A49,'Données projet'!$A$35:$I$55,4,0)),0,VLOOKUP(A49,'Données projet'!$A$35:$I$55,4,0))</f>
        <v>72.561538461538461</v>
      </c>
      <c r="W49" s="16">
        <f>IF(ISNA(VLOOKUP(A49,'Données projet'!$A$35:$I$55,5,0)),0%,VLOOKUP(A49,'Données projet'!$A$35:$I$55,5,0)*VLOOKUP('Données projet'!$B$9,Paramètres!$A$1:$I$89,7,0))</f>
        <v>0.315</v>
      </c>
      <c r="X49" s="16">
        <f>IF(ISNA(VLOOKUP(A49,'Données projet'!$A$35:$I$55,6,0)),0%,VLOOKUP(A49,'Données projet'!$A$35:$I$55,6,0)*VLOOKUP('Données projet'!$B$9,Paramètres!$A$1:$I$89,7,0))</f>
        <v>7.5600000000000001E-2</v>
      </c>
      <c r="Y49" s="16">
        <f>IF(ISNA(VLOOKUP(A49,'Données projet'!$A$35:$I$55,7,0)),0%,VLOOKUP(A49,'Données projet'!$A$35:$I$55,7,0))</f>
        <v>0.13200000000000001</v>
      </c>
      <c r="Z49" s="21">
        <f>EXP(-LN(2)/35)*Z48+(1-EXP(-LN(2)/35))/(LN(2)/35)*V49*W49*VLOOKUP('Données projet'!$B$9,Paramètres!$A$1:$I$89,3,0)*0.475*44/12</f>
        <v>43.95498204370508</v>
      </c>
      <c r="AA49" s="21">
        <f>EXP(-LN(2)/25)*AA48+(1-EXP(-LN(2)/25))/(LN(2)/25)*Calculateur!V49*Calculateur!X49*VLOOKUP('Données projet'!$B$9,Paramètres!$A$1:$I$89,3,0)*0.475*44/12</f>
        <v>14.201913021334352</v>
      </c>
      <c r="AB49" s="21">
        <f>EXP(-LN(2)/2)*AB48+(1-EXP(-LN(2)/2))/(LN(2)/2)*V49*Y49*VLOOKUP('Données projet'!$B$9,Paramètres!$A$1:$I$89,3,0)*0.475*44/12</f>
        <v>6.6798748388055769</v>
      </c>
      <c r="AC49" s="22">
        <f t="shared" si="3"/>
        <v>64.83676990384501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7.143429487179489</v>
      </c>
      <c r="AI49" s="13">
        <f>IF('Données projet'!$A$62&gt;35,AI48+AH49-AQ48,IF(A49&lt;'Données projet'!$A$62,$AF$205^A49,IF(A49='Données projet'!$A$62,'Données projet'!$B$62,AI48+AH49-AQ48)))</f>
        <v>130.98397435897442</v>
      </c>
      <c r="AJ49" s="13">
        <f>AI49*VLOOKUP('Données projet'!$B$10,Paramètres!$A$1:$I$89,3,0)*VLOOKUP('Données projet'!$B$10,Paramètres!$A$1:$I$89,5,0)</f>
        <v>118.51430000000005</v>
      </c>
      <c r="AK49" s="13">
        <f t="shared" si="35"/>
        <v>31.328233322607296</v>
      </c>
      <c r="AL49" s="20">
        <f t="shared" si="4"/>
        <v>260.97574553687451</v>
      </c>
      <c r="AM49" s="59">
        <f t="shared" si="5"/>
        <v>554.30907887020783</v>
      </c>
      <c r="AN49" s="59">
        <f ca="1">AVERAGE(OFFSET($AM$3,0,0,'Données projet'!$E$10+1,1))-AVERAGE(OFFSET($H$3,0,0,'Données projet'!$E$10+1,1))</f>
        <v>447.91110718952615</v>
      </c>
      <c r="AO49" s="59">
        <f t="shared" si="36"/>
        <v>188.87492758536894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7.143429487179489</v>
      </c>
      <c r="BD49" s="12">
        <f>IF('Données projet'!$A$88&gt;35,BD48+BC49-BL48,IF(A49&lt;'Données projet'!$A$88,$BA$205^A49,IF(A49='Données projet'!$A$88,'Données projet'!$B$88,BD48+BC49-BL48)))</f>
        <v>130.98397435897442</v>
      </c>
      <c r="BE49" s="13">
        <f>BD49*VLOOKUP('Données projet'!$B$11,Paramètres!$A$1:$I$89,3,0)*VLOOKUP('Données projet'!$B$11,Paramètres!$A$1:$I$89,5,0)</f>
        <v>132.81775000000007</v>
      </c>
      <c r="BF49" s="13">
        <f t="shared" si="37"/>
        <v>34.646643824232115</v>
      </c>
      <c r="BG49" s="20">
        <f t="shared" si="7"/>
        <v>291.66715257720438</v>
      </c>
      <c r="BH49" s="59">
        <f t="shared" si="8"/>
        <v>585.00048591053769</v>
      </c>
      <c r="BI49" s="59">
        <f ca="1">AVERAGE(OFFSET($BH$3,0,0,'Données projet'!$E$11+1,1))-AVERAGE(OFFSET($H$3,0,0,'Données projet'!$E$11+1,1))</f>
        <v>496.71433459306451</v>
      </c>
      <c r="BJ49" s="59">
        <f t="shared" si="38"/>
        <v>206.75063396134982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13.793846153846165</v>
      </c>
      <c r="N50" s="13">
        <f>IF('Données projet'!$A$36&gt;35,N49+M50-V49,IF(A50&lt;'Données projet'!$A$36,$K$205^A50,IF(A50='Données projet'!$A$36,'Données projet'!$B$36,N49+M50-V49)))</f>
        <v>304.05538461538453</v>
      </c>
      <c r="O50" s="13">
        <f>N50*VLOOKUP('Données projet'!$B$9,Paramètres!$A$1:$I$89,3,0)*VLOOKUP('Données projet'!$B$9,Paramètres!$A$1:$I$89,5,0)</f>
        <v>181.82511999999997</v>
      </c>
      <c r="P50" s="13">
        <f t="shared" si="33"/>
        <v>45.72800301768045</v>
      </c>
      <c r="Q50" s="20">
        <f t="shared" si="53"/>
        <v>396.32168925579339</v>
      </c>
      <c r="R50" s="59">
        <f t="shared" si="0"/>
        <v>689.6550225891267</v>
      </c>
      <c r="S50" s="59">
        <f ca="1">AVERAGE(OFFSET($R$3,0,0,'Données projet'!$E$9+1,1))-AVERAGE(OFFSET($H$3,0,0,'Données projet'!$E$9+1,1))</f>
        <v>355.09162485318728</v>
      </c>
      <c r="T50" s="59">
        <f t="shared" si="34"/>
        <v>320.06572891923685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43.093051655719812</v>
      </c>
      <c r="AA50" s="21">
        <f>EXP(-LN(2)/25)*AA49+(1-EXP(-LN(2)/25))/(LN(2)/25)*Calculateur!V50*Calculateur!X50*VLOOKUP('Données projet'!$B$9,Paramètres!$A$1:$I$89,3,0)*0.475*44/12</f>
        <v>13.813560962919817</v>
      </c>
      <c r="AB50" s="21">
        <f>EXP(-LN(2)/2)*AB49+(1-EXP(-LN(2)/2))/(LN(2)/2)*V50*Y50*VLOOKUP('Données projet'!$B$9,Paramètres!$A$1:$I$89,3,0)*0.475*44/12</f>
        <v>4.7233847959968198</v>
      </c>
      <c r="AC50" s="22">
        <f t="shared" si="3"/>
        <v>61.629997414636449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7.143429487179489</v>
      </c>
      <c r="AI50" s="13">
        <f>IF('Données projet'!$A$62&gt;35,AI49+AH50-AQ49,IF(A50&lt;'Données projet'!$A$62,$AF$205^A50,IF(A50='Données projet'!$A$62,'Données projet'!$B$62,AI49+AH50-AQ49)))</f>
        <v>138.12740384615392</v>
      </c>
      <c r="AJ50" s="13">
        <f>AI50*VLOOKUP('Données projet'!$B$10,Paramètres!$A$1:$I$89,3,0)*VLOOKUP('Données projet'!$B$10,Paramètres!$A$1:$I$89,5,0)</f>
        <v>124.97767500000008</v>
      </c>
      <c r="AK50" s="13">
        <f t="shared" si="35"/>
        <v>32.833199823952825</v>
      </c>
      <c r="AL50" s="20">
        <f t="shared" si="4"/>
        <v>274.85394031838462</v>
      </c>
      <c r="AM50" s="59">
        <f t="shared" si="5"/>
        <v>568.18727365171799</v>
      </c>
      <c r="AN50" s="59">
        <f ca="1">AVERAGE(OFFSET($AM$3,0,0,'Données projet'!$E$10+1,1))-AVERAGE(OFFSET($H$3,0,0,'Données projet'!$E$10+1,1))</f>
        <v>447.91110718952615</v>
      </c>
      <c r="AO50" s="59">
        <f t="shared" si="36"/>
        <v>188.87492758536894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7.143429487179489</v>
      </c>
      <c r="BD50" s="12">
        <f>IF('Données projet'!$A$88&gt;35,BD49+BC50-BL49,IF(A50&lt;'Données projet'!$A$88,$BA$205^A50,IF(A50='Données projet'!$A$88,'Données projet'!$B$88,BD49+BC50-BL49)))</f>
        <v>138.12740384615392</v>
      </c>
      <c r="BE50" s="13">
        <f>BD50*VLOOKUP('Données projet'!$B$11,Paramètres!$A$1:$I$89,3,0)*VLOOKUP('Données projet'!$B$11,Paramètres!$A$1:$I$89,5,0)</f>
        <v>140.06118750000007</v>
      </c>
      <c r="BF50" s="13">
        <f t="shared" si="37"/>
        <v>36.311022335544209</v>
      </c>
      <c r="BG50" s="20">
        <f t="shared" si="7"/>
        <v>307.18159879690626</v>
      </c>
      <c r="BH50" s="59">
        <f t="shared" si="8"/>
        <v>600.51493213023957</v>
      </c>
      <c r="BI50" s="59">
        <f ca="1">AVERAGE(OFFSET($BH$3,0,0,'Données projet'!$E$11+1,1))-AVERAGE(OFFSET($H$3,0,0,'Données projet'!$E$11+1,1))</f>
        <v>496.71433459306451</v>
      </c>
      <c r="BJ50" s="59">
        <f t="shared" si="38"/>
        <v>206.75063396134982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13.793846153846165</v>
      </c>
      <c r="N51" s="13">
        <f>IF('Données projet'!$A$36&gt;35,N50+M51-V50,IF(A51&lt;'Données projet'!$A$36,$K$205^A51,IF(A51='Données projet'!$A$36,'Données projet'!$B$36,N50+M51-V50)))</f>
        <v>317.8492307692307</v>
      </c>
      <c r="O51" s="13">
        <f>N51*VLOOKUP('Données projet'!$B$9,Paramètres!$A$1:$I$89,3,0)*VLOOKUP('Données projet'!$B$9,Paramètres!$A$1:$I$89,5,0)</f>
        <v>190.07383999999999</v>
      </c>
      <c r="P51" s="13">
        <f t="shared" si="33"/>
        <v>47.556277457641151</v>
      </c>
      <c r="Q51" s="20">
        <f t="shared" si="53"/>
        <v>413.87245457205836</v>
      </c>
      <c r="R51" s="59">
        <f t="shared" si="0"/>
        <v>707.20578790539162</v>
      </c>
      <c r="S51" s="59">
        <f ca="1">AVERAGE(OFFSET($R$3,0,0,'Données projet'!$E$9+1,1))-AVERAGE(OFFSET($H$3,0,0,'Données projet'!$E$9+1,1))</f>
        <v>355.09162485318728</v>
      </c>
      <c r="T51" s="59">
        <f t="shared" si="34"/>
        <v>320.06572891923685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42.248023196917309</v>
      </c>
      <c r="AA51" s="21">
        <f>EXP(-LN(2)/25)*AA50+(1-EXP(-LN(2)/25))/(LN(2)/25)*Calculateur!V51*Calculateur!X51*VLOOKUP('Données projet'!$B$9,Paramètres!$A$1:$I$89,3,0)*0.475*44/12</f>
        <v>13.435828411965176</v>
      </c>
      <c r="AB51" s="21">
        <f>EXP(-LN(2)/2)*AB50+(1-EXP(-LN(2)/2))/(LN(2)/2)*V51*Y51*VLOOKUP('Données projet'!$B$9,Paramètres!$A$1:$I$89,3,0)*0.475*44/12</f>
        <v>3.3399374194027889</v>
      </c>
      <c r="AC51" s="22">
        <f t="shared" si="3"/>
        <v>59.023789028285272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7.143429487179489</v>
      </c>
      <c r="AI51" s="13">
        <f>IF('Données projet'!$A$62&gt;35,AI50+AH51-AQ50,IF(A51&lt;'Données projet'!$A$62,$AF$205^A51,IF(A51='Données projet'!$A$62,'Données projet'!$B$62,AI50+AH51-AQ50)))</f>
        <v>145.27083333333343</v>
      </c>
      <c r="AJ51" s="13">
        <f>AI51*VLOOKUP('Données projet'!$B$10,Paramètres!$A$1:$I$89,3,0)*VLOOKUP('Données projet'!$B$10,Paramètres!$A$1:$I$89,5,0)</f>
        <v>131.44105000000008</v>
      </c>
      <c r="AK51" s="13">
        <f t="shared" si="35"/>
        <v>34.329129734237071</v>
      </c>
      <c r="AL51" s="20">
        <f t="shared" si="4"/>
        <v>288.71639637046309</v>
      </c>
      <c r="AM51" s="59">
        <f t="shared" si="5"/>
        <v>582.0497297037964</v>
      </c>
      <c r="AN51" s="59">
        <f ca="1">AVERAGE(OFFSET($AM$3,0,0,'Données projet'!$E$10+1,1))-AVERAGE(OFFSET($H$3,0,0,'Données projet'!$E$10+1,1))</f>
        <v>447.91110718952615</v>
      </c>
      <c r="AO51" s="59">
        <f t="shared" si="36"/>
        <v>188.87492758536894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7.143429487179489</v>
      </c>
      <c r="BD51" s="12">
        <f>IF('Données projet'!$A$88&gt;35,BD50+BC51-BL50,IF(A51&lt;'Données projet'!$A$88,$BA$205^A51,IF(A51='Données projet'!$A$88,'Données projet'!$B$88,BD50+BC51-BL50)))</f>
        <v>145.27083333333343</v>
      </c>
      <c r="BE51" s="13">
        <f>BD51*VLOOKUP('Données projet'!$B$11,Paramètres!$A$1:$I$89,3,0)*VLOOKUP('Données projet'!$B$11,Paramètres!$A$1:$I$89,5,0)</f>
        <v>147.3046250000001</v>
      </c>
      <c r="BF51" s="13">
        <f t="shared" si="37"/>
        <v>37.965407064294098</v>
      </c>
      <c r="BG51" s="20">
        <f t="shared" si="7"/>
        <v>322.67863917864571</v>
      </c>
      <c r="BH51" s="59">
        <f t="shared" si="8"/>
        <v>616.01197251197902</v>
      </c>
      <c r="BI51" s="59">
        <f ca="1">AVERAGE(OFFSET($BH$3,0,0,'Données projet'!$E$11+1,1))-AVERAGE(OFFSET($H$3,0,0,'Données projet'!$E$11+1,1))</f>
        <v>496.71433459306451</v>
      </c>
      <c r="BJ51" s="59">
        <f t="shared" si="38"/>
        <v>206.75063396134982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13.793846153846165</v>
      </c>
      <c r="N52" s="13">
        <f>IF('Données projet'!$A$36&gt;35,N51+M52-V51,IF(A52&lt;'Données projet'!$A$36,$K$205^A52,IF(A52='Données projet'!$A$36,'Données projet'!$B$36,N51+M52-V51)))</f>
        <v>331.64307692307688</v>
      </c>
      <c r="O52" s="13">
        <f>N52*VLOOKUP('Données projet'!$B$9,Paramètres!$A$1:$I$89,3,0)*VLOOKUP('Données projet'!$B$9,Paramètres!$A$1:$I$89,5,0)</f>
        <v>198.32255999999998</v>
      </c>
      <c r="P52" s="13">
        <f t="shared" si="33"/>
        <v>49.375336669033487</v>
      </c>
      <c r="Q52" s="20">
        <f t="shared" si="53"/>
        <v>431.40717003189997</v>
      </c>
      <c r="R52" s="59">
        <f t="shared" si="0"/>
        <v>724.74050336523328</v>
      </c>
      <c r="S52" s="59">
        <f ca="1">AVERAGE(OFFSET($R$3,0,0,'Données projet'!$E$9+1,1))-AVERAGE(OFFSET($H$3,0,0,'Données projet'!$E$9+1,1))</f>
        <v>355.09162485318728</v>
      </c>
      <c r="T52" s="59">
        <f t="shared" si="34"/>
        <v>320.06572891923685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41.419565230775461</v>
      </c>
      <c r="AA52" s="21">
        <f>EXP(-LN(2)/25)*AA51+(1-EXP(-LN(2)/25))/(LN(2)/25)*Calculateur!V52*Calculateur!X52*VLOOKUP('Données projet'!$B$9,Paramètres!$A$1:$I$89,3,0)*0.475*44/12</f>
        <v>13.068424977480479</v>
      </c>
      <c r="AB52" s="21">
        <f>EXP(-LN(2)/2)*AB51+(1-EXP(-LN(2)/2))/(LN(2)/2)*V52*Y52*VLOOKUP('Données projet'!$B$9,Paramètres!$A$1:$I$89,3,0)*0.475*44/12</f>
        <v>2.3616923979984104</v>
      </c>
      <c r="AC52" s="22">
        <f t="shared" si="3"/>
        <v>56.849682606254348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7.143429487179489</v>
      </c>
      <c r="AI52" s="13">
        <f>IF('Données projet'!$A$62&gt;35,AI51+AH52-AQ51,IF(A52&lt;'Données projet'!$A$62,$AF$205^A52,IF(A52='Données projet'!$A$62,'Données projet'!$B$62,AI51+AH52-AQ51)))</f>
        <v>152.41426282051293</v>
      </c>
      <c r="AJ52" s="13">
        <f>AI52*VLOOKUP('Données projet'!$B$10,Paramètres!$A$1:$I$89,3,0)*VLOOKUP('Données projet'!$B$10,Paramètres!$A$1:$I$89,5,0)</f>
        <v>137.90442500000009</v>
      </c>
      <c r="AK52" s="13">
        <f t="shared" si="35"/>
        <v>35.816518126136359</v>
      </c>
      <c r="AL52" s="20">
        <f t="shared" si="4"/>
        <v>302.56397594468757</v>
      </c>
      <c r="AM52" s="59">
        <f t="shared" si="5"/>
        <v>595.89730927802088</v>
      </c>
      <c r="AN52" s="59">
        <f ca="1">AVERAGE(OFFSET($AM$3,0,0,'Données projet'!$E$10+1,1))-AVERAGE(OFFSET($H$3,0,0,'Données projet'!$E$10+1,1))</f>
        <v>447.91110718952615</v>
      </c>
      <c r="AO52" s="59">
        <f t="shared" si="36"/>
        <v>188.87492758536894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7.143429487179489</v>
      </c>
      <c r="BD52" s="12">
        <f>IF('Données projet'!$A$88&gt;35,BD51+BC52-BL51,IF(A52&lt;'Données projet'!$A$88,$BA$205^A52,IF(A52='Données projet'!$A$88,'Données projet'!$B$88,BD51+BC52-BL51)))</f>
        <v>152.41426282051293</v>
      </c>
      <c r="BE52" s="13">
        <f>BD52*VLOOKUP('Données projet'!$B$11,Paramètres!$A$1:$I$89,3,0)*VLOOKUP('Données projet'!$B$11,Paramètres!$A$1:$I$89,5,0)</f>
        <v>154.54806250000013</v>
      </c>
      <c r="BF52" s="13">
        <f t="shared" si="37"/>
        <v>39.610345523215855</v>
      </c>
      <c r="BG52" s="20">
        <f t="shared" si="7"/>
        <v>338.15922730710116</v>
      </c>
      <c r="BH52" s="59">
        <f t="shared" si="8"/>
        <v>631.49256064043448</v>
      </c>
      <c r="BI52" s="59">
        <f ca="1">AVERAGE(OFFSET($BH$3,0,0,'Données projet'!$E$11+1,1))-AVERAGE(OFFSET($H$3,0,0,'Données projet'!$E$11+1,1))</f>
        <v>496.71433459306451</v>
      </c>
      <c r="BJ52" s="59">
        <f t="shared" si="38"/>
        <v>206.75063396134982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13.793846153846165</v>
      </c>
      <c r="N53" s="13">
        <f>IF('Données projet'!$A$36&gt;35,N52+M53-V52,IF(A53&lt;'Données projet'!$A$36,$K$205^A53,IF(A53='Données projet'!$A$36,'Données projet'!$B$36,N52+M53-V52)))</f>
        <v>345.43692307692305</v>
      </c>
      <c r="O53" s="13">
        <f>N53*VLOOKUP('Données projet'!$B$9,Paramètres!$A$1:$I$89,3,0)*VLOOKUP('Données projet'!$B$9,Paramètres!$A$1:$I$89,5,0)</f>
        <v>206.57128</v>
      </c>
      <c r="P53" s="13">
        <f t="shared" si="33"/>
        <v>51.185607766999659</v>
      </c>
      <c r="Q53" s="20">
        <f t="shared" si="53"/>
        <v>448.92657952752438</v>
      </c>
      <c r="R53" s="59">
        <f t="shared" si="0"/>
        <v>742.25991286085764</v>
      </c>
      <c r="S53" s="59">
        <f ca="1">AVERAGE(OFFSET($R$3,0,0,'Données projet'!$E$9+1,1))-AVERAGE(OFFSET($H$3,0,0,'Données projet'!$E$9+1,1))</f>
        <v>355.09162485318728</v>
      </c>
      <c r="T53" s="59">
        <f t="shared" si="34"/>
        <v>320.06572891923685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40.607352820040191</v>
      </c>
      <c r="AA53" s="21">
        <f>EXP(-LN(2)/25)*AA52+(1-EXP(-LN(2)/25))/(LN(2)/25)*Calculateur!V53*Calculateur!X53*VLOOKUP('Données projet'!$B$9,Paramètres!$A$1:$I$89,3,0)*0.475*44/12</f>
        <v>12.711068209232675</v>
      </c>
      <c r="AB53" s="21">
        <f>EXP(-LN(2)/2)*AB52+(1-EXP(-LN(2)/2))/(LN(2)/2)*V53*Y53*VLOOKUP('Données projet'!$B$9,Paramètres!$A$1:$I$89,3,0)*0.475*44/12</f>
        <v>1.6699687097013949</v>
      </c>
      <c r="AC53" s="22">
        <f t="shared" si="3"/>
        <v>54.988389738974263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159.55769230769232</v>
      </c>
      <c r="AG53" s="12">
        <f>VLOOKUP(A53,'Données projet'!$A$61:$I$81,9,0)</f>
        <v>7.143429487179489</v>
      </c>
      <c r="AH53" s="12">
        <f t="array" ref="AH53">INDEX(AG:AG,MIN(IF(ISNUMBER(AG53:AG249),ROW(AG53:AG249),"")))</f>
        <v>7.143429487179489</v>
      </c>
      <c r="AI53" s="13">
        <f>IF('Données projet'!$A$62&gt;35,AI52+AH53-AQ52,IF(A53&lt;'Données projet'!$A$62,$AF$205^A53,IF(A53='Données projet'!$A$62,'Données projet'!$B$62,AI52+AH53-AQ52)))</f>
        <v>159.55769230769243</v>
      </c>
      <c r="AJ53" s="13">
        <f>AI53*VLOOKUP('Données projet'!$B$10,Paramètres!$A$1:$I$89,3,0)*VLOOKUP('Données projet'!$B$10,Paramètres!$A$1:$I$89,5,0)</f>
        <v>144.3678000000001</v>
      </c>
      <c r="AK53" s="13">
        <f t="shared" si="35"/>
        <v>37.295811043150216</v>
      </c>
      <c r="AL53" s="20">
        <f t="shared" si="4"/>
        <v>316.39745590015349</v>
      </c>
      <c r="AM53" s="59">
        <f t="shared" si="5"/>
        <v>609.7307892334868</v>
      </c>
      <c r="AN53" s="59">
        <f ca="1">AVERAGE(OFFSET($AM$3,0,0,'Données projet'!$E$10+1,1))-AVERAGE(OFFSET($H$3,0,0,'Données projet'!$E$10+1,1))</f>
        <v>447.91110718952615</v>
      </c>
      <c r="AO53" s="59">
        <f t="shared" si="36"/>
        <v>188.87492758536894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29.416666666666664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159.55769230769232</v>
      </c>
      <c r="BB53" s="12">
        <f>VLOOKUP(A53,'Données projet'!$A$87:$I$107,9,0)</f>
        <v>7.143429487179489</v>
      </c>
      <c r="BC53" s="12">
        <f t="array" ref="BC53">INDEX(BB:BB,MIN(IF(ISNUMBER(BB53:BB249),ROW(BB53:BB249),"")))</f>
        <v>7.143429487179489</v>
      </c>
      <c r="BD53" s="12">
        <f>IF('Données projet'!$A$88&gt;35,BD52+BC53-BL52,IF(A53&lt;'Données projet'!$A$88,$BA$205^A53,IF(A53='Données projet'!$A$88,'Données projet'!$B$88,BD52+BC53-BL52)))</f>
        <v>159.55769230769243</v>
      </c>
      <c r="BE53" s="13">
        <f>BD53*VLOOKUP('Données projet'!$B$11,Paramètres!$A$1:$I$89,3,0)*VLOOKUP('Données projet'!$B$11,Paramètres!$A$1:$I$89,5,0)</f>
        <v>161.79150000000016</v>
      </c>
      <c r="BF53" s="13">
        <f t="shared" si="37"/>
        <v>41.246331002502508</v>
      </c>
      <c r="BG53" s="20">
        <f t="shared" si="7"/>
        <v>353.62422232935882</v>
      </c>
      <c r="BH53" s="59">
        <f t="shared" si="8"/>
        <v>646.95755566269213</v>
      </c>
      <c r="BI53" s="59">
        <f ca="1">AVERAGE(OFFSET($BH$3,0,0,'Données projet'!$E$11+1,1))-AVERAGE(OFFSET($H$3,0,0,'Données projet'!$E$11+1,1))</f>
        <v>496.71433459306451</v>
      </c>
      <c r="BJ53" s="59">
        <f t="shared" si="38"/>
        <v>206.75063396134982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29.416666666666664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13.793846153846165</v>
      </c>
      <c r="N54" s="13">
        <f>IF('Données projet'!$A$36&gt;35,N53+M54-V53,IF(A54&lt;'Données projet'!$A$36,$K$205^A54,IF(A54='Données projet'!$A$36,'Données projet'!$B$36,N53+M54-V53)))</f>
        <v>359.23076923076923</v>
      </c>
      <c r="O54" s="13">
        <f>N54*VLOOKUP('Données projet'!$B$9,Paramètres!$A$1:$I$89,3,0)*VLOOKUP('Données projet'!$B$9,Paramètres!$A$1:$I$89,5,0)</f>
        <v>214.82</v>
      </c>
      <c r="P54" s="13">
        <f t="shared" si="33"/>
        <v>52.987481825087599</v>
      </c>
      <c r="Q54" s="20">
        <f t="shared" si="53"/>
        <v>466.43136417869431</v>
      </c>
      <c r="R54" s="59">
        <f t="shared" si="0"/>
        <v>759.76469751202762</v>
      </c>
      <c r="S54" s="59">
        <f ca="1">AVERAGE(OFFSET($R$3,0,0,'Données projet'!$E$9+1,1))-AVERAGE(OFFSET($H$3,0,0,'Données projet'!$E$9+1,1))</f>
        <v>355.09162485318728</v>
      </c>
      <c r="T54" s="59">
        <f t="shared" si="34"/>
        <v>320.06572891923685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39.811067399278784</v>
      </c>
      <c r="AA54" s="21">
        <f>EXP(-LN(2)/25)*AA53+(1-EXP(-LN(2)/25))/(LN(2)/25)*Calculateur!V54*Calculateur!X54*VLOOKUP('Données projet'!$B$9,Paramètres!$A$1:$I$89,3,0)*0.475*44/12</f>
        <v>12.363483380605182</v>
      </c>
      <c r="AB54" s="21">
        <f>EXP(-LN(2)/2)*AB53+(1-EXP(-LN(2)/2))/(LN(2)/2)*V54*Y54*VLOOKUP('Données projet'!$B$9,Paramètres!$A$1:$I$89,3,0)*0.475*44/12</f>
        <v>1.1808461989992054</v>
      </c>
      <c r="AC54" s="22">
        <f t="shared" si="3"/>
        <v>53.355396978883171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7.2307692307692264</v>
      </c>
      <c r="AI54" s="13">
        <f>IF('Données projet'!$A$62&gt;35,AI53+AH54-AQ53,IF(A54&lt;'Données projet'!$A$62,$AF$205^A54,IF(A54='Données projet'!$A$62,'Données projet'!$B$62,AI53+AH54-AQ53)))</f>
        <v>137.371794871795</v>
      </c>
      <c r="AJ54" s="13">
        <f>AI54*VLOOKUP('Données projet'!$B$10,Paramètres!$A$1:$I$89,3,0)*VLOOKUP('Données projet'!$B$10,Paramètres!$A$1:$I$89,5,0)</f>
        <v>124.29400000000012</v>
      </c>
      <c r="AK54" s="13">
        <f t="shared" si="35"/>
        <v>32.674445813839228</v>
      </c>
      <c r="AL54" s="20">
        <f t="shared" si="4"/>
        <v>273.38670979243687</v>
      </c>
      <c r="AM54" s="59">
        <f t="shared" si="5"/>
        <v>566.72004312577019</v>
      </c>
      <c r="AN54" s="59">
        <f ca="1">AVERAGE(OFFSET($AM$3,0,0,'Données projet'!$E$10+1,1))-AVERAGE(OFFSET($H$3,0,0,'Données projet'!$E$10+1,1))</f>
        <v>447.91110718952615</v>
      </c>
      <c r="AO54" s="59">
        <f t="shared" si="36"/>
        <v>188.87492758536894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7.2307692307692264</v>
      </c>
      <c r="BD54" s="12">
        <f>IF('Données projet'!$A$88&gt;35,BD53+BC54-BL53,IF(A54&lt;'Données projet'!$A$88,$BA$205^A54,IF(A54='Données projet'!$A$88,'Données projet'!$B$88,BD53+BC54-BL53)))</f>
        <v>137.371794871795</v>
      </c>
      <c r="BE54" s="13">
        <f>BD54*VLOOKUP('Données projet'!$B$11,Paramètres!$A$1:$I$89,3,0)*VLOOKUP('Données projet'!$B$11,Paramètres!$A$1:$I$89,5,0)</f>
        <v>139.29500000000016</v>
      </c>
      <c r="BF54" s="13">
        <f t="shared" si="37"/>
        <v>36.135452472174194</v>
      </c>
      <c r="BG54" s="20">
        <f t="shared" si="7"/>
        <v>305.54137138903701</v>
      </c>
      <c r="BH54" s="59">
        <f t="shared" si="8"/>
        <v>598.87470472237032</v>
      </c>
      <c r="BI54" s="59">
        <f ca="1">AVERAGE(OFFSET($BH$3,0,0,'Données projet'!$E$11+1,1))-AVERAGE(OFFSET($H$3,0,0,'Données projet'!$E$11+1,1))</f>
        <v>496.71433459306451</v>
      </c>
      <c r="BJ54" s="59">
        <f t="shared" si="38"/>
        <v>206.75063396134982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13.793846153846165</v>
      </c>
      <c r="N55" s="13">
        <f>IF('Données projet'!$A$36&gt;35,N54+M55-V54,IF(A55&lt;'Données projet'!$A$36,$K$205^A55,IF(A55='Données projet'!$A$36,'Données projet'!$B$36,N54+M55-V54)))</f>
        <v>373.0246153846154</v>
      </c>
      <c r="O55" s="13">
        <f>N55*VLOOKUP('Données projet'!$B$9,Paramètres!$A$1:$I$89,3,0)*VLOOKUP('Données projet'!$B$9,Paramètres!$A$1:$I$89,5,0)</f>
        <v>223.06872000000001</v>
      </c>
      <c r="P55" s="13">
        <f t="shared" si="33"/>
        <v>54.78131818288734</v>
      </c>
      <c r="Q55" s="20">
        <f t="shared" si="53"/>
        <v>483.92214983519551</v>
      </c>
      <c r="R55" s="59">
        <f t="shared" si="0"/>
        <v>777.25548316852883</v>
      </c>
      <c r="S55" s="59">
        <f ca="1">AVERAGE(OFFSET($R$3,0,0,'Données projet'!$E$9+1,1))-AVERAGE(OFFSET($H$3,0,0,'Données projet'!$E$9+1,1))</f>
        <v>355.09162485318728</v>
      </c>
      <c r="T55" s="59">
        <f t="shared" si="34"/>
        <v>320.06572891923685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39.030396649932356</v>
      </c>
      <c r="AA55" s="21">
        <f>EXP(-LN(2)/25)*AA54+(1-EXP(-LN(2)/25))/(LN(2)/25)*Calculateur!V55*Calculateur!X55*VLOOKUP('Données projet'!$B$9,Paramètres!$A$1:$I$89,3,0)*0.475*44/12</f>
        <v>12.025403277395199</v>
      </c>
      <c r="AB55" s="21">
        <f>EXP(-LN(2)/2)*AB54+(1-EXP(-LN(2)/2))/(LN(2)/2)*V55*Y55*VLOOKUP('Données projet'!$B$9,Paramètres!$A$1:$I$89,3,0)*0.475*44/12</f>
        <v>0.83498435485069755</v>
      </c>
      <c r="AC55" s="22">
        <f t="shared" si="3"/>
        <v>51.890784282178252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7.2307692307692264</v>
      </c>
      <c r="AI55" s="13">
        <f>IF('Données projet'!$A$62&gt;35,AI54+AH55-AQ54,IF(A55&lt;'Données projet'!$A$62,$AF$205^A55,IF(A55='Données projet'!$A$62,'Données projet'!$B$62,AI54+AH55-AQ54)))</f>
        <v>144.60256410256423</v>
      </c>
      <c r="AJ55" s="13">
        <f>AI55*VLOOKUP('Données projet'!$B$10,Paramètres!$A$1:$I$89,3,0)*VLOOKUP('Données projet'!$B$10,Paramètres!$A$1:$I$89,5,0)</f>
        <v>130.83640000000011</v>
      </c>
      <c r="AK55" s="13">
        <f t="shared" si="35"/>
        <v>34.189554618744111</v>
      </c>
      <c r="AL55" s="20">
        <f t="shared" si="4"/>
        <v>287.42020429431284</v>
      </c>
      <c r="AM55" s="59">
        <f t="shared" si="5"/>
        <v>580.75353762764621</v>
      </c>
      <c r="AN55" s="59">
        <f ca="1">AVERAGE(OFFSET($AM$3,0,0,'Données projet'!$E$10+1,1))-AVERAGE(OFFSET($H$3,0,0,'Données projet'!$E$10+1,1))</f>
        <v>447.91110718952615</v>
      </c>
      <c r="AO55" s="59">
        <f t="shared" si="36"/>
        <v>188.87492758536894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7.2307692307692264</v>
      </c>
      <c r="BD55" s="12">
        <f>IF('Données projet'!$A$88&gt;35,BD54+BC55-BL54,IF(A55&lt;'Données projet'!$A$88,$BA$205^A55,IF(A55='Données projet'!$A$88,'Données projet'!$B$88,BD54+BC55-BL54)))</f>
        <v>144.60256410256423</v>
      </c>
      <c r="BE55" s="13">
        <f>BD55*VLOOKUP('Données projet'!$B$11,Paramètres!$A$1:$I$89,3,0)*VLOOKUP('Données projet'!$B$11,Paramètres!$A$1:$I$89,5,0)</f>
        <v>146.62700000000015</v>
      </c>
      <c r="BF55" s="13">
        <f t="shared" si="37"/>
        <v>37.811047599991909</v>
      </c>
      <c r="BG55" s="20">
        <f t="shared" si="7"/>
        <v>321.22959956998608</v>
      </c>
      <c r="BH55" s="59">
        <f t="shared" si="8"/>
        <v>614.56293290331939</v>
      </c>
      <c r="BI55" s="59">
        <f ca="1">AVERAGE(OFFSET($BH$3,0,0,'Données projet'!$E$11+1,1))-AVERAGE(OFFSET($H$3,0,0,'Données projet'!$E$11+1,1))</f>
        <v>496.71433459306451</v>
      </c>
      <c r="BJ55" s="59">
        <f t="shared" si="38"/>
        <v>206.75063396134982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13.793846153846165</v>
      </c>
      <c r="N56" s="13">
        <f>IF('Données projet'!$A$36&gt;35,N55+M56-V55,IF(A56&lt;'Données projet'!$A$36,$K$205^A56,IF(A56='Données projet'!$A$36,'Données projet'!$B$36,N55+M56-V55)))</f>
        <v>386.81846153846158</v>
      </c>
      <c r="O56" s="13">
        <f>N56*VLOOKUP('Données projet'!$B$9,Paramètres!$A$1:$I$89,3,0)*VLOOKUP('Données projet'!$B$9,Paramètres!$A$1:$I$89,5,0)</f>
        <v>231.31744000000003</v>
      </c>
      <c r="P56" s="13">
        <f t="shared" si="33"/>
        <v>56.567448098598192</v>
      </c>
      <c r="Q56" s="20">
        <f t="shared" si="53"/>
        <v>501.39951343839198</v>
      </c>
      <c r="R56" s="59">
        <f t="shared" si="0"/>
        <v>794.73284677172524</v>
      </c>
      <c r="S56" s="59">
        <f ca="1">AVERAGE(OFFSET($R$3,0,0,'Données projet'!$E$9+1,1))-AVERAGE(OFFSET($H$3,0,0,'Données projet'!$E$9+1,1))</f>
        <v>355.09162485318728</v>
      </c>
      <c r="T56" s="59">
        <f t="shared" si="34"/>
        <v>320.06572891923685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38.265034377818473</v>
      </c>
      <c r="AA56" s="21">
        <f>EXP(-LN(2)/25)*AA55+(1-EXP(-LN(2)/25))/(LN(2)/25)*Calculateur!V56*Calculateur!X56*VLOOKUP('Données projet'!$B$9,Paramètres!$A$1:$I$89,3,0)*0.475*44/12</f>
        <v>11.696567992386353</v>
      </c>
      <c r="AB56" s="21">
        <f>EXP(-LN(2)/2)*AB55+(1-EXP(-LN(2)/2))/(LN(2)/2)*V56*Y56*VLOOKUP('Données projet'!$B$9,Paramètres!$A$1:$I$89,3,0)*0.475*44/12</f>
        <v>0.59042309949960281</v>
      </c>
      <c r="AC56" s="22">
        <f t="shared" si="3"/>
        <v>50.552025469704432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7.2307692307692264</v>
      </c>
      <c r="AI56" s="13">
        <f>IF('Données projet'!$A$62&gt;35,AI55+AH56-AQ55,IF(A56&lt;'Données projet'!$A$62,$AF$205^A56,IF(A56='Données projet'!$A$62,'Données projet'!$B$62,AI55+AH56-AQ55)))</f>
        <v>151.83333333333346</v>
      </c>
      <c r="AJ56" s="13">
        <f>AI56*VLOOKUP('Données projet'!$B$10,Paramètres!$A$1:$I$89,3,0)*VLOOKUP('Données projet'!$B$10,Paramètres!$A$1:$I$89,5,0)</f>
        <v>137.37880000000013</v>
      </c>
      <c r="AK56" s="13">
        <f t="shared" si="35"/>
        <v>35.695866453131174</v>
      </c>
      <c r="AL56" s="20">
        <f t="shared" si="4"/>
        <v>301.43837740587037</v>
      </c>
      <c r="AM56" s="59">
        <f t="shared" si="5"/>
        <v>594.77171073920363</v>
      </c>
      <c r="AN56" s="59">
        <f ca="1">AVERAGE(OFFSET($AM$3,0,0,'Données projet'!$E$10+1,1))-AVERAGE(OFFSET($H$3,0,0,'Données projet'!$E$10+1,1))</f>
        <v>447.91110718952615</v>
      </c>
      <c r="AO56" s="59">
        <f t="shared" si="36"/>
        <v>188.87492758536894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7.2307692307692264</v>
      </c>
      <c r="BD56" s="12">
        <f>IF('Données projet'!$A$88&gt;35,BD55+BC56-BL55,IF(A56&lt;'Données projet'!$A$88,$BA$205^A56,IF(A56='Données projet'!$A$88,'Données projet'!$B$88,BD55+BC56-BL55)))</f>
        <v>151.83333333333346</v>
      </c>
      <c r="BE56" s="13">
        <f>BD56*VLOOKUP('Données projet'!$B$11,Paramètres!$A$1:$I$89,3,0)*VLOOKUP('Données projet'!$B$11,Paramètres!$A$1:$I$89,5,0)</f>
        <v>153.95900000000015</v>
      </c>
      <c r="BF56" s="13">
        <f t="shared" si="37"/>
        <v>39.476913947347491</v>
      </c>
      <c r="BG56" s="20">
        <f t="shared" si="7"/>
        <v>336.90088345829713</v>
      </c>
      <c r="BH56" s="59">
        <f t="shared" si="8"/>
        <v>630.23421679163039</v>
      </c>
      <c r="BI56" s="59">
        <f ca="1">AVERAGE(OFFSET($BH$3,0,0,'Données projet'!$E$11+1,1))-AVERAGE(OFFSET($H$3,0,0,'Données projet'!$E$11+1,1))</f>
        <v>496.71433459306451</v>
      </c>
      <c r="BJ56" s="59">
        <f t="shared" si="38"/>
        <v>206.75063396134982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13.793846153846165</v>
      </c>
      <c r="N57" s="13">
        <f>IF('Données projet'!$A$36&gt;35,N56+M57-V56,IF(A57&lt;'Données projet'!$A$36,$K$205^A57,IF(A57='Données projet'!$A$36,'Données projet'!$B$36,N56+M57-V56)))</f>
        <v>400.61230769230775</v>
      </c>
      <c r="O57" s="13">
        <f>N57*VLOOKUP('Données projet'!$B$9,Paramètres!$A$1:$I$89,3,0)*VLOOKUP('Données projet'!$B$9,Paramètres!$A$1:$I$89,5,0)</f>
        <v>239.56616000000005</v>
      </c>
      <c r="P57" s="13">
        <f t="shared" si="33"/>
        <v>58.346177865957287</v>
      </c>
      <c r="Q57" s="20">
        <f t="shared" si="53"/>
        <v>518.86398844987571</v>
      </c>
      <c r="R57" s="59">
        <f t="shared" si="0"/>
        <v>812.19732178320896</v>
      </c>
      <c r="S57" s="59">
        <f ca="1">AVERAGE(OFFSET($R$3,0,0,'Données projet'!$E$9+1,1))-AVERAGE(OFFSET($H$3,0,0,'Données projet'!$E$9+1,1))</f>
        <v>355.09162485318728</v>
      </c>
      <c r="T57" s="59">
        <f t="shared" si="34"/>
        <v>320.06572891923685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37.514680393035853</v>
      </c>
      <c r="AA57" s="21">
        <f>EXP(-LN(2)/25)*AA56+(1-EXP(-LN(2)/25))/(LN(2)/25)*Calculateur!V57*Calculateur!X57*VLOOKUP('Données projet'!$B$9,Paramètres!$A$1:$I$89,3,0)*0.475*44/12</f>
        <v>11.37672472553877</v>
      </c>
      <c r="AB57" s="21">
        <f>EXP(-LN(2)/2)*AB56+(1-EXP(-LN(2)/2))/(LN(2)/2)*V57*Y57*VLOOKUP('Données projet'!$B$9,Paramètres!$A$1:$I$89,3,0)*0.475*44/12</f>
        <v>0.41749217742534883</v>
      </c>
      <c r="AC57" s="22">
        <f t="shared" si="3"/>
        <v>49.308897295999977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7.2307692307692264</v>
      </c>
      <c r="AI57" s="13">
        <f>IF('Données projet'!$A$62&gt;35,AI56+AH57-AQ56,IF(A57&lt;'Données projet'!$A$62,$AF$205^A57,IF(A57='Données projet'!$A$62,'Données projet'!$B$62,AI56+AH57-AQ56)))</f>
        <v>159.06410256410268</v>
      </c>
      <c r="AJ57" s="13">
        <f>AI57*VLOOKUP('Données projet'!$B$10,Paramètres!$A$1:$I$89,3,0)*VLOOKUP('Données projet'!$B$10,Paramètres!$A$1:$I$89,5,0)</f>
        <v>143.92120000000011</v>
      </c>
      <c r="AK57" s="13">
        <f t="shared" si="35"/>
        <v>37.193848087208842</v>
      </c>
      <c r="AL57" s="20">
        <f t="shared" si="4"/>
        <v>315.44204208522223</v>
      </c>
      <c r="AM57" s="59">
        <f t="shared" si="5"/>
        <v>608.77537541855554</v>
      </c>
      <c r="AN57" s="59">
        <f ca="1">AVERAGE(OFFSET($AM$3,0,0,'Données projet'!$E$10+1,1))-AVERAGE(OFFSET($H$3,0,0,'Données projet'!$E$10+1,1))</f>
        <v>447.91110718952615</v>
      </c>
      <c r="AO57" s="59">
        <f t="shared" si="36"/>
        <v>188.87492758536894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7.2307692307692264</v>
      </c>
      <c r="BD57" s="12">
        <f>IF('Données projet'!$A$88&gt;35,BD56+BC57-BL56,IF(A57&lt;'Données projet'!$A$88,$BA$205^A57,IF(A57='Données projet'!$A$88,'Données projet'!$B$88,BD56+BC57-BL56)))</f>
        <v>159.06410256410268</v>
      </c>
      <c r="BE57" s="13">
        <f>BD57*VLOOKUP('Données projet'!$B$11,Paramètres!$A$1:$I$89,3,0)*VLOOKUP('Données projet'!$B$11,Paramètres!$A$1:$I$89,5,0)</f>
        <v>161.29100000000014</v>
      </c>
      <c r="BF57" s="13">
        <f t="shared" si="37"/>
        <v>41.133567726597683</v>
      </c>
      <c r="BG57" s="20">
        <f t="shared" si="7"/>
        <v>352.55612212382448</v>
      </c>
      <c r="BH57" s="59">
        <f t="shared" si="8"/>
        <v>645.88945545715774</v>
      </c>
      <c r="BI57" s="59">
        <f ca="1">AVERAGE(OFFSET($BH$3,0,0,'Données projet'!$E$11+1,1))-AVERAGE(OFFSET($H$3,0,0,'Données projet'!$E$11+1,1))</f>
        <v>496.71433459306451</v>
      </c>
      <c r="BJ57" s="59">
        <f t="shared" si="38"/>
        <v>206.75063396134982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13.793846153846165</v>
      </c>
      <c r="N58" s="13">
        <f>IF('Données projet'!$A$36&gt;35,N57+M58-V57,IF(A58&lt;'Données projet'!$A$36,$K$205^A58,IF(A58='Données projet'!$A$36,'Données projet'!$B$36,N57+M58-V57)))</f>
        <v>414.40615384615393</v>
      </c>
      <c r="O58" s="13">
        <f>N58*VLOOKUP('Données projet'!$B$9,Paramètres!$A$1:$I$89,3,0)*VLOOKUP('Données projet'!$B$9,Paramètres!$A$1:$I$89,5,0)</f>
        <v>247.81488000000007</v>
      </c>
      <c r="P58" s="13">
        <f t="shared" si="33"/>
        <v>60.117791489820576</v>
      </c>
      <c r="Q58" s="20">
        <f t="shared" si="53"/>
        <v>536.3160695114376</v>
      </c>
      <c r="R58" s="59">
        <f t="shared" si="0"/>
        <v>829.64940284477098</v>
      </c>
      <c r="S58" s="59">
        <f ca="1">AVERAGE(OFFSET($R$3,0,0,'Données projet'!$E$9+1,1))-AVERAGE(OFFSET($H$3,0,0,'Données projet'!$E$9+1,1))</f>
        <v>355.09162485318728</v>
      </c>
      <c r="T58" s="59">
        <f t="shared" si="34"/>
        <v>320.06572891923685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36.779040392224083</v>
      </c>
      <c r="AA58" s="21">
        <f>EXP(-LN(2)/25)*AA57+(1-EXP(-LN(2)/25))/(LN(2)/25)*Calculateur!V58*Calculateur!X58*VLOOKUP('Données projet'!$B$9,Paramètres!$A$1:$I$89,3,0)*0.475*44/12</f>
        <v>11.065627589642961</v>
      </c>
      <c r="AB58" s="21">
        <f>EXP(-LN(2)/2)*AB57+(1-EXP(-LN(2)/2))/(LN(2)/2)*V58*Y58*VLOOKUP('Données projet'!$B$9,Paramètres!$A$1:$I$89,3,0)*0.475*44/12</f>
        <v>0.29521154974980141</v>
      </c>
      <c r="AC58" s="22">
        <f t="shared" si="3"/>
        <v>48.139879531616849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7.2307692307692264</v>
      </c>
      <c r="AI58" s="13">
        <f>IF('Données projet'!$A$62&gt;35,AI57+AH58-AQ57,IF(A58&lt;'Données projet'!$A$62,$AF$205^A58,IF(A58='Données projet'!$A$62,'Données projet'!$B$62,AI57+AH58-AQ57)))</f>
        <v>166.29487179487191</v>
      </c>
      <c r="AJ58" s="13">
        <f>AI58*VLOOKUP('Données projet'!$B$10,Paramètres!$A$1:$I$89,3,0)*VLOOKUP('Données projet'!$B$10,Paramètres!$A$1:$I$89,5,0)</f>
        <v>150.4636000000001</v>
      </c>
      <c r="AK58" s="13">
        <f t="shared" si="35"/>
        <v>38.683921455302077</v>
      </c>
      <c r="AL58" s="20">
        <f t="shared" si="4"/>
        <v>329.43193320131792</v>
      </c>
      <c r="AM58" s="59">
        <f t="shared" si="5"/>
        <v>622.76526653465123</v>
      </c>
      <c r="AN58" s="59">
        <f ca="1">AVERAGE(OFFSET($AM$3,0,0,'Données projet'!$E$10+1,1))-AVERAGE(OFFSET($H$3,0,0,'Données projet'!$E$10+1,1))</f>
        <v>447.91110718952615</v>
      </c>
      <c r="AO58" s="59">
        <f t="shared" si="36"/>
        <v>188.87492758536894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7.2307692307692264</v>
      </c>
      <c r="BD58" s="12">
        <f>IF('Données projet'!$A$88&gt;35,BD57+BC58-BL57,IF(A58&lt;'Données projet'!$A$88,$BA$205^A58,IF(A58='Données projet'!$A$88,'Données projet'!$B$88,BD57+BC58-BL57)))</f>
        <v>166.29487179487191</v>
      </c>
      <c r="BE58" s="13">
        <f>BD58*VLOOKUP('Données projet'!$B$11,Paramètres!$A$1:$I$89,3,0)*VLOOKUP('Données projet'!$B$11,Paramètres!$A$1:$I$89,5,0)</f>
        <v>168.62300000000013</v>
      </c>
      <c r="BF58" s="13">
        <f t="shared" si="37"/>
        <v>42.781475565021672</v>
      </c>
      <c r="BG58" s="20">
        <f t="shared" si="7"/>
        <v>368.19612827574633</v>
      </c>
      <c r="BH58" s="59">
        <f t="shared" si="8"/>
        <v>661.52946160907959</v>
      </c>
      <c r="BI58" s="59">
        <f ca="1">AVERAGE(OFFSET($BH$3,0,0,'Données projet'!$E$11+1,1))-AVERAGE(OFFSET($H$3,0,0,'Données projet'!$E$11+1,1))</f>
        <v>496.71433459306451</v>
      </c>
      <c r="BJ58" s="59">
        <f t="shared" si="38"/>
        <v>206.75063396134982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428.20000000000005</v>
      </c>
      <c r="L59" s="12">
        <f>VLOOKUP(A59,'Données projet'!$A$35:$I$55,9,0)</f>
        <v>13.793846153846165</v>
      </c>
      <c r="M59" s="12">
        <f t="array" ref="M59">INDEX(L:L,MIN(IF(ISNUMBER(L59:L255),ROW(L59:L255),"")))</f>
        <v>13.793846153846165</v>
      </c>
      <c r="N59" s="13">
        <f>IF('Données projet'!$A$36&gt;35,N58+M59-V58,IF(A59&lt;'Données projet'!$A$36,$K$205^A59,IF(A59='Données projet'!$A$36,'Données projet'!$B$36,N58+M59-V58)))</f>
        <v>428.2000000000001</v>
      </c>
      <c r="O59" s="13">
        <f>N59*VLOOKUP('Données projet'!$B$9,Paramètres!$A$1:$I$89,3,0)*VLOOKUP('Données projet'!$B$9,Paramètres!$A$1:$I$89,5,0)</f>
        <v>256.06360000000012</v>
      </c>
      <c r="P59" s="13">
        <f t="shared" si="33"/>
        <v>61.882552995500411</v>
      </c>
      <c r="Q59" s="20">
        <f t="shared" si="53"/>
        <v>553.75621646716343</v>
      </c>
      <c r="R59" s="59">
        <f t="shared" si="0"/>
        <v>847.0895498004968</v>
      </c>
      <c r="S59" s="59">
        <f ca="1">AVERAGE(OFFSET($R$3,0,0,'Données projet'!$E$9+1,1))-AVERAGE(OFFSET($H$3,0,0,'Données projet'!$E$9+1,1))</f>
        <v>355.09162485318728</v>
      </c>
      <c r="T59" s="59">
        <f t="shared" si="34"/>
        <v>320.06572891923685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60.092307692307692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51.073988934152091</v>
      </c>
      <c r="AA59" s="21">
        <f>EXP(-LN(2)/25)*AA58+(1-EXP(-LN(2)/25))/(LN(2)/25)*Calculateur!V59*Calculateur!X59*VLOOKUP('Données projet'!$B$9,Paramètres!$A$1:$I$89,3,0)*0.475*44/12</f>
        <v>14.352726717765847</v>
      </c>
      <c r="AB59" s="21">
        <f>EXP(-LN(2)/2)*AB58+(1-EXP(-LN(2)/2))/(LN(2)/2)*V59*Y59*VLOOKUP('Données projet'!$B$9,Paramètres!$A$1:$I$89,3,0)*0.475*44/12</f>
        <v>5.5794293043783174</v>
      </c>
      <c r="AC59" s="22">
        <f t="shared" si="3"/>
        <v>71.006144956296254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7.2307692307692264</v>
      </c>
      <c r="AI59" s="13">
        <f>IF('Données projet'!$A$62&gt;35,AI58+AH59-AQ58,IF(A59&lt;'Données projet'!$A$62,$AF$205^A59,IF(A59='Données projet'!$A$62,'Données projet'!$B$62,AI58+AH59-AQ58)))</f>
        <v>173.52564102564114</v>
      </c>
      <c r="AJ59" s="13">
        <f>AI59*VLOOKUP('Données projet'!$B$10,Paramètres!$A$1:$I$89,3,0)*VLOOKUP('Données projet'!$B$10,Paramètres!$A$1:$I$89,5,0)</f>
        <v>157.00600000000009</v>
      </c>
      <c r="AK59" s="13">
        <f t="shared" si="35"/>
        <v>40.166469723989842</v>
      </c>
      <c r="AL59" s="20">
        <f t="shared" si="4"/>
        <v>343.40871810261575</v>
      </c>
      <c r="AM59" s="59">
        <f t="shared" si="5"/>
        <v>636.74205143594907</v>
      </c>
      <c r="AN59" s="59">
        <f ca="1">AVERAGE(OFFSET($AM$3,0,0,'Données projet'!$E$10+1,1))-AVERAGE(OFFSET($H$3,0,0,'Données projet'!$E$10+1,1))</f>
        <v>447.91110718952615</v>
      </c>
      <c r="AO59" s="59">
        <f t="shared" si="36"/>
        <v>188.87492758536894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7.2307692307692264</v>
      </c>
      <c r="BD59" s="12">
        <f>IF('Données projet'!$A$88&gt;35,BD58+BC59-BL58,IF(A59&lt;'Données projet'!$A$88,$BA$205^A59,IF(A59='Données projet'!$A$88,'Données projet'!$B$88,BD58+BC59-BL58)))</f>
        <v>173.52564102564114</v>
      </c>
      <c r="BE59" s="13">
        <f>BD59*VLOOKUP('Données projet'!$B$11,Paramètres!$A$1:$I$89,3,0)*VLOOKUP('Données projet'!$B$11,Paramètres!$A$1:$I$89,5,0)</f>
        <v>175.95500000000013</v>
      </c>
      <c r="BF59" s="13">
        <f t="shared" si="37"/>
        <v>44.421061215719391</v>
      </c>
      <c r="BG59" s="20">
        <f t="shared" si="7"/>
        <v>383.82163995071147</v>
      </c>
      <c r="BH59" s="59">
        <f t="shared" si="8"/>
        <v>677.15497328404479</v>
      </c>
      <c r="BI59" s="59">
        <f ca="1">AVERAGE(OFFSET($BH$3,0,0,'Données projet'!$E$11+1,1))-AVERAGE(OFFSET($H$3,0,0,'Données projet'!$E$11+1,1))</f>
        <v>496.71433459306451</v>
      </c>
      <c r="BJ59" s="59">
        <f t="shared" si="38"/>
        <v>206.75063396134982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12.05461538461538</v>
      </c>
      <c r="N60" s="13">
        <f>IF('Données projet'!$A$36&gt;35,N59+M60-V59,IF(A60&lt;'Données projet'!$A$36,$K$205^A60,IF(A60='Données projet'!$A$36,'Données projet'!$B$36,N59+M60-V59)))</f>
        <v>380.16230769230776</v>
      </c>
      <c r="O60" s="13">
        <f>N60*VLOOKUP('Données projet'!$B$9,Paramètres!$A$1:$I$89,3,0)*VLOOKUP('Données projet'!$B$9,Paramètres!$A$1:$I$89,5,0)</f>
        <v>227.33706000000004</v>
      </c>
      <c r="P60" s="13">
        <f t="shared" si="33"/>
        <v>55.70650197157245</v>
      </c>
      <c r="Q60" s="20">
        <f t="shared" si="53"/>
        <v>492.9675371004887</v>
      </c>
      <c r="R60" s="59">
        <f t="shared" si="0"/>
        <v>786.30087043382196</v>
      </c>
      <c r="S60" s="59">
        <f ca="1">AVERAGE(OFFSET($R$3,0,0,'Données projet'!$E$9+1,1))-AVERAGE(OFFSET($H$3,0,0,'Données projet'!$E$9+1,1))</f>
        <v>355.09162485318728</v>
      </c>
      <c r="T60" s="59">
        <f t="shared" si="34"/>
        <v>320.06572891923685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50.07245916321061</v>
      </c>
      <c r="AA60" s="21">
        <f>EXP(-LN(2)/25)*AA59+(1-EXP(-LN(2)/25))/(LN(2)/25)*Calculateur!V60*Calculateur!X60*VLOOKUP('Données projet'!$B$9,Paramètres!$A$1:$I$89,3,0)*0.475*44/12</f>
        <v>13.960250650891446</v>
      </c>
      <c r="AB60" s="21">
        <f>EXP(-LN(2)/2)*AB59+(1-EXP(-LN(2)/2))/(LN(2)/2)*V60*Y60*VLOOKUP('Données projet'!$B$9,Paramètres!$A$1:$I$89,3,0)*0.475*44/12</f>
        <v>3.9452522962768501</v>
      </c>
      <c r="AC60" s="22">
        <f t="shared" si="3"/>
        <v>67.977962110378897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7.2307692307692264</v>
      </c>
      <c r="AI60" s="13">
        <f>IF('Données projet'!$A$62&gt;35,AI59+AH60-AQ59,IF(A60&lt;'Données projet'!$A$62,$AF$205^A60,IF(A60='Données projet'!$A$62,'Données projet'!$B$62,AI59+AH60-AQ59)))</f>
        <v>180.75641025641036</v>
      </c>
      <c r="AJ60" s="13">
        <f>AI60*VLOOKUP('Données projet'!$B$10,Paramètres!$A$1:$I$89,3,0)*VLOOKUP('Données projet'!$B$10,Paramètres!$A$1:$I$89,5,0)</f>
        <v>163.54840000000007</v>
      </c>
      <c r="AK60" s="13">
        <f t="shared" si="35"/>
        <v>41.641842320311184</v>
      </c>
      <c r="AL60" s="20">
        <f t="shared" si="4"/>
        <v>357.37300537454212</v>
      </c>
      <c r="AM60" s="59">
        <f t="shared" si="5"/>
        <v>650.70633870787537</v>
      </c>
      <c r="AN60" s="59">
        <f ca="1">AVERAGE(OFFSET($AM$3,0,0,'Données projet'!$E$10+1,1))-AVERAGE(OFFSET($H$3,0,0,'Données projet'!$E$10+1,1))</f>
        <v>447.91110718952615</v>
      </c>
      <c r="AO60" s="59">
        <f t="shared" si="36"/>
        <v>188.87492758536894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7.2307692307692264</v>
      </c>
      <c r="BD60" s="12">
        <f>IF('Données projet'!$A$88&gt;35,BD59+BC60-BL59,IF(A60&lt;'Données projet'!$A$88,$BA$205^A60,IF(A60='Données projet'!$A$88,'Données projet'!$B$88,BD59+BC60-BL59)))</f>
        <v>180.75641025641036</v>
      </c>
      <c r="BE60" s="13">
        <f>BD60*VLOOKUP('Données projet'!$B$11,Paramètres!$A$1:$I$89,3,0)*VLOOKUP('Données projet'!$B$11,Paramètres!$A$1:$I$89,5,0)</f>
        <v>183.28700000000012</v>
      </c>
      <c r="BF60" s="13">
        <f t="shared" si="37"/>
        <v>46.052711118425272</v>
      </c>
      <c r="BG60" s="20">
        <f t="shared" si="7"/>
        <v>399.43333019792425</v>
      </c>
      <c r="BH60" s="59">
        <f t="shared" si="8"/>
        <v>692.76666353125756</v>
      </c>
      <c r="BI60" s="59">
        <f ca="1">AVERAGE(OFFSET($BH$3,0,0,'Données projet'!$E$11+1,1))-AVERAGE(OFFSET($H$3,0,0,'Données projet'!$E$11+1,1))</f>
        <v>496.71433459306451</v>
      </c>
      <c r="BJ60" s="59">
        <f t="shared" si="38"/>
        <v>206.75063396134982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12.05461538461538</v>
      </c>
      <c r="N61" s="13">
        <f>IF('Données projet'!$A$36&gt;35,N60+M61-V60,IF(A61&lt;'Données projet'!$A$36,$K$205^A61,IF(A61='Données projet'!$A$36,'Données projet'!$B$36,N60+M61-V60)))</f>
        <v>392.21692307692314</v>
      </c>
      <c r="O61" s="13">
        <f>N61*VLOOKUP('Données projet'!$B$9,Paramètres!$A$1:$I$89,3,0)*VLOOKUP('Données projet'!$B$9,Paramètres!$A$1:$I$89,5,0)</f>
        <v>234.54572000000007</v>
      </c>
      <c r="P61" s="13">
        <f t="shared" si="33"/>
        <v>57.264450118616011</v>
      </c>
      <c r="Q61" s="20">
        <f t="shared" si="53"/>
        <v>508.23604628992302</v>
      </c>
      <c r="R61" s="59">
        <f t="shared" si="0"/>
        <v>801.56937962325628</v>
      </c>
      <c r="S61" s="59">
        <f ca="1">AVERAGE(OFFSET($R$3,0,0,'Données projet'!$E$9+1,1))-AVERAGE(OFFSET($H$3,0,0,'Données projet'!$E$9+1,1))</f>
        <v>355.09162485318728</v>
      </c>
      <c r="T61" s="59">
        <f t="shared" si="34"/>
        <v>320.06572891923685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49.09056878020445</v>
      </c>
      <c r="AA61" s="21">
        <f>EXP(-LN(2)/25)*AA60+(1-EXP(-LN(2)/25))/(LN(2)/25)*Calculateur!V61*Calculateur!X61*VLOOKUP('Données projet'!$B$9,Paramètres!$A$1:$I$89,3,0)*0.475*44/12</f>
        <v>13.578506862705144</v>
      </c>
      <c r="AB61" s="21">
        <f>EXP(-LN(2)/2)*AB60+(1-EXP(-LN(2)/2))/(LN(2)/2)*V61*Y61*VLOOKUP('Données projet'!$B$9,Paramètres!$A$1:$I$89,3,0)*0.475*44/12</f>
        <v>2.7897146521891591</v>
      </c>
      <c r="AC61" s="22">
        <f t="shared" si="3"/>
        <v>65.458790295098751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187.98717948717947</v>
      </c>
      <c r="AG61" s="12">
        <f>VLOOKUP(A61,'Données projet'!$A$61:$I$81,9,0)</f>
        <v>7.2307692307692264</v>
      </c>
      <c r="AH61" s="12">
        <f t="array" ref="AH61">INDEX(AG:AG,MIN(IF(ISNUMBER(AG61:AG257),ROW(AG61:AG257),"")))</f>
        <v>7.2307692307692264</v>
      </c>
      <c r="AI61" s="13">
        <f>IF('Données projet'!$A$62&gt;35,AI60+AH61-AQ60,IF(A61&lt;'Données projet'!$A$62,$AF$205^A61,IF(A61='Données projet'!$A$62,'Données projet'!$B$62,AI60+AH61-AQ60)))</f>
        <v>187.98717948717959</v>
      </c>
      <c r="AJ61" s="13">
        <f>AI61*VLOOKUP('Données projet'!$B$10,Paramètres!$A$1:$I$89,3,0)*VLOOKUP('Données projet'!$B$10,Paramètres!$A$1:$I$89,5,0)</f>
        <v>170.09080000000009</v>
      </c>
      <c r="AK61" s="13">
        <f t="shared" si="35"/>
        <v>43.1103591327537</v>
      </c>
      <c r="AL61" s="20">
        <f t="shared" si="4"/>
        <v>371.32535215621283</v>
      </c>
      <c r="AM61" s="59">
        <f t="shared" si="5"/>
        <v>664.65868548954609</v>
      </c>
      <c r="AN61" s="59">
        <f ca="1">AVERAGE(OFFSET($AM$3,0,0,'Données projet'!$E$10+1,1))-AVERAGE(OFFSET($H$3,0,0,'Données projet'!$E$10+1,1))</f>
        <v>447.91110718952615</v>
      </c>
      <c r="AO61" s="59">
        <f t="shared" si="36"/>
        <v>188.87492758536894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35.88461538461538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187.98717948717947</v>
      </c>
      <c r="BB61" s="12">
        <f>VLOOKUP(A61,'Données projet'!$A$87:$I$107,9,0)</f>
        <v>7.2307692307692264</v>
      </c>
      <c r="BC61" s="12">
        <f t="array" ref="BC61">INDEX(BB:BB,MIN(IF(ISNUMBER(BB61:BB257),ROW(BB61:BB257),"")))</f>
        <v>7.2307692307692264</v>
      </c>
      <c r="BD61" s="12">
        <f>IF('Données projet'!$A$88&gt;35,BD60+BC61-BL60,IF(A61&lt;'Données projet'!$A$88,$BA$205^A61,IF(A61='Données projet'!$A$88,'Données projet'!$B$88,BD60+BC61-BL60)))</f>
        <v>187.98717948717959</v>
      </c>
      <c r="BE61" s="13">
        <f>BD61*VLOOKUP('Données projet'!$B$11,Paramètres!$A$1:$I$89,3,0)*VLOOKUP('Données projet'!$B$11,Paramètres!$A$1:$I$89,5,0)</f>
        <v>190.61900000000011</v>
      </c>
      <c r="BF61" s="13">
        <f t="shared" si="37"/>
        <v>47.676779045481844</v>
      </c>
      <c r="BG61" s="20">
        <f t="shared" si="7"/>
        <v>415.03181517088109</v>
      </c>
      <c r="BH61" s="59">
        <f t="shared" si="8"/>
        <v>708.3651485042144</v>
      </c>
      <c r="BI61" s="59">
        <f ca="1">AVERAGE(OFFSET($BH$3,0,0,'Données projet'!$E$11+1,1))-AVERAGE(OFFSET($H$3,0,0,'Données projet'!$E$11+1,1))</f>
        <v>496.71433459306451</v>
      </c>
      <c r="BJ61" s="59">
        <f t="shared" si="38"/>
        <v>206.75063396134982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35.88461538461538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12.05461538461538</v>
      </c>
      <c r="N62" s="13">
        <f>IF('Données projet'!$A$36&gt;35,N61+M62-V61,IF(A62&lt;'Données projet'!$A$36,$K$205^A62,IF(A62='Données projet'!$A$36,'Données projet'!$B$36,N61+M62-V61)))</f>
        <v>404.27153846153851</v>
      </c>
      <c r="O62" s="13">
        <f>N62*VLOOKUP('Données projet'!$B$9,Paramètres!$A$1:$I$89,3,0)*VLOOKUP('Données projet'!$B$9,Paramètres!$A$1:$I$89,5,0)</f>
        <v>241.75438000000005</v>
      </c>
      <c r="P62" s="13">
        <f t="shared" si="33"/>
        <v>58.816833733689712</v>
      </c>
      <c r="Q62" s="20">
        <f t="shared" si="53"/>
        <v>523.49486391950961</v>
      </c>
      <c r="R62" s="59">
        <f t="shared" si="0"/>
        <v>816.82819725284298</v>
      </c>
      <c r="S62" s="59">
        <f ca="1">AVERAGE(OFFSET($R$3,0,0,'Données projet'!$E$9+1,1))-AVERAGE(OFFSET($H$3,0,0,'Données projet'!$E$9+1,1))</f>
        <v>355.09162485318728</v>
      </c>
      <c r="T62" s="59">
        <f t="shared" si="34"/>
        <v>320.06572891923685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48.12793266871504</v>
      </c>
      <c r="AA62" s="21">
        <f>EXP(-LN(2)/25)*AA61+(1-EXP(-LN(2)/25))/(LN(2)/25)*Calculateur!V62*Calculateur!X62*VLOOKUP('Données projet'!$B$9,Paramètres!$A$1:$I$89,3,0)*0.475*44/12</f>
        <v>13.207201878481829</v>
      </c>
      <c r="AB62" s="21">
        <f>EXP(-LN(2)/2)*AB61+(1-EXP(-LN(2)/2))/(LN(2)/2)*V62*Y62*VLOOKUP('Données projet'!$B$9,Paramètres!$A$1:$I$89,3,0)*0.475*44/12</f>
        <v>1.9726261481384255</v>
      </c>
      <c r="AC62" s="22">
        <f t="shared" si="3"/>
        <v>63.307760695335297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6.9975961538461569</v>
      </c>
      <c r="AI62" s="13">
        <f>IF('Données projet'!$A$62&gt;35,AI61+AH62-AQ61,IF(A62&lt;'Données projet'!$A$62,$AF$205^A62,IF(A62='Données projet'!$A$62,'Données projet'!$B$62,AI61+AH62-AQ61)))</f>
        <v>159.10016025641036</v>
      </c>
      <c r="AJ62" s="13">
        <f>AI62*VLOOKUP('Données projet'!$B$10,Paramètres!$A$1:$I$89,3,0)*VLOOKUP('Données projet'!$B$10,Paramètres!$A$1:$I$89,5,0)</f>
        <v>143.95382500000008</v>
      </c>
      <c r="AK62" s="13">
        <f t="shared" si="35"/>
        <v>37.201297925394456</v>
      </c>
      <c r="AL62" s="20">
        <f t="shared" si="4"/>
        <v>315.51183909506216</v>
      </c>
      <c r="AM62" s="59">
        <f t="shared" si="5"/>
        <v>608.84517242839547</v>
      </c>
      <c r="AN62" s="59">
        <f ca="1">AVERAGE(OFFSET($AM$3,0,0,'Données projet'!$E$10+1,1))-AVERAGE(OFFSET($H$3,0,0,'Données projet'!$E$10+1,1))</f>
        <v>447.91110718952615</v>
      </c>
      <c r="AO62" s="59">
        <f t="shared" si="36"/>
        <v>188.87492758536894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6.9975961538461569</v>
      </c>
      <c r="BD62" s="12">
        <f>IF('Données projet'!$A$88&gt;35,BD61+BC62-BL61,IF(A62&lt;'Données projet'!$A$88,$BA$205^A62,IF(A62='Données projet'!$A$88,'Données projet'!$B$88,BD61+BC62-BL61)))</f>
        <v>159.10016025641036</v>
      </c>
      <c r="BE62" s="13">
        <f>BD62*VLOOKUP('Données projet'!$B$11,Paramètres!$A$1:$I$89,3,0)*VLOOKUP('Données projet'!$B$11,Paramètres!$A$1:$I$89,5,0)</f>
        <v>161.32756250000011</v>
      </c>
      <c r="BF62" s="13">
        <f t="shared" si="37"/>
        <v>41.141806681137737</v>
      </c>
      <c r="BG62" s="20">
        <f t="shared" si="7"/>
        <v>352.63415132381505</v>
      </c>
      <c r="BH62" s="59">
        <f t="shared" si="8"/>
        <v>645.96748465714836</v>
      </c>
      <c r="BI62" s="59">
        <f ca="1">AVERAGE(OFFSET($BH$3,0,0,'Données projet'!$E$11+1,1))-AVERAGE(OFFSET($H$3,0,0,'Données projet'!$E$11+1,1))</f>
        <v>496.71433459306451</v>
      </c>
      <c r="BJ62" s="59">
        <f t="shared" si="38"/>
        <v>206.75063396134982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12.05461538461538</v>
      </c>
      <c r="N63" s="13">
        <f>IF('Données projet'!$A$36&gt;35,N62+M63-V62,IF(A63&lt;'Données projet'!$A$36,$K$205^A63,IF(A63='Données projet'!$A$36,'Données projet'!$B$36,N62+M63-V62)))</f>
        <v>416.32615384615389</v>
      </c>
      <c r="O63" s="13">
        <f>N63*VLOOKUP('Données projet'!$B$9,Paramètres!$A$1:$I$89,3,0)*VLOOKUP('Données projet'!$B$9,Paramètres!$A$1:$I$89,5,0)</f>
        <v>248.96304000000006</v>
      </c>
      <c r="P63" s="13">
        <f t="shared" si="33"/>
        <v>60.363837788674616</v>
      </c>
      <c r="Q63" s="20">
        <f t="shared" si="53"/>
        <v>538.7443121486084</v>
      </c>
      <c r="R63" s="59">
        <f t="shared" si="0"/>
        <v>832.07764548194177</v>
      </c>
      <c r="S63" s="59">
        <f ca="1">AVERAGE(OFFSET($R$3,0,0,'Données projet'!$E$9+1,1))-AVERAGE(OFFSET($H$3,0,0,'Données projet'!$E$9+1,1))</f>
        <v>355.09162485318728</v>
      </c>
      <c r="T63" s="59">
        <f t="shared" si="34"/>
        <v>320.06572891923685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47.18417326422189</v>
      </c>
      <c r="AA63" s="21">
        <f>EXP(-LN(2)/25)*AA62+(1-EXP(-LN(2)/25))/(LN(2)/25)*Calculateur!V63*Calculateur!X63*VLOOKUP('Données projet'!$B$9,Paramètres!$A$1:$I$89,3,0)*0.475*44/12</f>
        <v>12.846050248578182</v>
      </c>
      <c r="AB63" s="21">
        <f>EXP(-LN(2)/2)*AB62+(1-EXP(-LN(2)/2))/(LN(2)/2)*V63*Y63*VLOOKUP('Données projet'!$B$9,Paramètres!$A$1:$I$89,3,0)*0.475*44/12</f>
        <v>1.3948573260945798</v>
      </c>
      <c r="AC63" s="22">
        <f t="shared" si="3"/>
        <v>61.425080838894651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6.9975961538461569</v>
      </c>
      <c r="AI63" s="13">
        <f>IF('Données projet'!$A$62&gt;35,AI62+AH63-AQ62,IF(A63&lt;'Données projet'!$A$62,$AF$205^A63,IF(A63='Données projet'!$A$62,'Données projet'!$B$62,AI62+AH63-AQ62)))</f>
        <v>166.09775641025652</v>
      </c>
      <c r="AJ63" s="13">
        <f>AI63*VLOOKUP('Données projet'!$B$10,Paramètres!$A$1:$I$89,3,0)*VLOOKUP('Données projet'!$B$10,Paramètres!$A$1:$I$89,5,0)</f>
        <v>150.2852500000001</v>
      </c>
      <c r="AK63" s="13">
        <f t="shared" si="35"/>
        <v>38.643402537471268</v>
      </c>
      <c r="AL63" s="20">
        <f t="shared" si="4"/>
        <v>329.05073650276262</v>
      </c>
      <c r="AM63" s="59">
        <f t="shared" si="5"/>
        <v>622.38406983609593</v>
      </c>
      <c r="AN63" s="59">
        <f ca="1">AVERAGE(OFFSET($AM$3,0,0,'Données projet'!$E$10+1,1))-AVERAGE(OFFSET($H$3,0,0,'Données projet'!$E$10+1,1))</f>
        <v>447.91110718952615</v>
      </c>
      <c r="AO63" s="59">
        <f t="shared" si="36"/>
        <v>188.87492758536894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6.9975961538461569</v>
      </c>
      <c r="BD63" s="12">
        <f>IF('Données projet'!$A$88&gt;35,BD62+BC63-BL62,IF(A63&lt;'Données projet'!$A$88,$BA$205^A63,IF(A63='Données projet'!$A$88,'Données projet'!$B$88,BD62+BC63-BL62)))</f>
        <v>166.09775641025652</v>
      </c>
      <c r="BE63" s="13">
        <f>BD63*VLOOKUP('Données projet'!$B$11,Paramètres!$A$1:$I$89,3,0)*VLOOKUP('Données projet'!$B$11,Paramètres!$A$1:$I$89,5,0)</f>
        <v>168.42312500000011</v>
      </c>
      <c r="BF63" s="13">
        <f t="shared" si="37"/>
        <v>42.736664723000324</v>
      </c>
      <c r="BG63" s="20">
        <f t="shared" si="7"/>
        <v>367.76996710089242</v>
      </c>
      <c r="BH63" s="59">
        <f t="shared" si="8"/>
        <v>661.10330043422573</v>
      </c>
      <c r="BI63" s="59">
        <f ca="1">AVERAGE(OFFSET($BH$3,0,0,'Données projet'!$E$11+1,1))-AVERAGE(OFFSET($H$3,0,0,'Données projet'!$E$11+1,1))</f>
        <v>496.71433459306451</v>
      </c>
      <c r="BJ63" s="59">
        <f t="shared" si="38"/>
        <v>206.75063396134982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12.05461538461538</v>
      </c>
      <c r="N64" s="13">
        <f>IF('Données projet'!$A$36&gt;35,N63+M64-V63,IF(A64&lt;'Données projet'!$A$36,$K$205^A64,IF(A64='Données projet'!$A$36,'Données projet'!$B$36,N63+M64-V63)))</f>
        <v>428.38076923076926</v>
      </c>
      <c r="O64" s="13">
        <f>N64*VLOOKUP('Données projet'!$B$9,Paramètres!$A$1:$I$89,3,0)*VLOOKUP('Données projet'!$B$9,Paramètres!$A$1:$I$89,5,0)</f>
        <v>256.17170000000004</v>
      </c>
      <c r="P64" s="13">
        <f t="shared" si="33"/>
        <v>61.90563593470165</v>
      </c>
      <c r="Q64" s="20">
        <f t="shared" si="53"/>
        <v>553.98469341960538</v>
      </c>
      <c r="R64" s="59">
        <f t="shared" si="0"/>
        <v>847.31802675293875</v>
      </c>
      <c r="S64" s="59">
        <f ca="1">AVERAGE(OFFSET($R$3,0,0,'Données projet'!$E$9+1,1))-AVERAGE(OFFSET($H$3,0,0,'Données projet'!$E$9+1,1))</f>
        <v>355.09162485318728</v>
      </c>
      <c r="T64" s="59">
        <f t="shared" si="34"/>
        <v>320.06572891923685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46.258920406014447</v>
      </c>
      <c r="AA64" s="21">
        <f>EXP(-LN(2)/25)*AA63+(1-EXP(-LN(2)/25))/(LN(2)/25)*Calculateur!V64*Calculateur!X64*VLOOKUP('Données projet'!$B$9,Paramètres!$A$1:$I$89,3,0)*0.475*44/12</f>
        <v>12.49477432898639</v>
      </c>
      <c r="AB64" s="21">
        <f>EXP(-LN(2)/2)*AB63+(1-EXP(-LN(2)/2))/(LN(2)/2)*V64*Y64*VLOOKUP('Données projet'!$B$9,Paramètres!$A$1:$I$89,3,0)*0.475*44/12</f>
        <v>0.98631307406921287</v>
      </c>
      <c r="AC64" s="22">
        <f t="shared" si="3"/>
        <v>59.74000780907005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6.9975961538461569</v>
      </c>
      <c r="AI64" s="13">
        <f>IF('Données projet'!$A$62&gt;35,AI63+AH64-AQ63,IF(A64&lt;'Données projet'!$A$62,$AF$205^A64,IF(A64='Données projet'!$A$62,'Données projet'!$B$62,AI63+AH64-AQ63)))</f>
        <v>173.09535256410268</v>
      </c>
      <c r="AJ64" s="13">
        <f>AI64*VLOOKUP('Données projet'!$B$10,Paramètres!$A$1:$I$89,3,0)*VLOOKUP('Données projet'!$B$10,Paramètres!$A$1:$I$89,5,0)</f>
        <v>156.6166750000001</v>
      </c>
      <c r="AK64" s="13">
        <f t="shared" si="35"/>
        <v>40.078450376926597</v>
      </c>
      <c r="AL64" s="20">
        <f t="shared" si="4"/>
        <v>342.57734336481394</v>
      </c>
      <c r="AM64" s="59">
        <f t="shared" si="5"/>
        <v>635.9106766981472</v>
      </c>
      <c r="AN64" s="59">
        <f ca="1">AVERAGE(OFFSET($AM$3,0,0,'Données projet'!$E$10+1,1))-AVERAGE(OFFSET($H$3,0,0,'Données projet'!$E$10+1,1))</f>
        <v>447.91110718952615</v>
      </c>
      <c r="AO64" s="59">
        <f t="shared" si="36"/>
        <v>188.87492758536894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6.9975961538461569</v>
      </c>
      <c r="BD64" s="12">
        <f>IF('Données projet'!$A$88&gt;35,BD63+BC64-BL63,IF(A64&lt;'Données projet'!$A$88,$BA$205^A64,IF(A64='Données projet'!$A$88,'Données projet'!$B$88,BD63+BC64-BL63)))</f>
        <v>173.09535256410268</v>
      </c>
      <c r="BE64" s="13">
        <f>BD64*VLOOKUP('Données projet'!$B$11,Paramètres!$A$1:$I$89,3,0)*VLOOKUP('Données projet'!$B$11,Paramètres!$A$1:$I$89,5,0)</f>
        <v>175.51868750000014</v>
      </c>
      <c r="BF64" s="13">
        <f t="shared" si="37"/>
        <v>44.323718510947685</v>
      </c>
      <c r="BG64" s="20">
        <f t="shared" si="7"/>
        <v>382.89219046906743</v>
      </c>
      <c r="BH64" s="59">
        <f t="shared" si="8"/>
        <v>676.22552380240074</v>
      </c>
      <c r="BI64" s="59">
        <f ca="1">AVERAGE(OFFSET($BH$3,0,0,'Données projet'!$E$11+1,1))-AVERAGE(OFFSET($H$3,0,0,'Données projet'!$E$11+1,1))</f>
        <v>496.71433459306451</v>
      </c>
      <c r="BJ64" s="59">
        <f t="shared" si="38"/>
        <v>206.75063396134982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12.05461538461538</v>
      </c>
      <c r="N65" s="13">
        <f>IF('Données projet'!$A$36&gt;35,N64+M65-V64,IF(A65&lt;'Données projet'!$A$36,$K$205^A65,IF(A65='Données projet'!$A$36,'Données projet'!$B$36,N64+M65-V64)))</f>
        <v>440.43538461538463</v>
      </c>
      <c r="O65" s="13">
        <f>N65*VLOOKUP('Données projet'!$B$9,Paramètres!$A$1:$I$89,3,0)*VLOOKUP('Données projet'!$B$9,Paramètres!$A$1:$I$89,5,0)</f>
        <v>263.38036</v>
      </c>
      <c r="P65" s="13">
        <f t="shared" si="33"/>
        <v>63.442391493835359</v>
      </c>
      <c r="Q65" s="20">
        <f t="shared" si="53"/>
        <v>569.21629218509656</v>
      </c>
      <c r="R65" s="59">
        <f t="shared" si="0"/>
        <v>862.54962551842982</v>
      </c>
      <c r="S65" s="59">
        <f ca="1">AVERAGE(OFFSET($R$3,0,0,'Données projet'!$E$9+1,1))-AVERAGE(OFFSET($H$3,0,0,'Données projet'!$E$9+1,1))</f>
        <v>355.09162485318728</v>
      </c>
      <c r="T65" s="59">
        <f t="shared" si="34"/>
        <v>320.06572891923685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45.351811192007936</v>
      </c>
      <c r="AA65" s="21">
        <f>EXP(-LN(2)/25)*AA64+(1-EXP(-LN(2)/25))/(LN(2)/25)*Calculateur!V65*Calculateur!X65*VLOOKUP('Données projet'!$B$9,Paramètres!$A$1:$I$89,3,0)*0.475*44/12</f>
        <v>12.153104067888632</v>
      </c>
      <c r="AB65" s="21">
        <f>EXP(-LN(2)/2)*AB64+(1-EXP(-LN(2)/2))/(LN(2)/2)*V65*Y65*VLOOKUP('Données projet'!$B$9,Paramètres!$A$1:$I$89,3,0)*0.475*44/12</f>
        <v>0.69742866304729001</v>
      </c>
      <c r="AC65" s="22">
        <f t="shared" si="3"/>
        <v>58.202343922943861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6.9975961538461569</v>
      </c>
      <c r="AI65" s="13">
        <f>IF('Données projet'!$A$62&gt;35,AI64+AH65-AQ64,IF(A65&lt;'Données projet'!$A$62,$AF$205^A65,IF(A65='Données projet'!$A$62,'Données projet'!$B$62,AI64+AH65-AQ64)))</f>
        <v>180.09294871794884</v>
      </c>
      <c r="AJ65" s="13">
        <f>AI65*VLOOKUP('Données projet'!$B$10,Paramètres!$A$1:$I$89,3,0)*VLOOKUP('Données projet'!$B$10,Paramètres!$A$1:$I$89,5,0)</f>
        <v>162.94810000000012</v>
      </c>
      <c r="AK65" s="13">
        <f t="shared" si="35"/>
        <v>41.506759357421522</v>
      </c>
      <c r="AL65" s="20">
        <f t="shared" si="4"/>
        <v>356.09221338084268</v>
      </c>
      <c r="AM65" s="59">
        <f t="shared" si="5"/>
        <v>649.42554671417599</v>
      </c>
      <c r="AN65" s="59">
        <f ca="1">AVERAGE(OFFSET($AM$3,0,0,'Données projet'!$E$10+1,1))-AVERAGE(OFFSET($H$3,0,0,'Données projet'!$E$10+1,1))</f>
        <v>447.91110718952615</v>
      </c>
      <c r="AO65" s="59">
        <f t="shared" si="36"/>
        <v>188.87492758536894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6.9975961538461569</v>
      </c>
      <c r="BD65" s="12">
        <f>IF('Données projet'!$A$88&gt;35,BD64+BC65-BL64,IF(A65&lt;'Données projet'!$A$88,$BA$205^A65,IF(A65='Données projet'!$A$88,'Données projet'!$B$88,BD64+BC65-BL64)))</f>
        <v>180.09294871794884</v>
      </c>
      <c r="BE65" s="13">
        <f>BD65*VLOOKUP('Données projet'!$B$11,Paramètres!$A$1:$I$89,3,0)*VLOOKUP('Données projet'!$B$11,Paramètres!$A$1:$I$89,5,0)</f>
        <v>182.61425000000014</v>
      </c>
      <c r="BF65" s="13">
        <f t="shared" si="37"/>
        <v>45.903319633314496</v>
      </c>
      <c r="BG65" s="20">
        <f t="shared" si="7"/>
        <v>398.001433778023</v>
      </c>
      <c r="BH65" s="59">
        <f t="shared" si="8"/>
        <v>691.33476711135631</v>
      </c>
      <c r="BI65" s="59">
        <f ca="1">AVERAGE(OFFSET($BH$3,0,0,'Données projet'!$E$11+1,1))-AVERAGE(OFFSET($H$3,0,0,'Données projet'!$E$11+1,1))</f>
        <v>496.71433459306451</v>
      </c>
      <c r="BJ65" s="59">
        <f t="shared" si="38"/>
        <v>206.75063396134982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12.05461538461538</v>
      </c>
      <c r="N66" s="13">
        <f>IF('Données projet'!$A$36&gt;35,N65+M66-V65,IF(A66&lt;'Données projet'!$A$36,$K$205^A66,IF(A66='Données projet'!$A$36,'Données projet'!$B$36,N65+M66-V65)))</f>
        <v>452.49</v>
      </c>
      <c r="O66" s="13">
        <f>N66*VLOOKUP('Données projet'!$B$9,Paramètres!$A$1:$I$89,3,0)*VLOOKUP('Données projet'!$B$9,Paramètres!$A$1:$I$89,5,0)</f>
        <v>270.58902000000006</v>
      </c>
      <c r="P66" s="13">
        <f t="shared" si="33"/>
        <v>64.974258339135972</v>
      </c>
      <c r="Q66" s="20">
        <f t="shared" si="53"/>
        <v>584.43937644066193</v>
      </c>
      <c r="R66" s="59">
        <f t="shared" si="0"/>
        <v>877.7727097739953</v>
      </c>
      <c r="S66" s="59">
        <f ca="1">AVERAGE(OFFSET($R$3,0,0,'Données projet'!$E$9+1,1))-AVERAGE(OFFSET($H$3,0,0,'Données projet'!$E$9+1,1))</f>
        <v>355.09162485318728</v>
      </c>
      <c r="T66" s="59">
        <f t="shared" si="34"/>
        <v>320.06572891923685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44.462489836406107</v>
      </c>
      <c r="AA66" s="21">
        <f>EXP(-LN(2)/25)*AA65+(1-EXP(-LN(2)/25))/(LN(2)/25)*Calculateur!V66*Calculateur!X66*VLOOKUP('Données projet'!$B$9,Paramètres!$A$1:$I$89,3,0)*0.475*44/12</f>
        <v>11.820776798048252</v>
      </c>
      <c r="AB66" s="21">
        <f>EXP(-LN(2)/2)*AB65+(1-EXP(-LN(2)/2))/(LN(2)/2)*V66*Y66*VLOOKUP('Données projet'!$B$9,Paramètres!$A$1:$I$89,3,0)*0.475*44/12</f>
        <v>0.49315653703460649</v>
      </c>
      <c r="AC66" s="22">
        <f t="shared" si="3"/>
        <v>56.776423171488965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6.9975961538461569</v>
      </c>
      <c r="AI66" s="13">
        <f>IF('Données projet'!$A$62&gt;35,AI65+AH66-AQ65,IF(A66&lt;'Données projet'!$A$62,$AF$205^A66,IF(A66='Données projet'!$A$62,'Données projet'!$B$62,AI65+AH66-AQ65)))</f>
        <v>187.090544871795</v>
      </c>
      <c r="AJ66" s="13">
        <f>AI66*VLOOKUP('Données projet'!$B$10,Paramètres!$A$1:$I$89,3,0)*VLOOKUP('Données projet'!$B$10,Paramètres!$A$1:$I$89,5,0)</f>
        <v>169.27952500000012</v>
      </c>
      <c r="AK66" s="13">
        <f t="shared" si="35"/>
        <v>42.928621288335528</v>
      </c>
      <c r="AL66" s="20">
        <f t="shared" si="4"/>
        <v>369.59585478551793</v>
      </c>
      <c r="AM66" s="59">
        <f t="shared" si="5"/>
        <v>662.92918811885124</v>
      </c>
      <c r="AN66" s="59">
        <f ca="1">AVERAGE(OFFSET($AM$3,0,0,'Données projet'!$E$10+1,1))-AVERAGE(OFFSET($H$3,0,0,'Données projet'!$E$10+1,1))</f>
        <v>447.91110718952615</v>
      </c>
      <c r="AO66" s="59">
        <f t="shared" si="36"/>
        <v>188.87492758536894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6.9975961538461569</v>
      </c>
      <c r="BD66" s="12">
        <f>IF('Données projet'!$A$88&gt;35,BD65+BC66-BL65,IF(A66&lt;'Données projet'!$A$88,$BA$205^A66,IF(A66='Données projet'!$A$88,'Données projet'!$B$88,BD65+BC66-BL65)))</f>
        <v>187.090544871795</v>
      </c>
      <c r="BE66" s="13">
        <f>BD66*VLOOKUP('Données projet'!$B$11,Paramètres!$A$1:$I$89,3,0)*VLOOKUP('Données projet'!$B$11,Paramètres!$A$1:$I$89,5,0)</f>
        <v>189.70981250000014</v>
      </c>
      <c r="BF66" s="13">
        <f t="shared" si="37"/>
        <v>47.475790809085019</v>
      </c>
      <c r="BG66" s="20">
        <f t="shared" si="7"/>
        <v>413.09825909665665</v>
      </c>
      <c r="BH66" s="59">
        <f t="shared" si="8"/>
        <v>706.43159242998991</v>
      </c>
      <c r="BI66" s="59">
        <f ca="1">AVERAGE(OFFSET($BH$3,0,0,'Données projet'!$E$11+1,1))-AVERAGE(OFFSET($H$3,0,0,'Données projet'!$E$11+1,1))</f>
        <v>496.71433459306451</v>
      </c>
      <c r="BJ66" s="59">
        <f t="shared" si="38"/>
        <v>206.75063396134982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12.05461538461538</v>
      </c>
      <c r="N67" s="13">
        <f>IF('Données projet'!$A$36&gt;35,N66+M67-V66,IF(A67&lt;'Données projet'!$A$36,$K$205^A67,IF(A67='Données projet'!$A$36,'Données projet'!$B$36,N66+M67-V66)))</f>
        <v>464.54461538461538</v>
      </c>
      <c r="O67" s="13">
        <f>N67*VLOOKUP('Données projet'!$B$9,Paramètres!$A$1:$I$89,3,0)*VLOOKUP('Données projet'!$B$9,Paramètres!$A$1:$I$89,5,0)</f>
        <v>277.79768000000001</v>
      </c>
      <c r="P67" s="13">
        <f t="shared" si="33"/>
        <v>66.501381678302167</v>
      </c>
      <c r="Q67" s="20">
        <f t="shared" ref="Q67:Q98" si="54">(O67+P67)*0.475*44/12</f>
        <v>599.65419908970955</v>
      </c>
      <c r="R67" s="59">
        <f t="shared" ref="R67:R130" si="55">Q67+(I67+J67)*44/12</f>
        <v>892.98753242304292</v>
      </c>
      <c r="S67" s="59">
        <f ca="1">AVERAGE(OFFSET($R$3,0,0,'Données projet'!$E$9+1,1))-AVERAGE(OFFSET($H$3,0,0,'Données projet'!$E$9+1,1))</f>
        <v>355.09162485318728</v>
      </c>
      <c r="T67" s="59">
        <f t="shared" si="34"/>
        <v>320.06572891923685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43.590607530155161</v>
      </c>
      <c r="AA67" s="21">
        <f>EXP(-LN(2)/25)*AA66+(1-EXP(-LN(2)/25))/(LN(2)/25)*Calculateur!V67*Calculateur!X67*VLOOKUP('Données projet'!$B$9,Paramètres!$A$1:$I$89,3,0)*0.475*44/12</f>
        <v>11.497537034877988</v>
      </c>
      <c r="AB67" s="21">
        <f>EXP(-LN(2)/2)*AB66+(1-EXP(-LN(2)/2))/(LN(2)/2)*V67*Y67*VLOOKUP('Données projet'!$B$9,Paramètres!$A$1:$I$89,3,0)*0.475*44/12</f>
        <v>0.34871433152364506</v>
      </c>
      <c r="AC67" s="22">
        <f t="shared" si="3"/>
        <v>55.436858896556792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6.9975961538461569</v>
      </c>
      <c r="AI67" s="13">
        <f>IF('Données projet'!$A$62&gt;35,AI66+AH67-AQ66,IF(A67&lt;'Données projet'!$A$62,$AF$205^A67,IF(A67='Données projet'!$A$62,'Données projet'!$B$62,AI66+AH67-AQ66)))</f>
        <v>194.08814102564116</v>
      </c>
      <c r="AJ67" s="13">
        <f>AI67*VLOOKUP('Données projet'!$B$10,Paramètres!$A$1:$I$89,3,0)*VLOOKUP('Données projet'!$B$10,Paramètres!$A$1:$I$89,5,0)</f>
        <v>175.61095000000012</v>
      </c>
      <c r="AK67" s="13">
        <f t="shared" si="35"/>
        <v>44.344304913788697</v>
      </c>
      <c r="AL67" s="20">
        <f t="shared" si="4"/>
        <v>383.08873564151554</v>
      </c>
      <c r="AM67" s="59">
        <f t="shared" si="5"/>
        <v>676.4220689748488</v>
      </c>
      <c r="AN67" s="59">
        <f ca="1">AVERAGE(OFFSET($AM$3,0,0,'Données projet'!$E$10+1,1))-AVERAGE(OFFSET($H$3,0,0,'Données projet'!$E$10+1,1))</f>
        <v>447.91110718952615</v>
      </c>
      <c r="AO67" s="59">
        <f t="shared" si="36"/>
        <v>188.87492758536894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6.9975961538461569</v>
      </c>
      <c r="BD67" s="12">
        <f>IF('Données projet'!$A$88&gt;35,BD66+BC67-BL66,IF(A67&lt;'Données projet'!$A$88,$BA$205^A67,IF(A67='Données projet'!$A$88,'Données projet'!$B$88,BD66+BC67-BL66)))</f>
        <v>194.08814102564116</v>
      </c>
      <c r="BE67" s="13">
        <f>BD67*VLOOKUP('Données projet'!$B$11,Paramètres!$A$1:$I$89,3,0)*VLOOKUP('Données projet'!$B$11,Paramètres!$A$1:$I$89,5,0)</f>
        <v>196.80537500000017</v>
      </c>
      <c r="BF67" s="13">
        <f t="shared" si="37"/>
        <v>49.041429248820386</v>
      </c>
      <c r="BG67" s="20">
        <f t="shared" si="7"/>
        <v>428.18318406669573</v>
      </c>
      <c r="BH67" s="59">
        <f t="shared" si="8"/>
        <v>721.51651740002899</v>
      </c>
      <c r="BI67" s="59">
        <f ca="1">AVERAGE(OFFSET($BH$3,0,0,'Données projet'!$E$11+1,1))-AVERAGE(OFFSET($H$3,0,0,'Données projet'!$E$11+1,1))</f>
        <v>496.71433459306451</v>
      </c>
      <c r="BJ67" s="59">
        <f t="shared" si="38"/>
        <v>206.75063396134982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12.05461538461538</v>
      </c>
      <c r="N68" s="13">
        <f>IF('Données projet'!$A$36&gt;35,N67+M68-V67,IF(A68&lt;'Données projet'!$A$36,$K$205^A68,IF(A68='Données projet'!$A$36,'Données projet'!$B$36,N67+M68-V67)))</f>
        <v>476.59923076923076</v>
      </c>
      <c r="O68" s="13">
        <f>N68*VLOOKUP('Données projet'!$B$9,Paramètres!$A$1:$I$89,3,0)*VLOOKUP('Données projet'!$B$9,Paramètres!$A$1:$I$89,5,0)</f>
        <v>285.00634000000002</v>
      </c>
      <c r="P68" s="13">
        <f t="shared" si="33"/>
        <v>68.023898753685756</v>
      </c>
      <c r="Q68" s="20">
        <f t="shared" si="54"/>
        <v>614.86099916266949</v>
      </c>
      <c r="R68" s="59">
        <f t="shared" si="55"/>
        <v>908.19433249600274</v>
      </c>
      <c r="S68" s="59">
        <f ca="1">AVERAGE(OFFSET($R$3,0,0,'Données projet'!$E$9+1,1))-AVERAGE(OFFSET($H$3,0,0,'Données projet'!$E$9+1,1))</f>
        <v>355.09162485318728</v>
      </c>
      <c r="T68" s="59">
        <f t="shared" si="34"/>
        <v>320.06572891923685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42.735822304134096</v>
      </c>
      <c r="AA68" s="21">
        <f>EXP(-LN(2)/25)*AA67+(1-EXP(-LN(2)/25))/(LN(2)/25)*Calculateur!V68*Calculateur!X68*VLOOKUP('Données projet'!$B$9,Paramètres!$A$1:$I$89,3,0)*0.475*44/12</f>
        <v>11.183136280030055</v>
      </c>
      <c r="AB68" s="21">
        <f>EXP(-LN(2)/2)*AB67+(1-EXP(-LN(2)/2))/(LN(2)/2)*V68*Y68*VLOOKUP('Données projet'!$B$9,Paramètres!$A$1:$I$89,3,0)*0.475*44/12</f>
        <v>0.2465782685173033</v>
      </c>
      <c r="AC68" s="22">
        <f t="shared" ref="AC68:AC131" si="57">SUM(Z68:AB68)</f>
        <v>54.165536852681456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6.9975961538461569</v>
      </c>
      <c r="AI68" s="13">
        <f>IF('Données projet'!$A$62&gt;35,AI67+AH68-AQ67,IF(A68&lt;'Données projet'!$A$62,$AF$205^A68,IF(A68='Données projet'!$A$62,'Données projet'!$B$62,AI67+AH68-AQ67)))</f>
        <v>201.08573717948732</v>
      </c>
      <c r="AJ68" s="13">
        <f>AI68*VLOOKUP('Données projet'!$B$10,Paramètres!$A$1:$I$89,3,0)*VLOOKUP('Données projet'!$B$10,Paramètres!$A$1:$I$89,5,0)</f>
        <v>181.94237500000011</v>
      </c>
      <c r="AK68" s="13">
        <f t="shared" si="35"/>
        <v>45.754058501074866</v>
      </c>
      <c r="AL68" s="20">
        <f t="shared" ref="AL68:AL131" si="58">(AJ68+AK68)*0.475*44/12</f>
        <v>396.5712883477056</v>
      </c>
      <c r="AM68" s="59">
        <f t="shared" ref="AM68:AM131" si="59">AL68+(AD68+AE68)*44/12</f>
        <v>689.90462168103886</v>
      </c>
      <c r="AN68" s="59">
        <f ca="1">AVERAGE(OFFSET($AM$3,0,0,'Données projet'!$E$10+1,1))-AVERAGE(OFFSET($H$3,0,0,'Données projet'!$E$10+1,1))</f>
        <v>447.91110718952615</v>
      </c>
      <c r="AO68" s="59">
        <f t="shared" si="36"/>
        <v>188.87492758536894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6.9975961538461569</v>
      </c>
      <c r="BD68" s="12">
        <f>IF('Données projet'!$A$88&gt;35,BD67+BC68-BL67,IF(A68&lt;'Données projet'!$A$88,$BA$205^A68,IF(A68='Données projet'!$A$88,'Données projet'!$B$88,BD67+BC68-BL67)))</f>
        <v>201.08573717948732</v>
      </c>
      <c r="BE68" s="13">
        <f>BD68*VLOOKUP('Données projet'!$B$11,Paramètres!$A$1:$I$89,3,0)*VLOOKUP('Données projet'!$B$11,Paramètres!$A$1:$I$89,5,0)</f>
        <v>203.90093750000017</v>
      </c>
      <c r="BF68" s="13">
        <f t="shared" si="37"/>
        <v>50.600509517269231</v>
      </c>
      <c r="BG68" s="20">
        <f t="shared" ref="BG68:BG131" si="61">(BE68+BF68)*0.475*44/12</f>
        <v>443.25668688841091</v>
      </c>
      <c r="BH68" s="59">
        <f t="shared" ref="BH68:BH131" si="62">BG68+(AY68+AZ68)*44/12</f>
        <v>736.59002022174423</v>
      </c>
      <c r="BI68" s="59">
        <f ca="1">AVERAGE(OFFSET($BH$3,0,0,'Données projet'!$E$11+1,1))-AVERAGE(OFFSET($H$3,0,0,'Données projet'!$E$11+1,1))</f>
        <v>496.71433459306451</v>
      </c>
      <c r="BJ68" s="59">
        <f t="shared" si="38"/>
        <v>206.75063396134982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488.65384615384613</v>
      </c>
      <c r="L69" s="12">
        <f>VLOOKUP(A69,'Données projet'!$A$35:$I$55,9,0)</f>
        <v>12.05461538461538</v>
      </c>
      <c r="M69" s="12">
        <f t="array" ref="M69">INDEX(L:L,MIN(IF(ISNUMBER(L69:L265),ROW(L69:L265),"")))</f>
        <v>12.05461538461538</v>
      </c>
      <c r="N69" s="13">
        <f>IF('Données projet'!$A$36&gt;35,N68+M69-V68,IF(A69&lt;'Données projet'!$A$36,$K$205^A69,IF(A69='Données projet'!$A$36,'Données projet'!$B$36,N68+M69-V68)))</f>
        <v>488.65384615384613</v>
      </c>
      <c r="O69" s="13">
        <f>N69*VLOOKUP('Données projet'!$B$9,Paramètres!$A$1:$I$89,3,0)*VLOOKUP('Données projet'!$B$9,Paramètres!$A$1:$I$89,5,0)</f>
        <v>292.21500000000003</v>
      </c>
      <c r="P69" s="13">
        <f t="shared" ref="P69:P132" si="87">EXP(-1.0587+0.8836*LN(O69)+0.284)</f>
        <v>69.541939469490984</v>
      </c>
      <c r="Q69" s="20">
        <f t="shared" si="54"/>
        <v>630.06000290936356</v>
      </c>
      <c r="R69" s="59">
        <f t="shared" si="55"/>
        <v>923.39333624269693</v>
      </c>
      <c r="S69" s="59">
        <f ca="1">AVERAGE(OFFSET($R$3,0,0,'Données projet'!$E$9+1,1))-AVERAGE(OFFSET($H$3,0,0,'Données projet'!$E$9+1,1))</f>
        <v>355.09162485318728</v>
      </c>
      <c r="T69" s="59">
        <f t="shared" ref="T69:T132" si="88">$T$3</f>
        <v>320.06572891923685</v>
      </c>
      <c r="U69" s="15">
        <f>IF(ISNA(VLOOKUP(A69,'Données projet'!$A$35:$I$55,3,0)),0,VLOOKUP(A69,'Données projet'!$A$35:$I$55,3,0))</f>
        <v>7</v>
      </c>
      <c r="V69" s="15">
        <f>IF(ISNA(VLOOKUP(A69,'Données projet'!$A$35:$I$55,4,0)),0,VLOOKUP(A69,'Données projet'!$A$35:$I$55,4,0))</f>
        <v>68.146153846153851</v>
      </c>
      <c r="W69" s="16">
        <f>IF(ISNA(VLOOKUP(A69,'Données projet'!$A$35:$I$55,5,0)),0%,VLOOKUP(A69,'Données projet'!$A$35:$I$55,5,0)*VLOOKUP('Données projet'!$B$9,Paramètres!$A$1:$I$89,7,0))</f>
        <v>0.315</v>
      </c>
      <c r="X69" s="16">
        <f>IF(ISNA(VLOOKUP(A69,'Données projet'!$A$35:$I$55,6,0)),0%,VLOOKUP(A69,'Données projet'!$A$35:$I$55,6,0)*VLOOKUP('Données projet'!$B$9,Paramètres!$A$1:$I$89,7,0))</f>
        <v>7.5600000000000001E-2</v>
      </c>
      <c r="Y69" s="16">
        <f>IF(ISNA(VLOOKUP(A69,'Données projet'!$A$35:$I$55,7,0)),0%,VLOOKUP(A69,'Données projet'!$A$35:$I$55,7,0))</f>
        <v>0.13200000000000001</v>
      </c>
      <c r="Z69" s="21">
        <f>EXP(-LN(2)/35)*Z68+(1-EXP(-LN(2)/35))/(LN(2)/35)*V69*W69*VLOOKUP('Données projet'!$B$9,Paramètres!$A$1:$I$89,3,0)*0.475*44/12</f>
        <v>58.926496901088441</v>
      </c>
      <c r="AA69" s="21">
        <f>EXP(-LN(2)/25)*AA68+(1-EXP(-LN(2)/25))/(LN(2)/25)*Calculateur!V69*Calculateur!X69*VLOOKUP('Données projet'!$B$9,Paramètres!$A$1:$I$89,3,0)*0.475*44/12</f>
        <v>14.948128718413415</v>
      </c>
      <c r="AB69" s="21">
        <f>EXP(-LN(2)/2)*AB68+(1-EXP(-LN(2)/2))/(LN(2)/2)*V69*Y69*VLOOKUP('Données projet'!$B$9,Paramètres!$A$1:$I$89,3,0)*0.475*44/12</f>
        <v>6.2648439306852666</v>
      </c>
      <c r="AC69" s="22">
        <f t="shared" si="57"/>
        <v>80.13946955018713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208.08333333333334</v>
      </c>
      <c r="AG69" s="12">
        <f>VLOOKUP(A69,'Données projet'!$A$61:$I$81,9,0)</f>
        <v>6.9975961538461569</v>
      </c>
      <c r="AH69" s="12">
        <f t="array" ref="AH69">INDEX(AG:AG,MIN(IF(ISNUMBER(AG69:AG265),ROW(AG69:AG265),"")))</f>
        <v>6.9975961538461569</v>
      </c>
      <c r="AI69" s="13">
        <f>IF('Données projet'!$A$62&gt;35,AI68+AH69-AQ68,IF(A69&lt;'Données projet'!$A$62,$AF$205^A69,IF(A69='Données projet'!$A$62,'Données projet'!$B$62,AI68+AH69-AQ68)))</f>
        <v>208.08333333333348</v>
      </c>
      <c r="AJ69" s="13">
        <f>AI69*VLOOKUP('Données projet'!$B$10,Paramètres!$A$1:$I$89,3,0)*VLOOKUP('Données projet'!$B$10,Paramètres!$A$1:$I$89,5,0)</f>
        <v>188.27380000000014</v>
      </c>
      <c r="AK69" s="13">
        <f t="shared" ref="AK69:AK132" si="89">EXP(-1.0587+0.8836*LN(AJ69)+0.284)</f>
        <v>47.158112058671726</v>
      </c>
      <c r="AL69" s="20">
        <f t="shared" si="58"/>
        <v>410.0439135021868</v>
      </c>
      <c r="AM69" s="59">
        <f t="shared" si="59"/>
        <v>703.37724683552005</v>
      </c>
      <c r="AN69" s="59">
        <f ca="1">AVERAGE(OFFSET($AM$3,0,0,'Données projet'!$E$10+1,1))-AVERAGE(OFFSET($H$3,0,0,'Données projet'!$E$10+1,1))</f>
        <v>447.91110718952615</v>
      </c>
      <c r="AO69" s="59">
        <f t="shared" ref="AO69:AO132" si="90">$AO$3</f>
        <v>188.87492758536894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39.166666666666664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208.08333333333334</v>
      </c>
      <c r="BB69" s="12">
        <f>VLOOKUP(A69,'Données projet'!$A$87:$I$107,9,0)</f>
        <v>6.9975961538461569</v>
      </c>
      <c r="BC69" s="12">
        <f t="array" ref="BC69">INDEX(BB:BB,MIN(IF(ISNUMBER(BB69:BB265),ROW(BB69:BB265),"")))</f>
        <v>6.9975961538461569</v>
      </c>
      <c r="BD69" s="12">
        <f>IF('Données projet'!$A$88&gt;35,BD68+BC69-BL68,IF(A69&lt;'Données projet'!$A$88,$BA$205^A69,IF(A69='Données projet'!$A$88,'Données projet'!$B$88,BD68+BC69-BL68)))</f>
        <v>208.08333333333348</v>
      </c>
      <c r="BE69" s="13">
        <f>BD69*VLOOKUP('Données projet'!$B$11,Paramètres!$A$1:$I$89,3,0)*VLOOKUP('Données projet'!$B$11,Paramètres!$A$1:$I$89,5,0)</f>
        <v>210.99650000000017</v>
      </c>
      <c r="BF69" s="13">
        <f t="shared" ref="BF69:BF132" si="91">EXP(-1.0587+0.8836*LN(BE69)+0.284)</f>
        <v>52.153285986317648</v>
      </c>
      <c r="BG69" s="20">
        <f t="shared" si="61"/>
        <v>458.31921059283678</v>
      </c>
      <c r="BH69" s="59">
        <f t="shared" si="62"/>
        <v>751.6525439261701</v>
      </c>
      <c r="BI69" s="59">
        <f ca="1">AVERAGE(OFFSET($BH$3,0,0,'Données projet'!$E$11+1,1))-AVERAGE(OFFSET($H$3,0,0,'Données projet'!$E$11+1,1))</f>
        <v>496.71433459306451</v>
      </c>
      <c r="BJ69" s="59">
        <f t="shared" ref="BJ69:BJ132" si="92">$BJ$3</f>
        <v>206.75063396134982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39.166666666666664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9.9715384615384544</v>
      </c>
      <c r="N70" s="13">
        <f>IF('Données projet'!$A$36&gt;35,N69+M70-V69,IF(A70&lt;'Données projet'!$A$36,$K$205^A70,IF(A70='Données projet'!$A$36,'Données projet'!$B$36,N69+M70-V69)))</f>
        <v>430.47923076923075</v>
      </c>
      <c r="O70" s="13">
        <f>N70*VLOOKUP('Données projet'!$B$9,Paramètres!$A$1:$I$89,3,0)*VLOOKUP('Données projet'!$B$9,Paramètres!$A$1:$I$89,5,0)</f>
        <v>257.42658</v>
      </c>
      <c r="P70" s="13">
        <f t="shared" si="87"/>
        <v>62.173511644566837</v>
      </c>
      <c r="Q70" s="20">
        <f t="shared" si="54"/>
        <v>556.63682628095387</v>
      </c>
      <c r="R70" s="59">
        <f t="shared" si="55"/>
        <v>849.97015961428724</v>
      </c>
      <c r="S70" s="59">
        <f ca="1">AVERAGE(OFFSET($R$3,0,0,'Données projet'!$E$9+1,1))-AVERAGE(OFFSET($H$3,0,0,'Données projet'!$E$9+1,1))</f>
        <v>355.09162485318728</v>
      </c>
      <c r="T70" s="59">
        <f t="shared" si="88"/>
        <v>320.06572891923685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57.770984238472266</v>
      </c>
      <c r="AA70" s="21">
        <f>EXP(-LN(2)/25)*AA69+(1-EXP(-LN(2)/25))/(LN(2)/25)*Calculateur!V70*Calculateur!X70*VLOOKUP('Données projet'!$B$9,Paramètres!$A$1:$I$89,3,0)*0.475*44/12</f>
        <v>14.539371352520474</v>
      </c>
      <c r="AB70" s="21">
        <f>EXP(-LN(2)/2)*AB69+(1-EXP(-LN(2)/2))/(LN(2)/2)*V70*Y70*VLOOKUP('Données projet'!$B$9,Paramètres!$A$1:$I$89,3,0)*0.475*44/12</f>
        <v>4.4299136264629375</v>
      </c>
      <c r="AC70" s="22">
        <f t="shared" si="57"/>
        <v>76.740269217455676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6.6995192307692264</v>
      </c>
      <c r="AI70" s="13">
        <f>IF('Données projet'!$A$62&gt;35,AI69+AH70-AQ69,IF(A70&lt;'Données projet'!$A$62,$AF$205^A70,IF(A70='Données projet'!$A$62,'Données projet'!$B$62,AI69+AH70-AQ69)))</f>
        <v>175.61618589743605</v>
      </c>
      <c r="AJ70" s="13">
        <f>AI70*VLOOKUP('Données projet'!$B$10,Paramètres!$A$1:$I$89,3,0)*VLOOKUP('Données projet'!$B$10,Paramètres!$A$1:$I$89,5,0)</f>
        <v>158.89752500000012</v>
      </c>
      <c r="AK70" s="13">
        <f t="shared" si="89"/>
        <v>40.593749114952736</v>
      </c>
      <c r="AL70" s="20">
        <f t="shared" si="58"/>
        <v>347.44730241687625</v>
      </c>
      <c r="AM70" s="59">
        <f t="shared" si="59"/>
        <v>640.78063575020951</v>
      </c>
      <c r="AN70" s="59">
        <f ca="1">AVERAGE(OFFSET($AM$3,0,0,'Données projet'!$E$10+1,1))-AVERAGE(OFFSET($H$3,0,0,'Données projet'!$E$10+1,1))</f>
        <v>447.91110718952615</v>
      </c>
      <c r="AO70" s="59">
        <f t="shared" si="90"/>
        <v>188.87492758536894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6.6995192307692264</v>
      </c>
      <c r="BD70" s="12">
        <f>IF('Données projet'!$A$88&gt;35,BD69+BC70-BL69,IF(A70&lt;'Données projet'!$A$88,$BA$205^A70,IF(A70='Données projet'!$A$88,'Données projet'!$B$88,BD69+BC70-BL69)))</f>
        <v>175.61618589743605</v>
      </c>
      <c r="BE70" s="13">
        <f>BD70*VLOOKUP('Données projet'!$B$11,Paramètres!$A$1:$I$89,3,0)*VLOOKUP('Données projet'!$B$11,Paramètres!$A$1:$I$89,5,0)</f>
        <v>178.07481250000018</v>
      </c>
      <c r="BF70" s="13">
        <f t="shared" si="91"/>
        <v>44.893599731367019</v>
      </c>
      <c r="BG70" s="20">
        <f t="shared" si="61"/>
        <v>388.33665130296453</v>
      </c>
      <c r="BH70" s="59">
        <f t="shared" si="62"/>
        <v>681.66998463629784</v>
      </c>
      <c r="BI70" s="59">
        <f ca="1">AVERAGE(OFFSET($BH$3,0,0,'Données projet'!$E$11+1,1))-AVERAGE(OFFSET($H$3,0,0,'Données projet'!$E$11+1,1))</f>
        <v>496.71433459306451</v>
      </c>
      <c r="BJ70" s="59">
        <f t="shared" si="92"/>
        <v>206.75063396134982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9.9715384615384544</v>
      </c>
      <c r="N71" s="13">
        <f>IF('Données projet'!$A$36&gt;35,N70+M71-V70,IF(A71&lt;'Données projet'!$A$36,$K$205^A71,IF(A71='Données projet'!$A$36,'Données projet'!$B$36,N70+M71-V70)))</f>
        <v>440.4507692307692</v>
      </c>
      <c r="O71" s="13">
        <f>N71*VLOOKUP('Données projet'!$B$9,Paramètres!$A$1:$I$89,3,0)*VLOOKUP('Données projet'!$B$9,Paramètres!$A$1:$I$89,5,0)</f>
        <v>263.38956000000002</v>
      </c>
      <c r="P71" s="13">
        <f t="shared" si="87"/>
        <v>63.444349611612601</v>
      </c>
      <c r="Q71" s="20">
        <f t="shared" si="54"/>
        <v>569.23572590689196</v>
      </c>
      <c r="R71" s="59">
        <f t="shared" si="55"/>
        <v>862.56905924022522</v>
      </c>
      <c r="S71" s="59">
        <f ca="1">AVERAGE(OFFSET($R$3,0,0,'Données projet'!$E$9+1,1))-AVERAGE(OFFSET($H$3,0,0,'Données projet'!$E$9+1,1))</f>
        <v>355.09162485318728</v>
      </c>
      <c r="T71" s="59">
        <f t="shared" si="88"/>
        <v>320.06572891923685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56.638130474376865</v>
      </c>
      <c r="AA71" s="21">
        <f>EXP(-LN(2)/25)*AA70+(1-EXP(-LN(2)/25))/(LN(2)/25)*Calculateur!V71*Calculateur!X71*VLOOKUP('Données projet'!$B$9,Paramètres!$A$1:$I$89,3,0)*0.475*44/12</f>
        <v>14.141791478293493</v>
      </c>
      <c r="AB71" s="21">
        <f>EXP(-LN(2)/2)*AB70+(1-EXP(-LN(2)/2))/(LN(2)/2)*V71*Y71*VLOOKUP('Données projet'!$B$9,Paramètres!$A$1:$I$89,3,0)*0.475*44/12</f>
        <v>3.1324219653426337</v>
      </c>
      <c r="AC71" s="22">
        <f t="shared" si="57"/>
        <v>73.912343918012994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6.6995192307692264</v>
      </c>
      <c r="AI71" s="13">
        <f>IF('Données projet'!$A$62&gt;35,AI70+AH71-AQ70,IF(A71&lt;'Données projet'!$A$62,$AF$205^A71,IF(A71='Données projet'!$A$62,'Données projet'!$B$62,AI70+AH71-AQ70)))</f>
        <v>182.31570512820528</v>
      </c>
      <c r="AJ71" s="13">
        <f>AI71*VLOOKUP('Données projet'!$B$10,Paramètres!$A$1:$I$89,3,0)*VLOOKUP('Données projet'!$B$10,Paramètres!$A$1:$I$89,5,0)</f>
        <v>164.95925000000014</v>
      </c>
      <c r="AK71" s="13">
        <f t="shared" si="89"/>
        <v>41.959093163339809</v>
      </c>
      <c r="AL71" s="20">
        <f t="shared" si="58"/>
        <v>360.38278100948378</v>
      </c>
      <c r="AM71" s="59">
        <f t="shared" si="59"/>
        <v>653.71611434281704</v>
      </c>
      <c r="AN71" s="59">
        <f ca="1">AVERAGE(OFFSET($AM$3,0,0,'Données projet'!$E$10+1,1))-AVERAGE(OFFSET($H$3,0,0,'Données projet'!$E$10+1,1))</f>
        <v>447.91110718952615</v>
      </c>
      <c r="AO71" s="59">
        <f t="shared" si="90"/>
        <v>188.87492758536894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6.6995192307692264</v>
      </c>
      <c r="BD71" s="12">
        <f>IF('Données projet'!$A$88&gt;35,BD70+BC71-BL70,IF(A71&lt;'Données projet'!$A$88,$BA$205^A71,IF(A71='Données projet'!$A$88,'Données projet'!$B$88,BD70+BC71-BL70)))</f>
        <v>182.31570512820528</v>
      </c>
      <c r="BE71" s="13">
        <f>BD71*VLOOKUP('Données projet'!$B$11,Paramètres!$A$1:$I$89,3,0)*VLOOKUP('Données projet'!$B$11,Paramètres!$A$1:$I$89,5,0)</f>
        <v>184.86812500000016</v>
      </c>
      <c r="BF71" s="13">
        <f t="shared" si="91"/>
        <v>46.403566426739715</v>
      </c>
      <c r="BG71" s="20">
        <f t="shared" si="61"/>
        <v>402.79819590157194</v>
      </c>
      <c r="BH71" s="59">
        <f t="shared" si="62"/>
        <v>696.1315292349052</v>
      </c>
      <c r="BI71" s="59">
        <f ca="1">AVERAGE(OFFSET($BH$3,0,0,'Données projet'!$E$11+1,1))-AVERAGE(OFFSET($H$3,0,0,'Données projet'!$E$11+1,1))</f>
        <v>496.71433459306451</v>
      </c>
      <c r="BJ71" s="59">
        <f t="shared" si="92"/>
        <v>206.75063396134982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9.9715384615384544</v>
      </c>
      <c r="N72" s="13">
        <f>IF('Données projet'!$A$36&gt;35,N71+M72-V71,IF(A72&lt;'Données projet'!$A$36,$K$205^A72,IF(A72='Données projet'!$A$36,'Données projet'!$B$36,N71+M72-V71)))</f>
        <v>450.42230769230764</v>
      </c>
      <c r="O72" s="13">
        <f>N72*VLOOKUP('Données projet'!$B$9,Paramètres!$A$1:$I$89,3,0)*VLOOKUP('Données projet'!$B$9,Paramètres!$A$1:$I$89,5,0)</f>
        <v>269.35253999999998</v>
      </c>
      <c r="P72" s="13">
        <f t="shared" si="87"/>
        <v>64.711842740845071</v>
      </c>
      <c r="Q72" s="20">
        <f t="shared" si="54"/>
        <v>581.8287999403052</v>
      </c>
      <c r="R72" s="59">
        <f t="shared" si="55"/>
        <v>875.16213327363857</v>
      </c>
      <c r="S72" s="59">
        <f ca="1">AVERAGE(OFFSET($R$3,0,0,'Données projet'!$E$9+1,1))-AVERAGE(OFFSET($H$3,0,0,'Données projet'!$E$9+1,1))</f>
        <v>355.09162485318728</v>
      </c>
      <c r="T72" s="59">
        <f t="shared" si="88"/>
        <v>320.06572891923685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55.527491281622808</v>
      </c>
      <c r="AA72" s="21">
        <f>EXP(-LN(2)/25)*AA71+(1-EXP(-LN(2)/25))/(LN(2)/25)*Calculateur!V72*Calculateur!X72*VLOOKUP('Données projet'!$B$9,Paramètres!$A$1:$I$89,3,0)*0.475*44/12</f>
        <v>13.755083446635066</v>
      </c>
      <c r="AB72" s="21">
        <f>EXP(-LN(2)/2)*AB71+(1-EXP(-LN(2)/2))/(LN(2)/2)*V72*Y72*VLOOKUP('Données projet'!$B$9,Paramètres!$A$1:$I$89,3,0)*0.475*44/12</f>
        <v>2.2149568132314692</v>
      </c>
      <c r="AC72" s="22">
        <f t="shared" si="57"/>
        <v>71.497531541489337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6.6995192307692264</v>
      </c>
      <c r="AI72" s="13">
        <f>IF('Données projet'!$A$62&gt;35,AI71+AH72-AQ71,IF(A72&lt;'Données projet'!$A$62,$AF$205^A72,IF(A72='Données projet'!$A$62,'Données projet'!$B$62,AI71+AH72-AQ71)))</f>
        <v>189.01522435897451</v>
      </c>
      <c r="AJ72" s="13">
        <f>AI72*VLOOKUP('Données projet'!$B$10,Paramètres!$A$1:$I$89,3,0)*VLOOKUP('Données projet'!$B$10,Paramètres!$A$1:$I$89,5,0)</f>
        <v>171.02097500000013</v>
      </c>
      <c r="AK72" s="13">
        <f t="shared" si="89"/>
        <v>43.318608274033679</v>
      </c>
      <c r="AL72" s="20">
        <f t="shared" si="58"/>
        <v>373.30810753560894</v>
      </c>
      <c r="AM72" s="59">
        <f t="shared" si="59"/>
        <v>666.64144086894225</v>
      </c>
      <c r="AN72" s="59">
        <f ca="1">AVERAGE(OFFSET($AM$3,0,0,'Données projet'!$E$10+1,1))-AVERAGE(OFFSET($H$3,0,0,'Données projet'!$E$10+1,1))</f>
        <v>447.91110718952615</v>
      </c>
      <c r="AO72" s="59">
        <f t="shared" si="90"/>
        <v>188.87492758536894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6.6995192307692264</v>
      </c>
      <c r="BD72" s="12">
        <f>IF('Données projet'!$A$88&gt;35,BD71+BC72-BL71,IF(A72&lt;'Données projet'!$A$88,$BA$205^A72,IF(A72='Données projet'!$A$88,'Données projet'!$B$88,BD71+BC72-BL71)))</f>
        <v>189.01522435897451</v>
      </c>
      <c r="BE72" s="13">
        <f>BD72*VLOOKUP('Données projet'!$B$11,Paramètres!$A$1:$I$89,3,0)*VLOOKUP('Données projet'!$B$11,Paramètres!$A$1:$I$89,5,0)</f>
        <v>191.66143750000018</v>
      </c>
      <c r="BF72" s="13">
        <f t="shared" si="91"/>
        <v>47.907086760262004</v>
      </c>
      <c r="BG72" s="20">
        <f t="shared" si="61"/>
        <v>417.24851308662329</v>
      </c>
      <c r="BH72" s="59">
        <f t="shared" si="62"/>
        <v>710.58184641995661</v>
      </c>
      <c r="BI72" s="59">
        <f ca="1">AVERAGE(OFFSET($BH$3,0,0,'Données projet'!$E$11+1,1))-AVERAGE(OFFSET($H$3,0,0,'Données projet'!$E$11+1,1))</f>
        <v>496.71433459306451</v>
      </c>
      <c r="BJ72" s="59">
        <f t="shared" si="92"/>
        <v>206.75063396134982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9.9715384615384544</v>
      </c>
      <c r="N73" s="13">
        <f>IF('Données projet'!$A$36&gt;35,N72+M73-V72,IF(A73&lt;'Données projet'!$A$36,$K$205^A73,IF(A73='Données projet'!$A$36,'Données projet'!$B$36,N72+M73-V72)))</f>
        <v>460.39384615384608</v>
      </c>
      <c r="O73" s="13">
        <f>N73*VLOOKUP('Données projet'!$B$9,Paramètres!$A$1:$I$89,3,0)*VLOOKUP('Données projet'!$B$9,Paramètres!$A$1:$I$89,5,0)</f>
        <v>275.31551999999994</v>
      </c>
      <c r="P73" s="13">
        <f t="shared" si="87"/>
        <v>65.976073607419792</v>
      </c>
      <c r="Q73" s="20">
        <f t="shared" si="54"/>
        <v>594.41619219958932</v>
      </c>
      <c r="R73" s="59">
        <f t="shared" si="55"/>
        <v>887.74952553292269</v>
      </c>
      <c r="S73" s="59">
        <f ca="1">AVERAGE(OFFSET($R$3,0,0,'Données projet'!$E$9+1,1))-AVERAGE(OFFSET($H$3,0,0,'Données projet'!$E$9+1,1))</f>
        <v>355.09162485318728</v>
      </c>
      <c r="T73" s="59">
        <f t="shared" si="88"/>
        <v>320.06572891923685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54.438631046015637</v>
      </c>
      <c r="AA73" s="21">
        <f>EXP(-LN(2)/25)*AA72+(1-EXP(-LN(2)/25))/(LN(2)/25)*Calculateur!V73*Calculateur!X73*VLOOKUP('Données projet'!$B$9,Paramètres!$A$1:$I$89,3,0)*0.475*44/12</f>
        <v>13.378949966438428</v>
      </c>
      <c r="AB73" s="21">
        <f>EXP(-LN(2)/2)*AB72+(1-EXP(-LN(2)/2))/(LN(2)/2)*V73*Y73*VLOOKUP('Données projet'!$B$9,Paramètres!$A$1:$I$89,3,0)*0.475*44/12</f>
        <v>1.5662109826713173</v>
      </c>
      <c r="AC73" s="22">
        <f t="shared" si="57"/>
        <v>69.383791995125392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6.6995192307692264</v>
      </c>
      <c r="AI73" s="13">
        <f>IF('Données projet'!$A$62&gt;35,AI72+AH73-AQ72,IF(A73&lt;'Données projet'!$A$62,$AF$205^A73,IF(A73='Données projet'!$A$62,'Données projet'!$B$62,AI72+AH73-AQ72)))</f>
        <v>195.71474358974373</v>
      </c>
      <c r="AJ73" s="13">
        <f>AI73*VLOOKUP('Données projet'!$B$10,Paramètres!$A$1:$I$89,3,0)*VLOOKUP('Données projet'!$B$10,Paramètres!$A$1:$I$89,5,0)</f>
        <v>177.08270000000013</v>
      </c>
      <c r="AK73" s="13">
        <f t="shared" si="89"/>
        <v>44.672524721320137</v>
      </c>
      <c r="AL73" s="20">
        <f t="shared" si="58"/>
        <v>386.22368305629948</v>
      </c>
      <c r="AM73" s="59">
        <f t="shared" si="59"/>
        <v>679.55701638963274</v>
      </c>
      <c r="AN73" s="59">
        <f ca="1">AVERAGE(OFFSET($AM$3,0,0,'Données projet'!$E$10+1,1))-AVERAGE(OFFSET($H$3,0,0,'Données projet'!$E$10+1,1))</f>
        <v>447.91110718952615</v>
      </c>
      <c r="AO73" s="59">
        <f t="shared" si="90"/>
        <v>188.87492758536894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6.6995192307692264</v>
      </c>
      <c r="BD73" s="12">
        <f>IF('Données projet'!$A$88&gt;35,BD72+BC73-BL72,IF(A73&lt;'Données projet'!$A$88,$BA$205^A73,IF(A73='Données projet'!$A$88,'Données projet'!$B$88,BD72+BC73-BL72)))</f>
        <v>195.71474358974373</v>
      </c>
      <c r="BE73" s="13">
        <f>BD73*VLOOKUP('Données projet'!$B$11,Paramètres!$A$1:$I$89,3,0)*VLOOKUP('Données projet'!$B$11,Paramètres!$A$1:$I$89,5,0)</f>
        <v>198.45475000000016</v>
      </c>
      <c r="BF73" s="13">
        <f t="shared" si="91"/>
        <v>49.404415397783822</v>
      </c>
      <c r="BG73" s="20">
        <f t="shared" si="61"/>
        <v>431.68804640114041</v>
      </c>
      <c r="BH73" s="59">
        <f t="shared" si="62"/>
        <v>725.02137973447373</v>
      </c>
      <c r="BI73" s="59">
        <f ca="1">AVERAGE(OFFSET($BH$3,0,0,'Données projet'!$E$11+1,1))-AVERAGE(OFFSET($H$3,0,0,'Données projet'!$E$11+1,1))</f>
        <v>496.71433459306451</v>
      </c>
      <c r="BJ73" s="59">
        <f t="shared" si="92"/>
        <v>206.75063396134982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9.9715384615384544</v>
      </c>
      <c r="N74" s="13">
        <f>IF('Données projet'!$A$36&gt;35,N73+M74-V73,IF(A74&lt;'Données projet'!$A$36,$K$205^A74,IF(A74='Données projet'!$A$36,'Données projet'!$B$36,N73+M74-V73)))</f>
        <v>470.36538461538453</v>
      </c>
      <c r="O74" s="13">
        <f>N74*VLOOKUP('Données projet'!$B$9,Paramètres!$A$1:$I$89,3,0)*VLOOKUP('Données projet'!$B$9,Paramètres!$A$1:$I$89,5,0)</f>
        <v>281.27849999999995</v>
      </c>
      <c r="P74" s="13">
        <f t="shared" si="87"/>
        <v>67.23712100524989</v>
      </c>
      <c r="Q74" s="20">
        <f t="shared" si="54"/>
        <v>606.99803991747683</v>
      </c>
      <c r="R74" s="59">
        <f t="shared" si="55"/>
        <v>900.3313732508102</v>
      </c>
      <c r="S74" s="59">
        <f ca="1">AVERAGE(OFFSET($R$3,0,0,'Données projet'!$E$9+1,1))-AVERAGE(OFFSET($H$3,0,0,'Données projet'!$E$9+1,1))</f>
        <v>355.09162485318728</v>
      </c>
      <c r="T74" s="59">
        <f t="shared" si="88"/>
        <v>320.06572891923685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53.371122695489554</v>
      </c>
      <c r="AA74" s="21">
        <f>EXP(-LN(2)/25)*AA73+(1-EXP(-LN(2)/25))/(LN(2)/25)*Calculateur!V74*Calculateur!X74*VLOOKUP('Données projet'!$B$9,Paramètres!$A$1:$I$89,3,0)*0.475*44/12</f>
        <v>13.013101876037769</v>
      </c>
      <c r="AB74" s="21">
        <f>EXP(-LN(2)/2)*AB73+(1-EXP(-LN(2)/2))/(LN(2)/2)*V74*Y74*VLOOKUP('Données projet'!$B$9,Paramètres!$A$1:$I$89,3,0)*0.475*44/12</f>
        <v>1.1074784066157348</v>
      </c>
      <c r="AC74" s="22">
        <f t="shared" si="57"/>
        <v>67.491702978143067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6.6995192307692264</v>
      </c>
      <c r="AI74" s="13">
        <f>IF('Données projet'!$A$62&gt;35,AI73+AH74-AQ73,IF(A74&lt;'Données projet'!$A$62,$AF$205^A74,IF(A74='Données projet'!$A$62,'Données projet'!$B$62,AI73+AH74-AQ73)))</f>
        <v>202.41426282051296</v>
      </c>
      <c r="AJ74" s="13">
        <f>AI74*VLOOKUP('Données projet'!$B$10,Paramètres!$A$1:$I$89,3,0)*VLOOKUP('Données projet'!$B$10,Paramètres!$A$1:$I$89,5,0)</f>
        <v>183.14442500000013</v>
      </c>
      <c r="AK74" s="13">
        <f t="shared" si="89"/>
        <v>46.02105612019141</v>
      </c>
      <c r="AL74" s="20">
        <f t="shared" si="58"/>
        <v>399.12987961766686</v>
      </c>
      <c r="AM74" s="59">
        <f t="shared" si="59"/>
        <v>692.46321295100017</v>
      </c>
      <c r="AN74" s="59">
        <f ca="1">AVERAGE(OFFSET($AM$3,0,0,'Données projet'!$E$10+1,1))-AVERAGE(OFFSET($H$3,0,0,'Données projet'!$E$10+1,1))</f>
        <v>447.91110718952615</v>
      </c>
      <c r="AO74" s="59">
        <f t="shared" si="90"/>
        <v>188.87492758536894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6.6995192307692264</v>
      </c>
      <c r="BD74" s="12">
        <f>IF('Données projet'!$A$88&gt;35,BD73+BC74-BL73,IF(A74&lt;'Données projet'!$A$88,$BA$205^A74,IF(A74='Données projet'!$A$88,'Données projet'!$B$88,BD73+BC74-BL73)))</f>
        <v>202.41426282051296</v>
      </c>
      <c r="BE74" s="13">
        <f>BD74*VLOOKUP('Données projet'!$B$11,Paramètres!$A$1:$I$89,3,0)*VLOOKUP('Données projet'!$B$11,Paramètres!$A$1:$I$89,5,0)</f>
        <v>205.24806250000017</v>
      </c>
      <c r="BF74" s="13">
        <f t="shared" si="91"/>
        <v>50.895788581242932</v>
      </c>
      <c r="BG74" s="20">
        <f t="shared" si="61"/>
        <v>446.1172072998317</v>
      </c>
      <c r="BH74" s="59">
        <f t="shared" si="62"/>
        <v>739.45054063316502</v>
      </c>
      <c r="BI74" s="59">
        <f ca="1">AVERAGE(OFFSET($BH$3,0,0,'Données projet'!$E$11+1,1))-AVERAGE(OFFSET($H$3,0,0,'Données projet'!$E$11+1,1))</f>
        <v>496.71433459306451</v>
      </c>
      <c r="BJ74" s="59">
        <f t="shared" si="92"/>
        <v>206.75063396134982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9.9715384615384544</v>
      </c>
      <c r="N75" s="13">
        <f>IF('Données projet'!$A$36&gt;35,N74+M75-V74,IF(A75&lt;'Données projet'!$A$36,$K$205^A75,IF(A75='Données projet'!$A$36,'Données projet'!$B$36,N74+M75-V74)))</f>
        <v>480.33692307692297</v>
      </c>
      <c r="O75" s="13">
        <f>N75*VLOOKUP('Données projet'!$B$9,Paramètres!$A$1:$I$89,3,0)*VLOOKUP('Données projet'!$B$9,Paramètres!$A$1:$I$89,5,0)</f>
        <v>287.24147999999997</v>
      </c>
      <c r="P75" s="13">
        <f t="shared" si="87"/>
        <v>68.495060196585953</v>
      </c>
      <c r="Q75" s="20">
        <f t="shared" si="54"/>
        <v>619.57447417572041</v>
      </c>
      <c r="R75" s="59">
        <f t="shared" si="55"/>
        <v>912.90780750905378</v>
      </c>
      <c r="S75" s="59">
        <f ca="1">AVERAGE(OFFSET($R$3,0,0,'Données projet'!$E$9+1,1))-AVERAGE(OFFSET($H$3,0,0,'Données projet'!$E$9+1,1))</f>
        <v>355.09162485318728</v>
      </c>
      <c r="T75" s="59">
        <f t="shared" si="88"/>
        <v>320.06572891923685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52.324547532601493</v>
      </c>
      <c r="AA75" s="21">
        <f>EXP(-LN(2)/25)*AA74+(1-EXP(-LN(2)/25))/(LN(2)/25)*Calculateur!V75*Calculateur!X75*VLOOKUP('Données projet'!$B$9,Paramètres!$A$1:$I$89,3,0)*0.475*44/12</f>
        <v>12.657257920908231</v>
      </c>
      <c r="AB75" s="21">
        <f>EXP(-LN(2)/2)*AB74+(1-EXP(-LN(2)/2))/(LN(2)/2)*V75*Y75*VLOOKUP('Données projet'!$B$9,Paramètres!$A$1:$I$89,3,0)*0.475*44/12</f>
        <v>0.78310549133565877</v>
      </c>
      <c r="AC75" s="22">
        <f t="shared" si="57"/>
        <v>65.764910944845383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6.6995192307692264</v>
      </c>
      <c r="AI75" s="13">
        <f>IF('Données projet'!$A$62&gt;35,AI74+AH75-AQ74,IF(A75&lt;'Données projet'!$A$62,$AF$205^A75,IF(A75='Données projet'!$A$62,'Données projet'!$B$62,AI74+AH75-AQ74)))</f>
        <v>209.11378205128219</v>
      </c>
      <c r="AJ75" s="13">
        <f>AI75*VLOOKUP('Données projet'!$B$10,Paramètres!$A$1:$I$89,3,0)*VLOOKUP('Données projet'!$B$10,Paramètres!$A$1:$I$89,5,0)</f>
        <v>189.20615000000009</v>
      </c>
      <c r="AK75" s="13">
        <f t="shared" si="89"/>
        <v>47.364401142673302</v>
      </c>
      <c r="AL75" s="20">
        <f t="shared" si="58"/>
        <v>412.02704324015616</v>
      </c>
      <c r="AM75" s="59">
        <f t="shared" si="59"/>
        <v>705.36037657348948</v>
      </c>
      <c r="AN75" s="59">
        <f ca="1">AVERAGE(OFFSET($AM$3,0,0,'Données projet'!$E$10+1,1))-AVERAGE(OFFSET($H$3,0,0,'Données projet'!$E$10+1,1))</f>
        <v>447.91110718952615</v>
      </c>
      <c r="AO75" s="59">
        <f t="shared" si="90"/>
        <v>188.87492758536894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6.6995192307692264</v>
      </c>
      <c r="BD75" s="12">
        <f>IF('Données projet'!$A$88&gt;35,BD74+BC75-BL74,IF(A75&lt;'Données projet'!$A$88,$BA$205^A75,IF(A75='Données projet'!$A$88,'Données projet'!$B$88,BD74+BC75-BL74)))</f>
        <v>209.11378205128219</v>
      </c>
      <c r="BE75" s="13">
        <f>BD75*VLOOKUP('Données projet'!$B$11,Paramètres!$A$1:$I$89,3,0)*VLOOKUP('Données projet'!$B$11,Paramètres!$A$1:$I$89,5,0)</f>
        <v>212.04137500000013</v>
      </c>
      <c r="BF75" s="13">
        <f t="shared" si="91"/>
        <v>52.381426026792639</v>
      </c>
      <c r="BG75" s="20">
        <f t="shared" si="61"/>
        <v>460.5363784549973</v>
      </c>
      <c r="BH75" s="59">
        <f t="shared" si="62"/>
        <v>753.86971178833062</v>
      </c>
      <c r="BI75" s="59">
        <f ca="1">AVERAGE(OFFSET($BH$3,0,0,'Données projet'!$E$11+1,1))-AVERAGE(OFFSET($H$3,0,0,'Données projet'!$E$11+1,1))</f>
        <v>496.71433459306451</v>
      </c>
      <c r="BJ75" s="59">
        <f t="shared" si="92"/>
        <v>206.75063396134982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9.9715384615384544</v>
      </c>
      <c r="N76" s="13">
        <f>IF('Données projet'!$A$36&gt;35,N75+M76-V75,IF(A76&lt;'Données projet'!$A$36,$K$205^A76,IF(A76='Données projet'!$A$36,'Données projet'!$B$36,N75+M76-V75)))</f>
        <v>490.30846153846142</v>
      </c>
      <c r="O76" s="13">
        <f>N76*VLOOKUP('Données projet'!$B$9,Paramètres!$A$1:$I$89,3,0)*VLOOKUP('Données projet'!$B$9,Paramètres!$A$1:$I$89,5,0)</f>
        <v>293.20445999999993</v>
      </c>
      <c r="P76" s="13">
        <f t="shared" si="87"/>
        <v>69.749963140285985</v>
      </c>
      <c r="Q76" s="20">
        <f t="shared" si="54"/>
        <v>632.14562030266472</v>
      </c>
      <c r="R76" s="59">
        <f t="shared" si="55"/>
        <v>925.4789536359981</v>
      </c>
      <c r="S76" s="59">
        <f ca="1">AVERAGE(OFFSET($R$3,0,0,'Données projet'!$E$9+1,1))-AVERAGE(OFFSET($H$3,0,0,'Données projet'!$E$9+1,1))</f>
        <v>355.09162485318728</v>
      </c>
      <c r="T76" s="59">
        <f t="shared" si="88"/>
        <v>320.06572891923685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51.298495070309848</v>
      </c>
      <c r="AA76" s="21">
        <f>EXP(-LN(2)/25)*AA75+(1-EXP(-LN(2)/25))/(LN(2)/25)*Calculateur!V76*Calculateur!X76*VLOOKUP('Données projet'!$B$9,Paramètres!$A$1:$I$89,3,0)*0.475*44/12</f>
        <v>12.311144537444729</v>
      </c>
      <c r="AB76" s="21">
        <f>EXP(-LN(2)/2)*AB75+(1-EXP(-LN(2)/2))/(LN(2)/2)*V76*Y76*VLOOKUP('Données projet'!$B$9,Paramètres!$A$1:$I$89,3,0)*0.475*44/12</f>
        <v>0.55373920330786752</v>
      </c>
      <c r="AC76" s="22">
        <f t="shared" si="57"/>
        <v>64.163378811062444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6.6995192307692264</v>
      </c>
      <c r="AI76" s="13">
        <f>IF('Données projet'!$A$62&gt;35,AI75+AH76-AQ75,IF(A76&lt;'Données projet'!$A$62,$AF$205^A76,IF(A76='Données projet'!$A$62,'Données projet'!$B$62,AI75+AH76-AQ75)))</f>
        <v>215.81330128205141</v>
      </c>
      <c r="AJ76" s="13">
        <f>AI76*VLOOKUP('Données projet'!$B$10,Paramètres!$A$1:$I$89,3,0)*VLOOKUP('Données projet'!$B$10,Paramètres!$A$1:$I$89,5,0)</f>
        <v>195.26787500000012</v>
      </c>
      <c r="AK76" s="13">
        <f t="shared" si="89"/>
        <v>48.702745008025673</v>
      </c>
      <c r="AL76" s="20">
        <f t="shared" si="58"/>
        <v>424.91549651397821</v>
      </c>
      <c r="AM76" s="59">
        <f t="shared" si="59"/>
        <v>718.24882984731153</v>
      </c>
      <c r="AN76" s="59">
        <f ca="1">AVERAGE(OFFSET($AM$3,0,0,'Données projet'!$E$10+1,1))-AVERAGE(OFFSET($H$3,0,0,'Données projet'!$E$10+1,1))</f>
        <v>447.91110718952615</v>
      </c>
      <c r="AO76" s="59">
        <f t="shared" si="90"/>
        <v>188.87492758536894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6.6995192307692264</v>
      </c>
      <c r="BD76" s="12">
        <f>IF('Données projet'!$A$88&gt;35,BD75+BC76-BL75,IF(A76&lt;'Données projet'!$A$88,$BA$205^A76,IF(A76='Données projet'!$A$88,'Données projet'!$B$88,BD75+BC76-BL75)))</f>
        <v>215.81330128205141</v>
      </c>
      <c r="BE76" s="13">
        <f>BD76*VLOOKUP('Données projet'!$B$11,Paramètres!$A$1:$I$89,3,0)*VLOOKUP('Données projet'!$B$11,Paramètres!$A$1:$I$89,5,0)</f>
        <v>218.83468750000014</v>
      </c>
      <c r="BF76" s="13">
        <f t="shared" si="91"/>
        <v>53.861532572850201</v>
      </c>
      <c r="BG76" s="20">
        <f t="shared" si="61"/>
        <v>474.94591662688094</v>
      </c>
      <c r="BH76" s="59">
        <f t="shared" si="62"/>
        <v>768.2792499602142</v>
      </c>
      <c r="BI76" s="59">
        <f ca="1">AVERAGE(OFFSET($BH$3,0,0,'Données projet'!$E$11+1,1))-AVERAGE(OFFSET($H$3,0,0,'Données projet'!$E$11+1,1))</f>
        <v>496.71433459306451</v>
      </c>
      <c r="BJ76" s="59">
        <f t="shared" si="92"/>
        <v>206.75063396134982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9.9715384615384544</v>
      </c>
      <c r="N77" s="13">
        <f>IF('Données projet'!$A$36&gt;35,N76+M77-V76,IF(A77&lt;'Données projet'!$A$36,$K$205^A77,IF(A77='Données projet'!$A$36,'Données projet'!$B$36,N76+M77-V76)))</f>
        <v>500.27999999999986</v>
      </c>
      <c r="O77" s="13">
        <f>N77*VLOOKUP('Données projet'!$B$9,Paramètres!$A$1:$I$89,3,0)*VLOOKUP('Données projet'!$B$9,Paramètres!$A$1:$I$89,5,0)</f>
        <v>299.16743999999994</v>
      </c>
      <c r="P77" s="13">
        <f t="shared" si="87"/>
        <v>71.001898700991546</v>
      </c>
      <c r="Q77" s="20">
        <f t="shared" si="54"/>
        <v>644.71159823756022</v>
      </c>
      <c r="R77" s="59">
        <f t="shared" si="55"/>
        <v>938.0449315708936</v>
      </c>
      <c r="S77" s="59">
        <f ca="1">AVERAGE(OFFSET($R$3,0,0,'Données projet'!$E$9+1,1))-AVERAGE(OFFSET($H$3,0,0,'Données projet'!$E$9+1,1))</f>
        <v>355.09162485318728</v>
      </c>
      <c r="T77" s="59">
        <f t="shared" si="88"/>
        <v>320.06572891923685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50.292562870973534</v>
      </c>
      <c r="AA77" s="21">
        <f>EXP(-LN(2)/25)*AA76+(1-EXP(-LN(2)/25))/(LN(2)/25)*Calculateur!V77*Calculateur!X77*VLOOKUP('Données projet'!$B$9,Paramètres!$A$1:$I$89,3,0)*0.475*44/12</f>
        <v>11.97449564265335</v>
      </c>
      <c r="AB77" s="21">
        <f>EXP(-LN(2)/2)*AB76+(1-EXP(-LN(2)/2))/(LN(2)/2)*V77*Y77*VLOOKUP('Données projet'!$B$9,Paramètres!$A$1:$I$89,3,0)*0.475*44/12</f>
        <v>0.39155274566782944</v>
      </c>
      <c r="AC77" s="22">
        <f t="shared" si="57"/>
        <v>62.658611259294716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222.5128205128205</v>
      </c>
      <c r="AG77" s="12">
        <f>VLOOKUP(A77,'Données projet'!$A$61:$I$81,9,0)</f>
        <v>6.6995192307692264</v>
      </c>
      <c r="AH77" s="12">
        <f t="array" ref="AH77">INDEX(AG:AG,MIN(IF(ISNUMBER(AG77:AG273),ROW(AG77:AG273),"")))</f>
        <v>6.6995192307692264</v>
      </c>
      <c r="AI77" s="13">
        <f>IF('Données projet'!$A$62&gt;35,AI76+AH77-AQ76,IF(A77&lt;'Données projet'!$A$62,$AF$205^A77,IF(A77='Données projet'!$A$62,'Données projet'!$B$62,AI76+AH77-AQ76)))</f>
        <v>222.51282051282064</v>
      </c>
      <c r="AJ77" s="13">
        <f>AI77*VLOOKUP('Données projet'!$B$10,Paramètres!$A$1:$I$89,3,0)*VLOOKUP('Données projet'!$B$10,Paramètres!$A$1:$I$89,5,0)</f>
        <v>201.32960000000011</v>
      </c>
      <c r="AK77" s="13">
        <f t="shared" si="89"/>
        <v>50.0362607827022</v>
      </c>
      <c r="AL77" s="20">
        <f t="shared" si="58"/>
        <v>437.79554086320655</v>
      </c>
      <c r="AM77" s="59">
        <f t="shared" si="59"/>
        <v>731.12887419653987</v>
      </c>
      <c r="AN77" s="59">
        <f ca="1">AVERAGE(OFFSET($AM$3,0,0,'Données projet'!$E$10+1,1))-AVERAGE(OFFSET($H$3,0,0,'Données projet'!$E$10+1,1))</f>
        <v>447.91110718952615</v>
      </c>
      <c r="AO77" s="59">
        <f t="shared" si="90"/>
        <v>188.87492758536894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36.865384615384613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222.5128205128205</v>
      </c>
      <c r="BB77" s="12">
        <f>VLOOKUP(A77,'Données projet'!$A$87:$I$107,9,0)</f>
        <v>6.6995192307692264</v>
      </c>
      <c r="BC77" s="12">
        <f t="array" ref="BC77">INDEX(BB:BB,MIN(IF(ISNUMBER(BB77:BB273),ROW(BB77:BB273),"")))</f>
        <v>6.6995192307692264</v>
      </c>
      <c r="BD77" s="12">
        <f>IF('Données projet'!$A$88&gt;35,BD76+BC77-BL76,IF(A77&lt;'Données projet'!$A$88,$BA$205^A77,IF(A77='Données projet'!$A$88,'Données projet'!$B$88,BD76+BC77-BL76)))</f>
        <v>222.51282051282064</v>
      </c>
      <c r="BE77" s="13">
        <f>BD77*VLOOKUP('Données projet'!$B$11,Paramètres!$A$1:$I$89,3,0)*VLOOKUP('Données projet'!$B$11,Paramètres!$A$1:$I$89,5,0)</f>
        <v>225.62800000000013</v>
      </c>
      <c r="BF77" s="13">
        <f t="shared" si="91"/>
        <v>55.336299617753184</v>
      </c>
      <c r="BG77" s="20">
        <f t="shared" si="61"/>
        <v>489.34615516758703</v>
      </c>
      <c r="BH77" s="59">
        <f t="shared" si="62"/>
        <v>782.67948850092034</v>
      </c>
      <c r="BI77" s="59">
        <f ca="1">AVERAGE(OFFSET($BH$3,0,0,'Données projet'!$E$11+1,1))-AVERAGE(OFFSET($H$3,0,0,'Données projet'!$E$11+1,1))</f>
        <v>496.71433459306451</v>
      </c>
      <c r="BJ77" s="59">
        <f t="shared" si="92"/>
        <v>206.75063396134982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36.865384615384613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9.9715384615384544</v>
      </c>
      <c r="N78" s="13">
        <f>IF('Données projet'!$A$36&gt;35,N77+M78-V77,IF(A78&lt;'Données projet'!$A$36,$K$205^A78,IF(A78='Données projet'!$A$36,'Données projet'!$B$36,N77+M78-V77)))</f>
        <v>510.2515384615383</v>
      </c>
      <c r="O78" s="13">
        <f>N78*VLOOKUP('Données projet'!$B$9,Paramètres!$A$1:$I$89,3,0)*VLOOKUP('Données projet'!$B$9,Paramètres!$A$1:$I$89,5,0)</f>
        <v>305.13041999999996</v>
      </c>
      <c r="P78" s="13">
        <f t="shared" si="87"/>
        <v>72.250932841155517</v>
      </c>
      <c r="Q78" s="20">
        <f t="shared" si="54"/>
        <v>657.27252286501243</v>
      </c>
      <c r="R78" s="59">
        <f t="shared" si="55"/>
        <v>950.60585619834569</v>
      </c>
      <c r="S78" s="59">
        <f ca="1">AVERAGE(OFFSET($R$3,0,0,'Données projet'!$E$9+1,1))-AVERAGE(OFFSET($H$3,0,0,'Données projet'!$E$9+1,1))</f>
        <v>355.09162485318728</v>
      </c>
      <c r="T78" s="59">
        <f t="shared" si="88"/>
        <v>320.06572891923685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49.306356388508149</v>
      </c>
      <c r="AA78" s="21">
        <f>EXP(-LN(2)/25)*AA77+(1-EXP(-LN(2)/25))/(LN(2)/25)*Calculateur!V78*Calculateur!X78*VLOOKUP('Données projet'!$B$9,Paramètres!$A$1:$I$89,3,0)*0.475*44/12</f>
        <v>11.647052429593636</v>
      </c>
      <c r="AB78" s="21">
        <f>EXP(-LN(2)/2)*AB77+(1-EXP(-LN(2)/2))/(LN(2)/2)*V78*Y78*VLOOKUP('Données projet'!$B$9,Paramètres!$A$1:$I$89,3,0)*0.475*44/12</f>
        <v>0.27686960165393376</v>
      </c>
      <c r="AC78" s="22">
        <f t="shared" si="57"/>
        <v>61.23027841975572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6.5339743589743566</v>
      </c>
      <c r="AI78" s="13">
        <f>IF('Données projet'!$A$62&gt;35,AI77+AH78-AQ77,IF(A78&lt;'Données projet'!$A$62,$AF$205^A78,IF(A78='Données projet'!$A$62,'Données projet'!$B$62,AI77+AH78-AQ77)))</f>
        <v>192.18141025641037</v>
      </c>
      <c r="AJ78" s="13">
        <f>AI78*VLOOKUP('Données projet'!$B$10,Paramètres!$A$1:$I$89,3,0)*VLOOKUP('Données projet'!$B$10,Paramètres!$A$1:$I$89,5,0)</f>
        <v>173.88574000000008</v>
      </c>
      <c r="AK78" s="13">
        <f t="shared" si="89"/>
        <v>43.959152089733649</v>
      </c>
      <c r="AL78" s="20">
        <f t="shared" si="58"/>
        <v>379.41318705628618</v>
      </c>
      <c r="AM78" s="59">
        <f t="shared" si="59"/>
        <v>672.74652038961949</v>
      </c>
      <c r="AN78" s="59">
        <f ca="1">AVERAGE(OFFSET($AM$3,0,0,'Données projet'!$E$10+1,1))-AVERAGE(OFFSET($H$3,0,0,'Données projet'!$E$10+1,1))</f>
        <v>447.91110718952615</v>
      </c>
      <c r="AO78" s="59">
        <f t="shared" si="90"/>
        <v>188.87492758536894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6.5339743589743566</v>
      </c>
      <c r="BD78" s="12">
        <f>IF('Données projet'!$A$88&gt;35,BD77+BC78-BL77,IF(A78&lt;'Données projet'!$A$88,$BA$205^A78,IF(A78='Données projet'!$A$88,'Données projet'!$B$88,BD77+BC78-BL77)))</f>
        <v>192.18141025641037</v>
      </c>
      <c r="BE78" s="13">
        <f>BD78*VLOOKUP('Données projet'!$B$11,Paramètres!$A$1:$I$89,3,0)*VLOOKUP('Données projet'!$B$11,Paramètres!$A$1:$I$89,5,0)</f>
        <v>194.87195000000011</v>
      </c>
      <c r="BF78" s="13">
        <f t="shared" si="91"/>
        <v>48.615479512826084</v>
      </c>
      <c r="BG78" s="20">
        <f t="shared" si="61"/>
        <v>424.07393973483892</v>
      </c>
      <c r="BH78" s="59">
        <f t="shared" si="62"/>
        <v>717.40727306817223</v>
      </c>
      <c r="BI78" s="59">
        <f ca="1">AVERAGE(OFFSET($BH$3,0,0,'Données projet'!$E$11+1,1))-AVERAGE(OFFSET($H$3,0,0,'Données projet'!$E$11+1,1))</f>
        <v>496.71433459306451</v>
      </c>
      <c r="BJ78" s="59">
        <f t="shared" si="92"/>
        <v>206.75063396134982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>
        <f>VLOOKUP(A79,'Données projet'!$A$35:$I$55,2,0)</f>
        <v>520.22307692307686</v>
      </c>
      <c r="L79" s="12">
        <f>VLOOKUP(A79,'Données projet'!$A$35:$I$55,9,0)</f>
        <v>9.9715384615384544</v>
      </c>
      <c r="M79" s="12">
        <f t="array" ref="M79">INDEX(L:L,MIN(IF(ISNUMBER(L79:L275),ROW(L79:L275),"")))</f>
        <v>9.9715384615384544</v>
      </c>
      <c r="N79" s="13">
        <f>IF('Données projet'!$A$36&gt;35,N78+M79-V78,IF(A79&lt;'Données projet'!$A$36,$K$205^A79,IF(A79='Données projet'!$A$36,'Données projet'!$B$36,N78+M79-V78)))</f>
        <v>520.22307692307675</v>
      </c>
      <c r="O79" s="13">
        <f>N79*VLOOKUP('Données projet'!$B$9,Paramètres!$A$1:$I$89,3,0)*VLOOKUP('Données projet'!$B$9,Paramètres!$A$1:$I$89,5,0)</f>
        <v>311.09339999999992</v>
      </c>
      <c r="P79" s="13">
        <f t="shared" si="87"/>
        <v>73.497128797635312</v>
      </c>
      <c r="Q79" s="20">
        <f t="shared" si="54"/>
        <v>669.82850432254793</v>
      </c>
      <c r="R79" s="59">
        <f t="shared" si="55"/>
        <v>963.1618376558813</v>
      </c>
      <c r="S79" s="59">
        <f ca="1">AVERAGE(OFFSET($R$3,0,0,'Données projet'!$E$9+1,1))-AVERAGE(OFFSET($H$3,0,0,'Données projet'!$E$9+1,1))</f>
        <v>355.09162485318728</v>
      </c>
      <c r="T79" s="59">
        <f t="shared" si="88"/>
        <v>320.06572891923685</v>
      </c>
      <c r="U79" s="15">
        <f>IF(ISNA(VLOOKUP(A79,'Données projet'!$A$35:$I$55,3,0)),0,VLOOKUP(A79,'Données projet'!$A$35:$I$55,3,0))</f>
        <v>8</v>
      </c>
      <c r="V79" s="15">
        <f>IF(ISNA(VLOOKUP(A79,'Données projet'!$A$35:$I$55,4,0)),0,VLOOKUP(A79,'Données projet'!$A$35:$I$55,4,0))</f>
        <v>520.22307692307686</v>
      </c>
      <c r="W79" s="16">
        <f>IF(ISNA(VLOOKUP(A79,'Données projet'!$A$35:$I$55,5,0)),0%,VLOOKUP(A79,'Données projet'!$A$35:$I$55,5,0)*VLOOKUP('Données projet'!$B$9,Paramètres!$A$1:$I$89,7,0))</f>
        <v>0.315</v>
      </c>
      <c r="X79" s="16">
        <f>IF(ISNA(VLOOKUP(A79,'Données projet'!$A$35:$I$55,6,0)),0%,VLOOKUP(A79,'Données projet'!$A$35:$I$55,6,0)*VLOOKUP('Données projet'!$B$9,Paramètres!$A$1:$I$89,7,0))</f>
        <v>7.5600000000000001E-2</v>
      </c>
      <c r="Y79" s="16">
        <f>IF(ISNA(VLOOKUP(A79,'Données projet'!$A$35:$I$55,7,0)),0%,VLOOKUP(A79,'Données projet'!$A$35:$I$55,7,0))</f>
        <v>0.13200000000000001</v>
      </c>
      <c r="Z79" s="21">
        <f>EXP(-LN(2)/35)*Z78+(1-EXP(-LN(2)/35))/(LN(2)/35)*V79*W79*VLOOKUP('Données projet'!$B$9,Paramètres!$A$1:$I$89,3,0)*0.475*44/12</f>
        <v>178.3354045436154</v>
      </c>
      <c r="AA79" s="21">
        <f>EXP(-LN(2)/25)*AA78+(1-EXP(-LN(2)/25))/(LN(2)/25)*Calculateur!V79*Calculateur!X79*VLOOKUP('Données projet'!$B$9,Paramètres!$A$1:$I$89,3,0)*0.475*44/12</f>
        <v>42.404740514995794</v>
      </c>
      <c r="AB79" s="21">
        <f>EXP(-LN(2)/2)*AB78+(1-EXP(-LN(2)/2))/(LN(2)/2)*V79*Y79*VLOOKUP('Données projet'!$B$9,Paramètres!$A$1:$I$89,3,0)*0.475*44/12</f>
        <v>46.690135716440125</v>
      </c>
      <c r="AC79" s="22">
        <f t="shared" si="57"/>
        <v>267.4302807750513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6.5339743589743566</v>
      </c>
      <c r="AI79" s="13">
        <f>IF('Données projet'!$A$62&gt;35,AI78+AH79-AQ78,IF(A79&lt;'Données projet'!$A$62,$AF$205^A79,IF(A79='Données projet'!$A$62,'Données projet'!$B$62,AI78+AH79-AQ78)))</f>
        <v>198.71538461538472</v>
      </c>
      <c r="AJ79" s="13">
        <f>AI79*VLOOKUP('Données projet'!$B$10,Paramètres!$A$1:$I$89,3,0)*VLOOKUP('Données projet'!$B$10,Paramètres!$A$1:$I$89,5,0)</f>
        <v>179.7976800000001</v>
      </c>
      <c r="AK79" s="13">
        <f t="shared" si="89"/>
        <v>45.277170748284568</v>
      </c>
      <c r="AL79" s="20">
        <f t="shared" si="58"/>
        <v>392.00536505326244</v>
      </c>
      <c r="AM79" s="59">
        <f t="shared" si="59"/>
        <v>685.33869838659575</v>
      </c>
      <c r="AN79" s="59">
        <f ca="1">AVERAGE(OFFSET($AM$3,0,0,'Données projet'!$E$10+1,1))-AVERAGE(OFFSET($H$3,0,0,'Données projet'!$E$10+1,1))</f>
        <v>447.91110718952615</v>
      </c>
      <c r="AO79" s="59">
        <f t="shared" si="90"/>
        <v>188.87492758536894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6.5339743589743566</v>
      </c>
      <c r="BD79" s="12">
        <f>IF('Données projet'!$A$88&gt;35,BD78+BC79-BL78,IF(A79&lt;'Données projet'!$A$88,$BA$205^A79,IF(A79='Données projet'!$A$88,'Données projet'!$B$88,BD78+BC79-BL78)))</f>
        <v>198.71538461538472</v>
      </c>
      <c r="BE79" s="13">
        <f>BD79*VLOOKUP('Données projet'!$B$11,Paramètres!$A$1:$I$89,3,0)*VLOOKUP('Données projet'!$B$11,Paramètres!$A$1:$I$89,5,0)</f>
        <v>201.49740000000014</v>
      </c>
      <c r="BF79" s="13">
        <f t="shared" si="91"/>
        <v>50.07310792571058</v>
      </c>
      <c r="BG79" s="20">
        <f t="shared" si="61"/>
        <v>438.15196797061282</v>
      </c>
      <c r="BH79" s="59">
        <f t="shared" si="62"/>
        <v>731.48530130394613</v>
      </c>
      <c r="BI79" s="59">
        <f ca="1">AVERAGE(OFFSET($BH$3,0,0,'Données projet'!$E$11+1,1))-AVERAGE(OFFSET($H$3,0,0,'Données projet'!$E$11+1,1))</f>
        <v>496.71433459306451</v>
      </c>
      <c r="BJ79" s="59">
        <f t="shared" si="92"/>
        <v>206.75063396134982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-6.7984728957526396E-14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355.09162485318728</v>
      </c>
      <c r="T80" s="59">
        <f t="shared" si="88"/>
        <v>320.06572891923685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174.83835603437134</v>
      </c>
      <c r="AA80" s="21">
        <f>EXP(-LN(2)/25)*AA79+(1-EXP(-LN(2)/25))/(LN(2)/25)*Calculateur!V80*Calculateur!X80*VLOOKUP('Données projet'!$B$9,Paramètres!$A$1:$I$89,3,0)*0.475*44/12</f>
        <v>41.245180655644845</v>
      </c>
      <c r="AB80" s="21">
        <f>EXP(-LN(2)/2)*AB79+(1-EXP(-LN(2)/2))/(LN(2)/2)*V80*Y80*VLOOKUP('Données projet'!$B$9,Paramètres!$A$1:$I$89,3,0)*0.475*44/12</f>
        <v>33.014911579615038</v>
      </c>
      <c r="AC80" s="22">
        <f t="shared" si="57"/>
        <v>249.09844826963123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6.5339743589743566</v>
      </c>
      <c r="AI80" s="13">
        <f>IF('Données projet'!$A$62&gt;35,AI79+AH80-AQ79,IF(A80&lt;'Données projet'!$A$62,$AF$205^A80,IF(A80='Données projet'!$A$62,'Données projet'!$B$62,AI79+AH80-AQ79)))</f>
        <v>205.24935897435907</v>
      </c>
      <c r="AJ80" s="13">
        <f>AI80*VLOOKUP('Données projet'!$B$10,Paramètres!$A$1:$I$89,3,0)*VLOOKUP('Données projet'!$B$10,Paramètres!$A$1:$I$89,5,0)</f>
        <v>185.70962000000009</v>
      </c>
      <c r="AK80" s="13">
        <f t="shared" si="89"/>
        <v>46.590153562220287</v>
      </c>
      <c r="AL80" s="20">
        <f t="shared" si="58"/>
        <v>404.5887722875338</v>
      </c>
      <c r="AM80" s="59">
        <f t="shared" si="59"/>
        <v>697.92210562086711</v>
      </c>
      <c r="AN80" s="59">
        <f ca="1">AVERAGE(OFFSET($AM$3,0,0,'Données projet'!$E$10+1,1))-AVERAGE(OFFSET($H$3,0,0,'Données projet'!$E$10+1,1))</f>
        <v>447.91110718952615</v>
      </c>
      <c r="AO80" s="59">
        <f t="shared" si="90"/>
        <v>188.87492758536894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6.5339743589743566</v>
      </c>
      <c r="BD80" s="12">
        <f>IF('Données projet'!$A$88&gt;35,BD79+BC80-BL79,IF(A80&lt;'Données projet'!$A$88,$BA$205^A80,IF(A80='Données projet'!$A$88,'Données projet'!$B$88,BD79+BC80-BL79)))</f>
        <v>205.24935897435907</v>
      </c>
      <c r="BE80" s="13">
        <f>BD80*VLOOKUP('Données projet'!$B$11,Paramètres!$A$1:$I$89,3,0)*VLOOKUP('Données projet'!$B$11,Paramètres!$A$1:$I$89,5,0)</f>
        <v>208.12285000000014</v>
      </c>
      <c r="BF80" s="13">
        <f t="shared" si="91"/>
        <v>51.525167077381305</v>
      </c>
      <c r="BG80" s="20">
        <f t="shared" si="61"/>
        <v>452.22029640977263</v>
      </c>
      <c r="BH80" s="59">
        <f t="shared" si="62"/>
        <v>745.55362974310594</v>
      </c>
      <c r="BI80" s="59">
        <f ca="1">AVERAGE(OFFSET($BH$3,0,0,'Données projet'!$E$11+1,1))-AVERAGE(OFFSET($H$3,0,0,'Données projet'!$E$11+1,1))</f>
        <v>496.71433459306451</v>
      </c>
      <c r="BJ80" s="59">
        <f t="shared" si="92"/>
        <v>206.75063396134982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-6.7984728957526396E-14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355.09162485318728</v>
      </c>
      <c r="T81" s="59">
        <f t="shared" si="88"/>
        <v>320.06572891923685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171.4098825134046</v>
      </c>
      <c r="AA81" s="21">
        <f>EXP(-LN(2)/25)*AA80+(1-EXP(-LN(2)/25))/(LN(2)/25)*Calculateur!V81*Calculateur!X81*VLOOKUP('Données projet'!$B$9,Paramètres!$A$1:$I$89,3,0)*0.475*44/12</f>
        <v>40.117329021626453</v>
      </c>
      <c r="AB81" s="21">
        <f>EXP(-LN(2)/2)*AB80+(1-EXP(-LN(2)/2))/(LN(2)/2)*V81*Y81*VLOOKUP('Données projet'!$B$9,Paramètres!$A$1:$I$89,3,0)*0.475*44/12</f>
        <v>23.345067858220066</v>
      </c>
      <c r="AC81" s="22">
        <f t="shared" si="57"/>
        <v>234.87227939325112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6.5339743589743566</v>
      </c>
      <c r="AI81" s="13">
        <f>IF('Données projet'!$A$62&gt;35,AI80+AH81-AQ80,IF(A81&lt;'Données projet'!$A$62,$AF$205^A81,IF(A81='Données projet'!$A$62,'Données projet'!$B$62,AI80+AH81-AQ80)))</f>
        <v>211.78333333333342</v>
      </c>
      <c r="AJ81" s="13">
        <f>AI81*VLOOKUP('Données projet'!$B$10,Paramètres!$A$1:$I$89,3,0)*VLOOKUP('Données projet'!$B$10,Paramètres!$A$1:$I$89,5,0)</f>
        <v>191.62156000000007</v>
      </c>
      <c r="AK81" s="13">
        <f t="shared" si="89"/>
        <v>47.898279234721343</v>
      </c>
      <c r="AL81" s="20">
        <f t="shared" si="58"/>
        <v>417.16372000047312</v>
      </c>
      <c r="AM81" s="59">
        <f t="shared" si="59"/>
        <v>710.49705333380643</v>
      </c>
      <c r="AN81" s="59">
        <f ca="1">AVERAGE(OFFSET($AM$3,0,0,'Données projet'!$E$10+1,1))-AVERAGE(OFFSET($H$3,0,0,'Données projet'!$E$10+1,1))</f>
        <v>447.91110718952615</v>
      </c>
      <c r="AO81" s="59">
        <f t="shared" si="90"/>
        <v>188.87492758536894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6.5339743589743566</v>
      </c>
      <c r="BD81" s="12">
        <f>IF('Données projet'!$A$88&gt;35,BD80+BC81-BL80,IF(A81&lt;'Données projet'!$A$88,$BA$205^A81,IF(A81='Données projet'!$A$88,'Données projet'!$B$88,BD80+BC81-BL80)))</f>
        <v>211.78333333333342</v>
      </c>
      <c r="BE81" s="13">
        <f>BD81*VLOOKUP('Données projet'!$B$11,Paramètres!$A$1:$I$89,3,0)*VLOOKUP('Données projet'!$B$11,Paramètres!$A$1:$I$89,5,0)</f>
        <v>214.74830000000009</v>
      </c>
      <c r="BF81" s="13">
        <f t="shared" si="91"/>
        <v>52.97185459996733</v>
      </c>
      <c r="BG81" s="20">
        <f t="shared" si="61"/>
        <v>466.2792692616099</v>
      </c>
      <c r="BH81" s="59">
        <f t="shared" si="62"/>
        <v>759.61260259494316</v>
      </c>
      <c r="BI81" s="59">
        <f ca="1">AVERAGE(OFFSET($BH$3,0,0,'Données projet'!$E$11+1,1))-AVERAGE(OFFSET($H$3,0,0,'Données projet'!$E$11+1,1))</f>
        <v>496.71433459306451</v>
      </c>
      <c r="BJ81" s="59">
        <f t="shared" si="92"/>
        <v>206.75063396134982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-6.7984728957526396E-14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355.09162485318728</v>
      </c>
      <c r="T82" s="59">
        <f t="shared" si="88"/>
        <v>320.06572891923685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168.04863926702163</v>
      </c>
      <c r="AA82" s="21">
        <f>EXP(-LN(2)/25)*AA81+(1-EXP(-LN(2)/25))/(LN(2)/25)*Calculateur!V82*Calculateur!X82*VLOOKUP('Données projet'!$B$9,Paramètres!$A$1:$I$89,3,0)*0.475*44/12</f>
        <v>39.020318549851432</v>
      </c>
      <c r="AB82" s="21">
        <f>EXP(-LN(2)/2)*AB81+(1-EXP(-LN(2)/2))/(LN(2)/2)*V82*Y82*VLOOKUP('Données projet'!$B$9,Paramètres!$A$1:$I$89,3,0)*0.475*44/12</f>
        <v>16.507455789807523</v>
      </c>
      <c r="AC82" s="22">
        <f t="shared" si="57"/>
        <v>223.57641360668057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6.5339743589743566</v>
      </c>
      <c r="AI82" s="13">
        <f>IF('Données projet'!$A$62&gt;35,AI81+AH82-AQ81,IF(A82&lt;'Données projet'!$A$62,$AF$205^A82,IF(A82='Données projet'!$A$62,'Données projet'!$B$62,AI81+AH82-AQ81)))</f>
        <v>218.31730769230776</v>
      </c>
      <c r="AJ82" s="13">
        <f>AI82*VLOOKUP('Données projet'!$B$10,Paramètres!$A$1:$I$89,3,0)*VLOOKUP('Données projet'!$B$10,Paramètres!$A$1:$I$89,5,0)</f>
        <v>197.53350000000006</v>
      </c>
      <c r="AK82" s="13">
        <f t="shared" si="89"/>
        <v>49.201714815770728</v>
      </c>
      <c r="AL82" s="20">
        <f t="shared" si="58"/>
        <v>429.73049913746746</v>
      </c>
      <c r="AM82" s="59">
        <f t="shared" si="59"/>
        <v>723.06383247080078</v>
      </c>
      <c r="AN82" s="59">
        <f ca="1">AVERAGE(OFFSET($AM$3,0,0,'Données projet'!$E$10+1,1))-AVERAGE(OFFSET($H$3,0,0,'Données projet'!$E$10+1,1))</f>
        <v>447.91110718952615</v>
      </c>
      <c r="AO82" s="59">
        <f t="shared" si="90"/>
        <v>188.87492758536894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6.5339743589743566</v>
      </c>
      <c r="BD82" s="12">
        <f>IF('Données projet'!$A$88&gt;35,BD81+BC82-BL81,IF(A82&lt;'Données projet'!$A$88,$BA$205^A82,IF(A82='Données projet'!$A$88,'Données projet'!$B$88,BD81+BC82-BL81)))</f>
        <v>218.31730769230776</v>
      </c>
      <c r="BE82" s="13">
        <f>BD82*VLOOKUP('Données projet'!$B$11,Paramètres!$A$1:$I$89,3,0)*VLOOKUP('Données projet'!$B$11,Paramètres!$A$1:$I$89,5,0)</f>
        <v>221.37375000000009</v>
      </c>
      <c r="BF82" s="13">
        <f t="shared" si="91"/>
        <v>54.413355238047011</v>
      </c>
      <c r="BG82" s="20">
        <f t="shared" si="61"/>
        <v>480.32920828959868</v>
      </c>
      <c r="BH82" s="59">
        <f t="shared" si="62"/>
        <v>773.66254162293194</v>
      </c>
      <c r="BI82" s="59">
        <f ca="1">AVERAGE(OFFSET($BH$3,0,0,'Données projet'!$E$11+1,1))-AVERAGE(OFFSET($H$3,0,0,'Données projet'!$E$11+1,1))</f>
        <v>496.71433459306451</v>
      </c>
      <c r="BJ82" s="59">
        <f t="shared" si="92"/>
        <v>206.75063396134982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-6.7984728957526396E-14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355.09162485318728</v>
      </c>
      <c r="T83" s="59">
        <f t="shared" si="88"/>
        <v>320.06572891923685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164.7533079505443</v>
      </c>
      <c r="AA83" s="21">
        <f>EXP(-LN(2)/25)*AA82+(1-EXP(-LN(2)/25))/(LN(2)/25)*Calculateur!V83*Calculateur!X83*VLOOKUP('Données projet'!$B$9,Paramètres!$A$1:$I$89,3,0)*0.475*44/12</f>
        <v>37.953305887116372</v>
      </c>
      <c r="AB83" s="21">
        <f>EXP(-LN(2)/2)*AB82+(1-EXP(-LN(2)/2))/(LN(2)/2)*V83*Y83*VLOOKUP('Données projet'!$B$9,Paramètres!$A$1:$I$89,3,0)*0.475*44/12</f>
        <v>11.672533929110037</v>
      </c>
      <c r="AC83" s="22">
        <f t="shared" si="57"/>
        <v>214.3791477667707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6.5339743589743566</v>
      </c>
      <c r="AI83" s="13">
        <f>IF('Données projet'!$A$62&gt;35,AI82+AH83-AQ82,IF(A83&lt;'Données projet'!$A$62,$AF$205^A83,IF(A83='Données projet'!$A$62,'Données projet'!$B$62,AI82+AH83-AQ82)))</f>
        <v>224.85128205128211</v>
      </c>
      <c r="AJ83" s="13">
        <f>AI83*VLOOKUP('Données projet'!$B$10,Paramètres!$A$1:$I$89,3,0)*VLOOKUP('Données projet'!$B$10,Paramètres!$A$1:$I$89,5,0)</f>
        <v>203.44544000000002</v>
      </c>
      <c r="AK83" s="13">
        <f t="shared" si="89"/>
        <v>50.50061678781659</v>
      </c>
      <c r="AL83" s="20">
        <f t="shared" si="58"/>
        <v>442.28938223878066</v>
      </c>
      <c r="AM83" s="59">
        <f t="shared" si="59"/>
        <v>735.62271557211398</v>
      </c>
      <c r="AN83" s="59">
        <f ca="1">AVERAGE(OFFSET($AM$3,0,0,'Données projet'!$E$10+1,1))-AVERAGE(OFFSET($H$3,0,0,'Données projet'!$E$10+1,1))</f>
        <v>447.91110718952615</v>
      </c>
      <c r="AO83" s="59">
        <f t="shared" si="90"/>
        <v>188.87492758536894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6.5339743589743566</v>
      </c>
      <c r="BD83" s="12">
        <f>IF('Données projet'!$A$88&gt;35,BD82+BC83-BL82,IF(A83&lt;'Données projet'!$A$88,$BA$205^A83,IF(A83='Données projet'!$A$88,'Données projet'!$B$88,BD82+BC83-BL82)))</f>
        <v>224.85128205128211</v>
      </c>
      <c r="BE83" s="13">
        <f>BD83*VLOOKUP('Données projet'!$B$11,Paramètres!$A$1:$I$89,3,0)*VLOOKUP('Données projet'!$B$11,Paramètres!$A$1:$I$89,5,0)</f>
        <v>227.99920000000006</v>
      </c>
      <c r="BF83" s="13">
        <f t="shared" si="91"/>
        <v>55.849842049309061</v>
      </c>
      <c r="BG83" s="20">
        <f t="shared" si="61"/>
        <v>494.3704149025466</v>
      </c>
      <c r="BH83" s="59">
        <f t="shared" si="62"/>
        <v>787.70374823587986</v>
      </c>
      <c r="BI83" s="59">
        <f ca="1">AVERAGE(OFFSET($BH$3,0,0,'Données projet'!$E$11+1,1))-AVERAGE(OFFSET($H$3,0,0,'Données projet'!$E$11+1,1))</f>
        <v>496.71433459306451</v>
      </c>
      <c r="BJ83" s="59">
        <f t="shared" si="92"/>
        <v>206.75063396134982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-6.7984728957526396E-14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355.09162485318728</v>
      </c>
      <c r="T84" s="59">
        <f t="shared" si="88"/>
        <v>320.06572891923685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161.52259607122946</v>
      </c>
      <c r="AA84" s="21">
        <f>EXP(-LN(2)/25)*AA83+(1-EXP(-LN(2)/25))/(LN(2)/25)*Calculateur!V84*Calculateur!X84*VLOOKUP('Données projet'!$B$9,Paramètres!$A$1:$I$89,3,0)*0.475*44/12</f>
        <v>36.915470741755563</v>
      </c>
      <c r="AB84" s="21">
        <f>EXP(-LN(2)/2)*AB83+(1-EXP(-LN(2)/2))/(LN(2)/2)*V84*Y84*VLOOKUP('Données projet'!$B$9,Paramètres!$A$1:$I$89,3,0)*0.475*44/12</f>
        <v>8.2537278949037631</v>
      </c>
      <c r="AC84" s="22">
        <f t="shared" si="57"/>
        <v>206.69179470788879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6.5339743589743566</v>
      </c>
      <c r="AI84" s="13">
        <f>IF('Données projet'!$A$62&gt;35,AI83+AH84-AQ83,IF(A84&lt;'Données projet'!$A$62,$AF$205^A84,IF(A84='Données projet'!$A$62,'Données projet'!$B$62,AI83+AH84-AQ83)))</f>
        <v>231.38525641025646</v>
      </c>
      <c r="AJ84" s="13">
        <f>AI84*VLOOKUP('Données projet'!$B$10,Paramètres!$A$1:$I$89,3,0)*VLOOKUP('Données projet'!$B$10,Paramètres!$A$1:$I$89,5,0)</f>
        <v>209.35738000000003</v>
      </c>
      <c r="AK84" s="13">
        <f t="shared" si="89"/>
        <v>51.79513202169526</v>
      </c>
      <c r="AL84" s="20">
        <f t="shared" si="58"/>
        <v>454.84062510445273</v>
      </c>
      <c r="AM84" s="59">
        <f t="shared" si="59"/>
        <v>748.17395843778604</v>
      </c>
      <c r="AN84" s="59">
        <f ca="1">AVERAGE(OFFSET($AM$3,0,0,'Données projet'!$E$10+1,1))-AVERAGE(OFFSET($H$3,0,0,'Données projet'!$E$10+1,1))</f>
        <v>447.91110718952615</v>
      </c>
      <c r="AO84" s="59">
        <f t="shared" si="90"/>
        <v>188.87492758536894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6.5339743589743566</v>
      </c>
      <c r="BD84" s="12">
        <f>IF('Données projet'!$A$88&gt;35,BD83+BC84-BL83,IF(A84&lt;'Données projet'!$A$88,$BA$205^A84,IF(A84='Données projet'!$A$88,'Données projet'!$B$88,BD83+BC84-BL83)))</f>
        <v>231.38525641025646</v>
      </c>
      <c r="BE84" s="13">
        <f>BD84*VLOOKUP('Données projet'!$B$11,Paramètres!$A$1:$I$89,3,0)*VLOOKUP('Données projet'!$B$11,Paramètres!$A$1:$I$89,5,0)</f>
        <v>234.62465000000006</v>
      </c>
      <c r="BF84" s="13">
        <f t="shared" si="91"/>
        <v>57.281477461730262</v>
      </c>
      <c r="BG84" s="20">
        <f t="shared" si="61"/>
        <v>508.40317199584689</v>
      </c>
      <c r="BH84" s="59">
        <f t="shared" si="62"/>
        <v>801.7365053291802</v>
      </c>
      <c r="BI84" s="59">
        <f ca="1">AVERAGE(OFFSET($BH$3,0,0,'Données projet'!$E$11+1,1))-AVERAGE(OFFSET($H$3,0,0,'Données projet'!$E$11+1,1))</f>
        <v>496.71433459306451</v>
      </c>
      <c r="BJ84" s="59">
        <f t="shared" si="92"/>
        <v>206.75063396134982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-6.7984728957526396E-14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355.09162485318728</v>
      </c>
      <c r="T85" s="59">
        <f t="shared" si="88"/>
        <v>320.06572891923685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158.35523648132829</v>
      </c>
      <c r="AA85" s="21">
        <f>EXP(-LN(2)/25)*AA84+(1-EXP(-LN(2)/25))/(LN(2)/25)*Calculateur!V85*Calculateur!X85*VLOOKUP('Données projet'!$B$9,Paramètres!$A$1:$I$89,3,0)*0.475*44/12</f>
        <v>35.906015253022019</v>
      </c>
      <c r="AB85" s="21">
        <f>EXP(-LN(2)/2)*AB84+(1-EXP(-LN(2)/2))/(LN(2)/2)*V85*Y85*VLOOKUP('Données projet'!$B$9,Paramètres!$A$1:$I$89,3,0)*0.475*44/12</f>
        <v>5.8362669645550191</v>
      </c>
      <c r="AC85" s="22">
        <f t="shared" si="57"/>
        <v>200.09751869890533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6.5339743589743566</v>
      </c>
      <c r="AI85" s="13">
        <f>IF('Données projet'!$A$62&gt;35,AI84+AH85-AQ84,IF(A85&lt;'Données projet'!$A$62,$AF$205^A85,IF(A85='Données projet'!$A$62,'Données projet'!$B$62,AI84+AH85-AQ84)))</f>
        <v>237.91923076923081</v>
      </c>
      <c r="AJ85" s="13">
        <f>AI85*VLOOKUP('Données projet'!$B$10,Paramètres!$A$1:$I$89,3,0)*VLOOKUP('Données projet'!$B$10,Paramètres!$A$1:$I$89,5,0)</f>
        <v>215.26932000000002</v>
      </c>
      <c r="AK85" s="13">
        <f t="shared" si="89"/>
        <v>53.085398621543455</v>
      </c>
      <c r="AL85" s="20">
        <f t="shared" si="58"/>
        <v>467.38446826585488</v>
      </c>
      <c r="AM85" s="59">
        <f t="shared" si="59"/>
        <v>760.71780159918819</v>
      </c>
      <c r="AN85" s="59">
        <f ca="1">AVERAGE(OFFSET($AM$3,0,0,'Données projet'!$E$10+1,1))-AVERAGE(OFFSET($H$3,0,0,'Données projet'!$E$10+1,1))</f>
        <v>447.91110718952615</v>
      </c>
      <c r="AO85" s="59">
        <f t="shared" si="90"/>
        <v>188.87492758536894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6.5339743589743566</v>
      </c>
      <c r="BD85" s="12">
        <f>IF('Données projet'!$A$88&gt;35,BD84+BC85-BL84,IF(A85&lt;'Données projet'!$A$88,$BA$205^A85,IF(A85='Données projet'!$A$88,'Données projet'!$B$88,BD84+BC85-BL84)))</f>
        <v>237.91923076923081</v>
      </c>
      <c r="BE85" s="13">
        <f>BD85*VLOOKUP('Données projet'!$B$11,Paramètres!$A$1:$I$89,3,0)*VLOOKUP('Données projet'!$B$11,Paramètres!$A$1:$I$89,5,0)</f>
        <v>241.25010000000006</v>
      </c>
      <c r="BF85" s="13">
        <f t="shared" si="91"/>
        <v>58.708414207984134</v>
      </c>
      <c r="BG85" s="20">
        <f t="shared" si="61"/>
        <v>522.42774557890573</v>
      </c>
      <c r="BH85" s="59">
        <f t="shared" si="62"/>
        <v>815.7610789122391</v>
      </c>
      <c r="BI85" s="59">
        <f ca="1">AVERAGE(OFFSET($BH$3,0,0,'Données projet'!$E$11+1,1))-AVERAGE(OFFSET($H$3,0,0,'Données projet'!$E$11+1,1))</f>
        <v>496.71433459306451</v>
      </c>
      <c r="BJ85" s="59">
        <f t="shared" si="92"/>
        <v>206.75063396134982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355.09162485318728</v>
      </c>
      <c r="T86" s="59">
        <f t="shared" si="88"/>
        <v>320.06572891923685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155.2499868810865</v>
      </c>
      <c r="AA86" s="21">
        <f>EXP(-LN(2)/25)*AA85+(1-EXP(-LN(2)/25))/(LN(2)/25)*Calculateur!V86*Calculateur!X86*VLOOKUP('Données projet'!$B$9,Paramètres!$A$1:$I$89,3,0)*0.475*44/12</f>
        <v>34.924163377712851</v>
      </c>
      <c r="AB86" s="21">
        <f>EXP(-LN(2)/2)*AB85+(1-EXP(-LN(2)/2))/(LN(2)/2)*V86*Y86*VLOOKUP('Données projet'!$B$9,Paramètres!$A$1:$I$89,3,0)*0.475*44/12</f>
        <v>4.1268639474518825</v>
      </c>
      <c r="AC86" s="22">
        <f t="shared" si="57"/>
        <v>194.30101420625124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6.5339743589743566</v>
      </c>
      <c r="AI86" s="13">
        <f>IF('Données projet'!$A$62&gt;35,AI85+AH86-AQ85,IF(A86&lt;'Données projet'!$A$62,$AF$205^A86,IF(A86='Données projet'!$A$62,'Données projet'!$B$62,AI85+AH86-AQ85)))</f>
        <v>244.45320512820516</v>
      </c>
      <c r="AJ86" s="13">
        <f>AI86*VLOOKUP('Données projet'!$B$10,Paramètres!$A$1:$I$89,3,0)*VLOOKUP('Données projet'!$B$10,Paramètres!$A$1:$I$89,5,0)</f>
        <v>221.18126000000004</v>
      </c>
      <c r="AK86" s="13">
        <f t="shared" si="89"/>
        <v>54.371546674285838</v>
      </c>
      <c r="AL86" s="20">
        <f t="shared" si="58"/>
        <v>479.92113829104784</v>
      </c>
      <c r="AM86" s="59">
        <f t="shared" si="59"/>
        <v>773.25447162438115</v>
      </c>
      <c r="AN86" s="59">
        <f ca="1">AVERAGE(OFFSET($AM$3,0,0,'Données projet'!$E$10+1,1))-AVERAGE(OFFSET($H$3,0,0,'Données projet'!$E$10+1,1))</f>
        <v>447.91110718952615</v>
      </c>
      <c r="AO86" s="59">
        <f t="shared" si="90"/>
        <v>188.87492758536894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6.5339743589743566</v>
      </c>
      <c r="BD86" s="12">
        <f>IF('Données projet'!$A$88&gt;35,BD85+BC86-BL85,IF(A86&lt;'Données projet'!$A$88,$BA$205^A86,IF(A86='Données projet'!$A$88,'Données projet'!$B$88,BD85+BC86-BL85)))</f>
        <v>244.45320512820516</v>
      </c>
      <c r="BE86" s="13">
        <f>BD86*VLOOKUP('Données projet'!$B$11,Paramètres!$A$1:$I$89,3,0)*VLOOKUP('Données projet'!$B$11,Paramètres!$A$1:$I$89,5,0)</f>
        <v>247.87555000000003</v>
      </c>
      <c r="BF86" s="13">
        <f t="shared" si="91"/>
        <v>60.130796154317416</v>
      </c>
      <c r="BG86" s="20">
        <f t="shared" si="61"/>
        <v>536.44438621876941</v>
      </c>
      <c r="BH86" s="59">
        <f t="shared" si="62"/>
        <v>829.77771955210278</v>
      </c>
      <c r="BI86" s="59">
        <f ca="1">AVERAGE(OFFSET($BH$3,0,0,'Données projet'!$E$11+1,1))-AVERAGE(OFFSET($H$3,0,0,'Données projet'!$E$11+1,1))</f>
        <v>496.71433459306451</v>
      </c>
      <c r="BJ86" s="59">
        <f t="shared" si="92"/>
        <v>206.75063396134982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355.09162485318728</v>
      </c>
      <c r="T87" s="59">
        <f t="shared" si="88"/>
        <v>320.06572891923685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152.20562933149023</v>
      </c>
      <c r="AA87" s="21">
        <f>EXP(-LN(2)/25)*AA86+(1-EXP(-LN(2)/25))/(LN(2)/25)*Calculateur!V87*Calculateur!X87*VLOOKUP('Données projet'!$B$9,Paramètres!$A$1:$I$89,3,0)*0.475*44/12</f>
        <v>33.969160293567363</v>
      </c>
      <c r="AB87" s="21">
        <f>EXP(-LN(2)/2)*AB86+(1-EXP(-LN(2)/2))/(LN(2)/2)*V87*Y87*VLOOKUP('Données projet'!$B$9,Paramètres!$A$1:$I$89,3,0)*0.475*44/12</f>
        <v>2.91813348227751</v>
      </c>
      <c r="AC87" s="22">
        <f t="shared" si="57"/>
        <v>189.09292310733511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250.98717948717945</v>
      </c>
      <c r="AG87" s="12">
        <f>VLOOKUP(A87,'Données projet'!$A$61:$I$81,9,0)</f>
        <v>6.5339743589743566</v>
      </c>
      <c r="AH87" s="12">
        <f t="array" ref="AH87">INDEX(AG:AG,MIN(IF(ISNUMBER(AG87:AG283),ROW(AG87:AG283),"")))</f>
        <v>6.5339743589743566</v>
      </c>
      <c r="AI87" s="13">
        <f>IF('Données projet'!$A$62&gt;35,AI86+AH87-AQ86,IF(A87&lt;'Données projet'!$A$62,$AF$205^A87,IF(A87='Données projet'!$A$62,'Données projet'!$B$62,AI86+AH87-AQ86)))</f>
        <v>250.9871794871795</v>
      </c>
      <c r="AJ87" s="13">
        <f>AI87*VLOOKUP('Données projet'!$B$10,Paramètres!$A$1:$I$89,3,0)*VLOOKUP('Données projet'!$B$10,Paramètres!$A$1:$I$89,5,0)</f>
        <v>227.09320000000002</v>
      </c>
      <c r="AK87" s="13">
        <f t="shared" si="89"/>
        <v>55.653698916736445</v>
      </c>
      <c r="AL87" s="20">
        <f t="shared" si="58"/>
        <v>492.45084894664933</v>
      </c>
      <c r="AM87" s="59">
        <f t="shared" si="59"/>
        <v>785.78418227998259</v>
      </c>
      <c r="AN87" s="59">
        <f ca="1">AVERAGE(OFFSET($AM$3,0,0,'Données projet'!$E$10+1,1))-AVERAGE(OFFSET($H$3,0,0,'Données projet'!$E$10+1,1))</f>
        <v>447.91110718952615</v>
      </c>
      <c r="AO87" s="59">
        <f t="shared" si="90"/>
        <v>188.87492758536894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47.256410256410255</v>
      </c>
      <c r="AR87" s="16">
        <f>IF(ISNA(VLOOKUP(A87,'Données projet'!$A$61:$I$81,5,0)),0%,VLOOKUP(A87,'Données projet'!$A$61:$I$81,5,0)*VLOOKUP('Données projet'!$B$10,Paramètres!$A$1:$I$89,7,0))</f>
        <v>0.30099999999999999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14.227445350275339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14.227445350275339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250.98717948717945</v>
      </c>
      <c r="BB87" s="12">
        <f>VLOOKUP(A87,'Données projet'!$A$87:$I$107,9,0)</f>
        <v>6.5339743589743566</v>
      </c>
      <c r="BC87" s="12">
        <f t="array" ref="BC87">INDEX(BB:BB,MIN(IF(ISNUMBER(BB87:BB283),ROW(BB87:BB283),"")))</f>
        <v>6.5339743589743566</v>
      </c>
      <c r="BD87" s="12">
        <f>IF('Données projet'!$A$88&gt;35,BD86+BC87-BL86,IF(A87&lt;'Données projet'!$A$88,$BA$205^A87,IF(A87='Données projet'!$A$88,'Données projet'!$B$88,BD86+BC87-BL86)))</f>
        <v>250.9871794871795</v>
      </c>
      <c r="BE87" s="13">
        <f>BD87*VLOOKUP('Données projet'!$B$11,Paramètres!$A$1:$I$89,3,0)*VLOOKUP('Données projet'!$B$11,Paramètres!$A$1:$I$89,5,0)</f>
        <v>254.50100000000003</v>
      </c>
      <c r="BF87" s="13">
        <f t="shared" si="91"/>
        <v>61.548759038313506</v>
      </c>
      <c r="BG87" s="20">
        <f t="shared" si="61"/>
        <v>550.45333032506278</v>
      </c>
      <c r="BH87" s="59">
        <f t="shared" si="62"/>
        <v>843.78666365839604</v>
      </c>
      <c r="BI87" s="59">
        <f ca="1">AVERAGE(OFFSET($BH$3,0,0,'Données projet'!$E$11+1,1))-AVERAGE(OFFSET($H$3,0,0,'Données projet'!$E$11+1,1))</f>
        <v>496.71433459306451</v>
      </c>
      <c r="BJ87" s="59">
        <f t="shared" si="92"/>
        <v>206.75063396134982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47.256410256410255</v>
      </c>
      <c r="BM87" s="16">
        <f>IF(ISNA(VLOOKUP(A87,'Données projet'!$A$87:$I$107,5,0)),0%,VLOOKUP(A87,'Données projet'!$A$87:$I$107,5,0)*VLOOKUP('Données projet'!$B$11,Paramètres!$A$1:$I$89,7,0))</f>
        <v>0.30099999999999999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15.944550823584429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15.944550823584429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355.09162485318728</v>
      </c>
      <c r="T88" s="59">
        <f t="shared" si="88"/>
        <v>320.06572891923685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149.22096977656679</v>
      </c>
      <c r="AA88" s="21">
        <f>EXP(-LN(2)/25)*AA87+(1-EXP(-LN(2)/25))/(LN(2)/25)*Calculateur!V88*Calculateur!X88*VLOOKUP('Données projet'!$B$9,Paramètres!$A$1:$I$89,3,0)*0.475*44/12</f>
        <v>33.040271818979264</v>
      </c>
      <c r="AB88" s="21">
        <f>EXP(-LN(2)/2)*AB87+(1-EXP(-LN(2)/2))/(LN(2)/2)*V88*Y88*VLOOKUP('Données projet'!$B$9,Paramètres!$A$1:$I$89,3,0)*0.475*44/12</f>
        <v>2.0634319737259412</v>
      </c>
      <c r="AC88" s="22">
        <f t="shared" si="57"/>
        <v>184.32467356927199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6.2512820512820522</v>
      </c>
      <c r="AI88" s="13">
        <f>IF('Données projet'!$A$62&gt;35,AI87+AH88-AQ87,IF(A88&lt;'Données projet'!$A$62,$AF$205^A88,IF(A88='Données projet'!$A$62,'Données projet'!$B$62,AI87+AH88-AQ87)))</f>
        <v>209.98205128205129</v>
      </c>
      <c r="AJ88" s="13">
        <f>AI88*VLOOKUP('Données projet'!$B$10,Paramètres!$A$1:$I$89,3,0)*VLOOKUP('Données projet'!$B$10,Paramètres!$A$1:$I$89,5,0)</f>
        <v>189.99176</v>
      </c>
      <c r="AK88" s="13">
        <f t="shared" si="89"/>
        <v>47.538131099623079</v>
      </c>
      <c r="AL88" s="20">
        <f t="shared" si="58"/>
        <v>413.69789366517688</v>
      </c>
      <c r="AM88" s="59">
        <f t="shared" si="59"/>
        <v>707.03122699851019</v>
      </c>
      <c r="AN88" s="59">
        <f ca="1">AVERAGE(OFFSET($AM$3,0,0,'Données projet'!$E$10+1,1))-AVERAGE(OFFSET($H$3,0,0,'Données projet'!$E$10+1,1))</f>
        <v>447.91110718952615</v>
      </c>
      <c r="AO88" s="59">
        <f t="shared" si="90"/>
        <v>188.87492758536894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13.948453824841232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13.948453824841232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6.2512820512820522</v>
      </c>
      <c r="BD88" s="12">
        <f>IF('Données projet'!$A$88&gt;35,BD87+BC88-BL87,IF(A88&lt;'Données projet'!$A$88,$BA$205^A88,IF(A88='Données projet'!$A$88,'Données projet'!$B$88,BD87+BC88-BL87)))</f>
        <v>209.98205128205129</v>
      </c>
      <c r="BE88" s="13">
        <f>BD88*VLOOKUP('Données projet'!$B$11,Paramètres!$A$1:$I$89,3,0)*VLOOKUP('Données projet'!$B$11,Paramètres!$A$1:$I$89,5,0)</f>
        <v>212.92180000000002</v>
      </c>
      <c r="BF88" s="13">
        <f t="shared" si="91"/>
        <v>52.573558148577327</v>
      </c>
      <c r="BG88" s="20">
        <f t="shared" si="61"/>
        <v>462.40441544210552</v>
      </c>
      <c r="BH88" s="59">
        <f t="shared" si="62"/>
        <v>755.73774877543883</v>
      </c>
      <c r="BI88" s="59">
        <f ca="1">AVERAGE(OFFSET($BH$3,0,0,'Données projet'!$E$11+1,1))-AVERAGE(OFFSET($H$3,0,0,'Données projet'!$E$11+1,1))</f>
        <v>496.71433459306451</v>
      </c>
      <c r="BJ88" s="59">
        <f t="shared" si="92"/>
        <v>206.75063396134982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15.631887907149656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15.631887907149656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355.09162485318728</v>
      </c>
      <c r="T89" s="59">
        <f t="shared" si="88"/>
        <v>320.06572891923685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146.29483757505281</v>
      </c>
      <c r="AA89" s="21">
        <f>EXP(-LN(2)/25)*AA88+(1-EXP(-LN(2)/25))/(LN(2)/25)*Calculateur!V89*Calculateur!X89*VLOOKUP('Données projet'!$B$9,Paramètres!$A$1:$I$89,3,0)*0.475*44/12</f>
        <v>32.136783848576897</v>
      </c>
      <c r="AB89" s="21">
        <f>EXP(-LN(2)/2)*AB88+(1-EXP(-LN(2)/2))/(LN(2)/2)*V89*Y89*VLOOKUP('Données projet'!$B$9,Paramètres!$A$1:$I$89,3,0)*0.475*44/12</f>
        <v>1.459066741138755</v>
      </c>
      <c r="AC89" s="22">
        <f t="shared" si="57"/>
        <v>179.89068816476845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6.2512820512820522</v>
      </c>
      <c r="AI89" s="13">
        <f>IF('Données projet'!$A$62&gt;35,AI88+AH89-AQ88,IF(A89&lt;'Données projet'!$A$62,$AF$205^A89,IF(A89='Données projet'!$A$62,'Données projet'!$B$62,AI88+AH89-AQ88)))</f>
        <v>216.23333333333335</v>
      </c>
      <c r="AJ89" s="13">
        <f>AI89*VLOOKUP('Données projet'!$B$10,Paramètres!$A$1:$I$89,3,0)*VLOOKUP('Données projet'!$B$10,Paramètres!$A$1:$I$89,5,0)</f>
        <v>195.64792</v>
      </c>
      <c r="AK89" s="13">
        <f t="shared" si="89"/>
        <v>48.786491034291537</v>
      </c>
      <c r="AL89" s="20">
        <f t="shared" si="58"/>
        <v>425.72326588472441</v>
      </c>
      <c r="AM89" s="59">
        <f t="shared" si="59"/>
        <v>719.05659921805773</v>
      </c>
      <c r="AN89" s="59">
        <f ca="1">AVERAGE(OFFSET($AM$3,0,0,'Données projet'!$E$10+1,1))-AVERAGE(OFFSET($H$3,0,0,'Données projet'!$E$10+1,1))</f>
        <v>447.91110718952615</v>
      </c>
      <c r="AO89" s="59">
        <f t="shared" si="90"/>
        <v>188.87492758536894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13.674933153052862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13.674933153052862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6.2512820512820522</v>
      </c>
      <c r="BD89" s="12">
        <f>IF('Données projet'!$A$88&gt;35,BD88+BC89-BL88,IF(A89&lt;'Données projet'!$A$88,$BA$205^A89,IF(A89='Données projet'!$A$88,'Données projet'!$B$88,BD88+BC89-BL88)))</f>
        <v>216.23333333333335</v>
      </c>
      <c r="BE89" s="13">
        <f>BD89*VLOOKUP('Données projet'!$B$11,Paramètres!$A$1:$I$89,3,0)*VLOOKUP('Données projet'!$B$11,Paramètres!$A$1:$I$89,5,0)</f>
        <v>219.26060000000001</v>
      </c>
      <c r="BF89" s="13">
        <f t="shared" si="91"/>
        <v>53.954149309767644</v>
      </c>
      <c r="BG89" s="20">
        <f t="shared" si="61"/>
        <v>475.84902171451193</v>
      </c>
      <c r="BH89" s="59">
        <f t="shared" si="62"/>
        <v>769.18235504784525</v>
      </c>
      <c r="BI89" s="59">
        <f ca="1">AVERAGE(OFFSET($BH$3,0,0,'Données projet'!$E$11+1,1))-AVERAGE(OFFSET($H$3,0,0,'Données projet'!$E$11+1,1))</f>
        <v>496.71433459306451</v>
      </c>
      <c r="BJ89" s="59">
        <f t="shared" si="92"/>
        <v>206.75063396134982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15.32535611980062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15.32535611980062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355.09162485318728</v>
      </c>
      <c r="T90" s="59">
        <f t="shared" si="88"/>
        <v>320.06572891923685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143.42608504124613</v>
      </c>
      <c r="AA90" s="21">
        <f>EXP(-LN(2)/25)*AA89+(1-EXP(-LN(2)/25))/(LN(2)/25)*Calculateur!V90*Calculateur!X90*VLOOKUP('Données projet'!$B$9,Paramètres!$A$1:$I$89,3,0)*0.475*44/12</f>
        <v>31.258001804237548</v>
      </c>
      <c r="AB90" s="21">
        <f>EXP(-LN(2)/2)*AB89+(1-EXP(-LN(2)/2))/(LN(2)/2)*V90*Y90*VLOOKUP('Données projet'!$B$9,Paramètres!$A$1:$I$89,3,0)*0.475*44/12</f>
        <v>1.0317159868629706</v>
      </c>
      <c r="AC90" s="22">
        <f t="shared" si="57"/>
        <v>175.71580283234664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6.2512820512820522</v>
      </c>
      <c r="AI90" s="13">
        <f>IF('Données projet'!$A$62&gt;35,AI89+AH90-AQ89,IF(A90&lt;'Données projet'!$A$62,$AF$205^A90,IF(A90='Données projet'!$A$62,'Données projet'!$B$62,AI89+AH90-AQ89)))</f>
        <v>222.48461538461541</v>
      </c>
      <c r="AJ90" s="13">
        <f>AI90*VLOOKUP('Données projet'!$B$10,Paramètres!$A$1:$I$89,3,0)*VLOOKUP('Données projet'!$B$10,Paramètres!$A$1:$I$89,5,0)</f>
        <v>201.30408000000003</v>
      </c>
      <c r="AK90" s="13">
        <f t="shared" si="89"/>
        <v>50.030656541767812</v>
      </c>
      <c r="AL90" s="20">
        <f t="shared" si="58"/>
        <v>437.74133281024564</v>
      </c>
      <c r="AM90" s="59">
        <f t="shared" si="59"/>
        <v>731.07466614357895</v>
      </c>
      <c r="AN90" s="59">
        <f ca="1">AVERAGE(OFFSET($AM$3,0,0,'Données projet'!$E$10+1,1))-AVERAGE(OFFSET($H$3,0,0,'Données projet'!$E$10+1,1))</f>
        <v>447.91110718952615</v>
      </c>
      <c r="AO90" s="59">
        <f t="shared" si="90"/>
        <v>188.87492758536894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13.406776054807125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13.406776054807125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6.2512820512820522</v>
      </c>
      <c r="BD90" s="12">
        <f>IF('Données projet'!$A$88&gt;35,BD89+BC90-BL89,IF(A90&lt;'Données projet'!$A$88,$BA$205^A90,IF(A90='Données projet'!$A$88,'Données projet'!$B$88,BD89+BC90-BL89)))</f>
        <v>222.48461538461541</v>
      </c>
      <c r="BE90" s="13">
        <f>BD90*VLOOKUP('Données projet'!$B$11,Paramètres!$A$1:$I$89,3,0)*VLOOKUP('Données projet'!$B$11,Paramètres!$A$1:$I$89,5,0)</f>
        <v>225.59940000000003</v>
      </c>
      <c r="BF90" s="13">
        <f t="shared" si="91"/>
        <v>55.330101753431904</v>
      </c>
      <c r="BG90" s="20">
        <f t="shared" si="61"/>
        <v>489.28554888722721</v>
      </c>
      <c r="BH90" s="59">
        <f t="shared" si="62"/>
        <v>782.61888222056052</v>
      </c>
      <c r="BI90" s="59">
        <f ca="1">AVERAGE(OFFSET($BH$3,0,0,'Données projet'!$E$11+1,1))-AVERAGE(OFFSET($H$3,0,0,'Données projet'!$E$11+1,1))</f>
        <v>496.71433459306451</v>
      </c>
      <c r="BJ90" s="59">
        <f t="shared" si="92"/>
        <v>206.75063396134982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15.024835233835569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15.024835233835569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355.09162485318728</v>
      </c>
      <c r="T91" s="59">
        <f t="shared" si="88"/>
        <v>320.06572891923685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140.61358699486109</v>
      </c>
      <c r="AA91" s="21">
        <f>EXP(-LN(2)/25)*AA90+(1-EXP(-LN(2)/25))/(LN(2)/25)*Calculateur!V91*Calculateur!X91*VLOOKUP('Données projet'!$B$9,Paramètres!$A$1:$I$89,3,0)*0.475*44/12</f>
        <v>30.403250101113798</v>
      </c>
      <c r="AB91" s="21">
        <f>EXP(-LN(2)/2)*AB90+(1-EXP(-LN(2)/2))/(LN(2)/2)*V91*Y91*VLOOKUP('Données projet'!$B$9,Paramètres!$A$1:$I$89,3,0)*0.475*44/12</f>
        <v>0.7295333705693775</v>
      </c>
      <c r="AC91" s="22">
        <f t="shared" si="57"/>
        <v>171.74637046654428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6.2512820512820522</v>
      </c>
      <c r="AI91" s="13">
        <f>IF('Données projet'!$A$62&gt;35,AI90+AH91-AQ90,IF(A91&lt;'Données projet'!$A$62,$AF$205^A91,IF(A91='Données projet'!$A$62,'Données projet'!$B$62,AI90+AH91-AQ90)))</f>
        <v>228.73589743589747</v>
      </c>
      <c r="AJ91" s="13">
        <f>AI91*VLOOKUP('Données projet'!$B$10,Paramètres!$A$1:$I$89,3,0)*VLOOKUP('Données projet'!$B$10,Paramètres!$A$1:$I$89,5,0)</f>
        <v>206.96024000000003</v>
      </c>
      <c r="AK91" s="13">
        <f t="shared" si="89"/>
        <v>51.270759013587337</v>
      </c>
      <c r="AL91" s="20">
        <f t="shared" si="58"/>
        <v>449.75232328199803</v>
      </c>
      <c r="AM91" s="59">
        <f t="shared" si="59"/>
        <v>743.08565661533135</v>
      </c>
      <c r="AN91" s="59">
        <f ca="1">AVERAGE(OFFSET($AM$3,0,0,'Données projet'!$E$10+1,1))-AVERAGE(OFFSET($H$3,0,0,'Données projet'!$E$10+1,1))</f>
        <v>447.91110718952615</v>
      </c>
      <c r="AO91" s="59">
        <f t="shared" si="90"/>
        <v>188.87492758536894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13.143877353698306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13.143877353698306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6.2512820512820522</v>
      </c>
      <c r="BD91" s="12">
        <f>IF('Données projet'!$A$88&gt;35,BD90+BC91-BL90,IF(A91&lt;'Données projet'!$A$88,$BA$205^A91,IF(A91='Données projet'!$A$88,'Données projet'!$B$88,BD90+BC91-BL90)))</f>
        <v>228.73589743589747</v>
      </c>
      <c r="BE91" s="13">
        <f>BD91*VLOOKUP('Données projet'!$B$11,Paramètres!$A$1:$I$89,3,0)*VLOOKUP('Données projet'!$B$11,Paramètres!$A$1:$I$89,5,0)</f>
        <v>231.93820000000005</v>
      </c>
      <c r="BF91" s="13">
        <f t="shared" si="91"/>
        <v>56.701560788617144</v>
      </c>
      <c r="BG91" s="20">
        <f t="shared" si="61"/>
        <v>502.71425004017493</v>
      </c>
      <c r="BH91" s="59">
        <f t="shared" si="62"/>
        <v>796.04758337350825</v>
      </c>
      <c r="BI91" s="59">
        <f ca="1">AVERAGE(OFFSET($BH$3,0,0,'Données projet'!$E$11+1,1))-AVERAGE(OFFSET($H$3,0,0,'Données projet'!$E$11+1,1))</f>
        <v>496.71433459306451</v>
      </c>
      <c r="BJ91" s="59">
        <f t="shared" si="92"/>
        <v>206.75063396134982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14.730207379144652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14.730207379144652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355.09162485318728</v>
      </c>
      <c r="T92" s="59">
        <f t="shared" si="88"/>
        <v>320.06572891923685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137.85624031971128</v>
      </c>
      <c r="AA92" s="21">
        <f>EXP(-LN(2)/25)*AA91+(1-EXP(-LN(2)/25))/(LN(2)/25)*Calculateur!V92*Calculateur!X92*VLOOKUP('Données projet'!$B$9,Paramètres!$A$1:$I$89,3,0)*0.475*44/12</f>
        <v>29.571871628261405</v>
      </c>
      <c r="AB92" s="21">
        <f>EXP(-LN(2)/2)*AB91+(1-EXP(-LN(2)/2))/(LN(2)/2)*V92*Y92*VLOOKUP('Données projet'!$B$9,Paramètres!$A$1:$I$89,3,0)*0.475*44/12</f>
        <v>0.51585799343148531</v>
      </c>
      <c r="AC92" s="22">
        <f t="shared" si="57"/>
        <v>167.94396994140419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6.2512820512820522</v>
      </c>
      <c r="AI92" s="13">
        <f>IF('Données projet'!$A$62&gt;35,AI91+AH92-AQ91,IF(A92&lt;'Données projet'!$A$62,$AF$205^A92,IF(A92='Données projet'!$A$62,'Données projet'!$B$62,AI91+AH92-AQ91)))</f>
        <v>234.98717948717953</v>
      </c>
      <c r="AJ92" s="13">
        <f>AI92*VLOOKUP('Données projet'!$B$10,Paramètres!$A$1:$I$89,3,0)*VLOOKUP('Données projet'!$B$10,Paramètres!$A$1:$I$89,5,0)</f>
        <v>212.61640000000003</v>
      </c>
      <c r="AK92" s="13">
        <f t="shared" si="89"/>
        <v>52.506922250744786</v>
      </c>
      <c r="AL92" s="20">
        <f t="shared" si="58"/>
        <v>461.7564529200472</v>
      </c>
      <c r="AM92" s="59">
        <f t="shared" si="59"/>
        <v>755.08978625338045</v>
      </c>
      <c r="AN92" s="59">
        <f ca="1">AVERAGE(OFFSET($AM$3,0,0,'Données projet'!$E$10+1,1))-AVERAGE(OFFSET($H$3,0,0,'Données projet'!$E$10+1,1))</f>
        <v>447.91110718952615</v>
      </c>
      <c r="AO92" s="59">
        <f t="shared" si="90"/>
        <v>188.87492758536894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12.886133935765857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12.886133935765857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6.2512820512820522</v>
      </c>
      <c r="BD92" s="12">
        <f>IF('Données projet'!$A$88&gt;35,BD91+BC92-BL91,IF(A92&lt;'Données projet'!$A$88,$BA$205^A92,IF(A92='Données projet'!$A$88,'Données projet'!$B$88,BD91+BC92-BL91)))</f>
        <v>234.98717948717953</v>
      </c>
      <c r="BE92" s="13">
        <f>BD92*VLOOKUP('Données projet'!$B$11,Paramètres!$A$1:$I$89,3,0)*VLOOKUP('Données projet'!$B$11,Paramètres!$A$1:$I$89,5,0)</f>
        <v>238.27700000000007</v>
      </c>
      <c r="BF92" s="13">
        <f t="shared" si="91"/>
        <v>58.06866332980956</v>
      </c>
      <c r="BG92" s="20">
        <f t="shared" si="61"/>
        <v>516.13536363275171</v>
      </c>
      <c r="BH92" s="59">
        <f t="shared" si="62"/>
        <v>809.46869696608496</v>
      </c>
      <c r="BI92" s="59">
        <f ca="1">AVERAGE(OFFSET($BH$3,0,0,'Données projet'!$E$11+1,1))-AVERAGE(OFFSET($H$3,0,0,'Données projet'!$E$11+1,1))</f>
        <v>496.71433459306451</v>
      </c>
      <c r="BJ92" s="59">
        <f t="shared" si="92"/>
        <v>206.75063396134982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14.441356996978977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14.441356996978977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355.09162485318728</v>
      </c>
      <c r="T93" s="59">
        <f t="shared" si="88"/>
        <v>320.06572891923685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135.15296353104571</v>
      </c>
      <c r="AA93" s="21">
        <f>EXP(-LN(2)/25)*AA92+(1-EXP(-LN(2)/25))/(LN(2)/25)*Calculateur!V93*Calculateur!X93*VLOOKUP('Données projet'!$B$9,Paramètres!$A$1:$I$89,3,0)*0.475*44/12</f>
        <v>28.763227243469455</v>
      </c>
      <c r="AB93" s="21">
        <f>EXP(-LN(2)/2)*AB92+(1-EXP(-LN(2)/2))/(LN(2)/2)*V93*Y93*VLOOKUP('Données projet'!$B$9,Paramètres!$A$1:$I$89,3,0)*0.475*44/12</f>
        <v>0.36476668528468875</v>
      </c>
      <c r="AC93" s="22">
        <f t="shared" si="57"/>
        <v>164.28095745979985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6.2512820512820522</v>
      </c>
      <c r="AI93" s="13">
        <f>IF('Données projet'!$A$62&gt;35,AI92+AH93-AQ92,IF(A93&lt;'Données projet'!$A$62,$AF$205^A93,IF(A93='Données projet'!$A$62,'Données projet'!$B$62,AI92+AH93-AQ92)))</f>
        <v>241.23846153846159</v>
      </c>
      <c r="AJ93" s="13">
        <f>AI93*VLOOKUP('Données projet'!$B$10,Paramètres!$A$1:$I$89,3,0)*VLOOKUP('Données projet'!$B$10,Paramètres!$A$1:$I$89,5,0)</f>
        <v>218.27256000000003</v>
      </c>
      <c r="AK93" s="13">
        <f t="shared" si="89"/>
        <v>53.739263092310814</v>
      </c>
      <c r="AL93" s="20">
        <f t="shared" si="58"/>
        <v>473.75392521910811</v>
      </c>
      <c r="AM93" s="59">
        <f t="shared" si="59"/>
        <v>767.08725855244143</v>
      </c>
      <c r="AN93" s="59">
        <f ca="1">AVERAGE(OFFSET($AM$3,0,0,'Données projet'!$E$10+1,1))-AVERAGE(OFFSET($H$3,0,0,'Données projet'!$E$10+1,1))</f>
        <v>447.91110718952615</v>
      </c>
      <c r="AO93" s="59">
        <f t="shared" si="90"/>
        <v>188.87492758536894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12.633444709051101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12.633444709051101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6.2512820512820522</v>
      </c>
      <c r="BD93" s="12">
        <f>IF('Données projet'!$A$88&gt;35,BD92+BC93-BL92,IF(A93&lt;'Données projet'!$A$88,$BA$205^A93,IF(A93='Données projet'!$A$88,'Données projet'!$B$88,BD92+BC93-BL92)))</f>
        <v>241.23846153846159</v>
      </c>
      <c r="BE93" s="13">
        <f>BD93*VLOOKUP('Données projet'!$B$11,Paramètres!$A$1:$I$89,3,0)*VLOOKUP('Données projet'!$B$11,Paramètres!$A$1:$I$89,5,0)</f>
        <v>244.61580000000006</v>
      </c>
      <c r="BF93" s="13">
        <f t="shared" si="91"/>
        <v>59.431538592136647</v>
      </c>
      <c r="BG93" s="20">
        <f t="shared" si="61"/>
        <v>529.54911471463811</v>
      </c>
      <c r="BH93" s="59">
        <f t="shared" si="62"/>
        <v>822.88244804797137</v>
      </c>
      <c r="BI93" s="59">
        <f ca="1">AVERAGE(OFFSET($BH$3,0,0,'Données projet'!$E$11+1,1))-AVERAGE(OFFSET($H$3,0,0,'Données projet'!$E$11+1,1))</f>
        <v>496.71433459306451</v>
      </c>
      <c r="BJ93" s="59">
        <f t="shared" si="92"/>
        <v>206.75063396134982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14.158170794626233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14.158170794626233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355.09162485318728</v>
      </c>
      <c r="T94" s="59">
        <f t="shared" si="88"/>
        <v>320.06572891923685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132.50269635136988</v>
      </c>
      <c r="AA94" s="21">
        <f>EXP(-LN(2)/25)*AA93+(1-EXP(-LN(2)/25))/(LN(2)/25)*Calculateur!V94*Calculateur!X94*VLOOKUP('Données projet'!$B$9,Paramètres!$A$1:$I$89,3,0)*0.475*44/12</f>
        <v>27.976695281904401</v>
      </c>
      <c r="AB94" s="21">
        <f>EXP(-LN(2)/2)*AB93+(1-EXP(-LN(2)/2))/(LN(2)/2)*V94*Y94*VLOOKUP('Données projet'!$B$9,Paramètres!$A$1:$I$89,3,0)*0.475*44/12</f>
        <v>0.25792899671574265</v>
      </c>
      <c r="AC94" s="22">
        <f t="shared" si="57"/>
        <v>160.73732062999002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6.2512820512820522</v>
      </c>
      <c r="AI94" s="13">
        <f>IF('Données projet'!$A$62&gt;35,AI93+AH94-AQ93,IF(A94&lt;'Données projet'!$A$62,$AF$205^A94,IF(A94='Données projet'!$A$62,'Données projet'!$B$62,AI93+AH94-AQ93)))</f>
        <v>247.48974358974365</v>
      </c>
      <c r="AJ94" s="13">
        <f>AI94*VLOOKUP('Données projet'!$B$10,Paramètres!$A$1:$I$89,3,0)*VLOOKUP('Données projet'!$B$10,Paramètres!$A$1:$I$89,5,0)</f>
        <v>223.92872000000003</v>
      </c>
      <c r="AK94" s="13">
        <f t="shared" si="89"/>
        <v>54.967891977057093</v>
      </c>
      <c r="AL94" s="20">
        <f t="shared" si="58"/>
        <v>485.74493252670771</v>
      </c>
      <c r="AM94" s="59">
        <f t="shared" si="59"/>
        <v>779.07826586004103</v>
      </c>
      <c r="AN94" s="59">
        <f ca="1">AVERAGE(OFFSET($AM$3,0,0,'Données projet'!$E$10+1,1))-AVERAGE(OFFSET($H$3,0,0,'Données projet'!$E$10+1,1))</f>
        <v>447.91110718952615</v>
      </c>
      <c r="AO94" s="59">
        <f t="shared" si="90"/>
        <v>188.87492758536894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12.385710563947013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12.385710563947013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6.2512820512820522</v>
      </c>
      <c r="BD94" s="12">
        <f>IF('Données projet'!$A$88&gt;35,BD93+BC94-BL93,IF(A94&lt;'Données projet'!$A$88,$BA$205^A94,IF(A94='Données projet'!$A$88,'Données projet'!$B$88,BD93+BC94-BL93)))</f>
        <v>247.48974358974365</v>
      </c>
      <c r="BE94" s="13">
        <f>BD94*VLOOKUP('Données projet'!$B$11,Paramètres!$A$1:$I$89,3,0)*VLOOKUP('Données projet'!$B$11,Paramètres!$A$1:$I$89,5,0)</f>
        <v>250.95460000000006</v>
      </c>
      <c r="BF94" s="13">
        <f t="shared" si="91"/>
        <v>60.790308712481995</v>
      </c>
      <c r="BG94" s="20">
        <f t="shared" si="61"/>
        <v>542.95571600757285</v>
      </c>
      <c r="BH94" s="59">
        <f t="shared" si="62"/>
        <v>836.2890493409061</v>
      </c>
      <c r="BI94" s="59">
        <f ca="1">AVERAGE(OFFSET($BH$3,0,0,'Données projet'!$E$11+1,1))-AVERAGE(OFFSET($H$3,0,0,'Données projet'!$E$11+1,1))</f>
        <v>496.71433459306451</v>
      </c>
      <c r="BJ94" s="59">
        <f t="shared" si="92"/>
        <v>206.75063396134982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13.880537700975101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13.880537700975101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355.09162485318728</v>
      </c>
      <c r="T95" s="59">
        <f t="shared" si="88"/>
        <v>320.06572891923685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129.9043992945841</v>
      </c>
      <c r="AA95" s="21">
        <f>EXP(-LN(2)/25)*AA94+(1-EXP(-LN(2)/25))/(LN(2)/25)*Calculateur!V95*Calculateur!X95*VLOOKUP('Données projet'!$B$9,Paramètres!$A$1:$I$89,3,0)*0.475*44/12</f>
        <v>27.211671078190264</v>
      </c>
      <c r="AB95" s="21">
        <f>EXP(-LN(2)/2)*AB94+(1-EXP(-LN(2)/2))/(LN(2)/2)*V95*Y95*VLOOKUP('Données projet'!$B$9,Paramètres!$A$1:$I$89,3,0)*0.475*44/12</f>
        <v>0.18238334264234438</v>
      </c>
      <c r="AC95" s="22">
        <f t="shared" si="57"/>
        <v>157.29845371541668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6.2512820512820522</v>
      </c>
      <c r="AI95" s="13">
        <f>IF('Données projet'!$A$62&gt;35,AI94+AH95-AQ94,IF(A95&lt;'Données projet'!$A$62,$AF$205^A95,IF(A95='Données projet'!$A$62,'Données projet'!$B$62,AI94+AH95-AQ94)))</f>
        <v>253.74102564102571</v>
      </c>
      <c r="AJ95" s="13">
        <f>AI95*VLOOKUP('Données projet'!$B$10,Paramètres!$A$1:$I$89,3,0)*VLOOKUP('Données projet'!$B$10,Paramètres!$A$1:$I$89,5,0)</f>
        <v>229.58488000000003</v>
      </c>
      <c r="AK95" s="13">
        <f t="shared" si="89"/>
        <v>56.192913446740498</v>
      </c>
      <c r="AL95" s="20">
        <f t="shared" si="58"/>
        <v>497.72965691973968</v>
      </c>
      <c r="AM95" s="59">
        <f t="shared" si="59"/>
        <v>791.06299025307294</v>
      </c>
      <c r="AN95" s="59">
        <f ca="1">AVERAGE(OFFSET($AM$3,0,0,'Données projet'!$E$10+1,1))-AVERAGE(OFFSET($H$3,0,0,'Données projet'!$E$10+1,1))</f>
        <v>447.91110718952615</v>
      </c>
      <c r="AO95" s="59">
        <f t="shared" si="90"/>
        <v>188.87492758536894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12.142834334325508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12.142834334325508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6.2512820512820522</v>
      </c>
      <c r="BD95" s="12">
        <f>IF('Données projet'!$A$88&gt;35,BD94+BC95-BL94,IF(A95&lt;'Données projet'!$A$88,$BA$205^A95,IF(A95='Données projet'!$A$88,'Données projet'!$B$88,BD94+BC95-BL94)))</f>
        <v>253.74102564102571</v>
      </c>
      <c r="BE95" s="13">
        <f>BD95*VLOOKUP('Données projet'!$B$11,Paramètres!$A$1:$I$89,3,0)*VLOOKUP('Données projet'!$B$11,Paramètres!$A$1:$I$89,5,0)</f>
        <v>257.29340000000013</v>
      </c>
      <c r="BF95" s="13">
        <f t="shared" si="91"/>
        <v>62.145089306079399</v>
      </c>
      <c r="BG95" s="20">
        <f t="shared" si="61"/>
        <v>556.35536887475519</v>
      </c>
      <c r="BH95" s="59">
        <f t="shared" si="62"/>
        <v>849.68870220808844</v>
      </c>
      <c r="BI95" s="59">
        <f ca="1">AVERAGE(OFFSET($BH$3,0,0,'Données projet'!$E$11+1,1))-AVERAGE(OFFSET($H$3,0,0,'Données projet'!$E$11+1,1))</f>
        <v>496.71433459306451</v>
      </c>
      <c r="BJ95" s="59">
        <f t="shared" si="92"/>
        <v>206.75063396134982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13.608348822950999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13.608348822950999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355.09162485318728</v>
      </c>
      <c r="T96" s="59">
        <f t="shared" si="88"/>
        <v>320.06572891923685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127.35705325827718</v>
      </c>
      <c r="AA96" s="21">
        <f>EXP(-LN(2)/25)*AA95+(1-EXP(-LN(2)/25))/(LN(2)/25)*Calculateur!V96*Calculateur!X96*VLOOKUP('Données projet'!$B$9,Paramètres!$A$1:$I$89,3,0)*0.475*44/12</f>
        <v>26.467566501557563</v>
      </c>
      <c r="AB96" s="21">
        <f>EXP(-LN(2)/2)*AB95+(1-EXP(-LN(2)/2))/(LN(2)/2)*V96*Y96*VLOOKUP('Données projet'!$B$9,Paramètres!$A$1:$I$89,3,0)*0.475*44/12</f>
        <v>0.12896449835787133</v>
      </c>
      <c r="AC96" s="22">
        <f t="shared" si="57"/>
        <v>153.95358425819262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6.2512820512820522</v>
      </c>
      <c r="AI96" s="13">
        <f>IF('Données projet'!$A$62&gt;35,AI95+AH96-AQ95,IF(A96&lt;'Données projet'!$A$62,$AF$205^A96,IF(A96='Données projet'!$A$62,'Données projet'!$B$62,AI95+AH96-AQ95)))</f>
        <v>259.99230769230775</v>
      </c>
      <c r="AJ96" s="13">
        <f>AI96*VLOOKUP('Données projet'!$B$10,Paramètres!$A$1:$I$89,3,0)*VLOOKUP('Données projet'!$B$10,Paramètres!$A$1:$I$89,5,0)</f>
        <v>235.24104000000005</v>
      </c>
      <c r="AK96" s="13">
        <f t="shared" si="89"/>
        <v>57.414426598394883</v>
      </c>
      <c r="AL96" s="20">
        <f t="shared" si="58"/>
        <v>509.70827099220446</v>
      </c>
      <c r="AM96" s="59">
        <f t="shared" si="59"/>
        <v>803.04160432553772</v>
      </c>
      <c r="AN96" s="59">
        <f ca="1">AVERAGE(OFFSET($AM$3,0,0,'Données projet'!$E$10+1,1))-AVERAGE(OFFSET($H$3,0,0,'Données projet'!$E$10+1,1))</f>
        <v>447.91110718952615</v>
      </c>
      <c r="AO96" s="59">
        <f t="shared" si="90"/>
        <v>188.87492758536894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11.904720759427008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11.904720759427008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6.2512820512820522</v>
      </c>
      <c r="BD96" s="12">
        <f>IF('Données projet'!$A$88&gt;35,BD95+BC96-BL95,IF(A96&lt;'Données projet'!$A$88,$BA$205^A96,IF(A96='Données projet'!$A$88,'Données projet'!$B$88,BD95+BC96-BL95)))</f>
        <v>259.99230769230775</v>
      </c>
      <c r="BE96" s="13">
        <f>BD96*VLOOKUP('Données projet'!$B$11,Paramètres!$A$1:$I$89,3,0)*VLOOKUP('Données projet'!$B$11,Paramètres!$A$1:$I$89,5,0)</f>
        <v>263.63220000000007</v>
      </c>
      <c r="BF96" s="13">
        <f t="shared" si="91"/>
        <v>63.495989966712656</v>
      </c>
      <c r="BG96" s="20">
        <f t="shared" si="61"/>
        <v>569.74826419202464</v>
      </c>
      <c r="BH96" s="59">
        <f t="shared" si="62"/>
        <v>863.08159752535789</v>
      </c>
      <c r="BI96" s="59">
        <f ca="1">AVERAGE(OFFSET($BH$3,0,0,'Données projet'!$E$11+1,1))-AVERAGE(OFFSET($H$3,0,0,'Données projet'!$E$11+1,1))</f>
        <v>496.71433459306451</v>
      </c>
      <c r="BJ96" s="59">
        <f t="shared" si="92"/>
        <v>206.75063396134982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13.341497402806128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13.341497402806128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355.09162485318728</v>
      </c>
      <c r="T97" s="59">
        <f t="shared" si="88"/>
        <v>320.06572891923685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124.85965912401457</v>
      </c>
      <c r="AA97" s="21">
        <f>EXP(-LN(2)/25)*AA96+(1-EXP(-LN(2)/25))/(LN(2)/25)*Calculateur!V97*Calculateur!X97*VLOOKUP('Données projet'!$B$9,Paramètres!$A$1:$I$89,3,0)*0.475*44/12</f>
        <v>25.743809503703641</v>
      </c>
      <c r="AB97" s="21">
        <f>EXP(-LN(2)/2)*AB96+(1-EXP(-LN(2)/2))/(LN(2)/2)*V97*Y97*VLOOKUP('Données projet'!$B$9,Paramètres!$A$1:$I$89,3,0)*0.475*44/12</f>
        <v>9.1191671321172188E-2</v>
      </c>
      <c r="AC97" s="22">
        <f t="shared" si="57"/>
        <v>150.69466029903938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266.24358974358972</v>
      </c>
      <c r="AG97" s="12">
        <f>VLOOKUP(A97,'Données projet'!$A$61:$I$81,9,0)</f>
        <v>6.2512820512820522</v>
      </c>
      <c r="AH97" s="12">
        <f t="array" ref="AH97">INDEX(AG:AG,MIN(IF(ISNUMBER(AG97:AG293),ROW(AG97:AG293),"")))</f>
        <v>6.2512820512820522</v>
      </c>
      <c r="AI97" s="13">
        <f>IF('Données projet'!$A$62&gt;35,AI96+AH97-AQ96,IF(A97&lt;'Données projet'!$A$62,$AF$205^A97,IF(A97='Données projet'!$A$62,'Données projet'!$B$62,AI96+AH97-AQ96)))</f>
        <v>266.24358974358978</v>
      </c>
      <c r="AJ97" s="13">
        <f>AI97*VLOOKUP('Données projet'!$B$10,Paramètres!$A$1:$I$89,3,0)*VLOOKUP('Données projet'!$B$10,Paramètres!$A$1:$I$89,5,0)</f>
        <v>240.8972</v>
      </c>
      <c r="AK97" s="13">
        <f t="shared" si="89"/>
        <v>58.632525491897368</v>
      </c>
      <c r="AL97" s="20">
        <f t="shared" si="58"/>
        <v>521.68093856505448</v>
      </c>
      <c r="AM97" s="59">
        <f t="shared" si="59"/>
        <v>815.01427189838773</v>
      </c>
      <c r="AN97" s="59">
        <f ca="1">AVERAGE(OFFSET($AM$3,0,0,'Données projet'!$E$10+1,1))-AVERAGE(OFFSET($H$3,0,0,'Données projet'!$E$10+1,1))</f>
        <v>447.91110718952615</v>
      </c>
      <c r="AO97" s="59">
        <f t="shared" si="90"/>
        <v>188.87492758536894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47.243589743589745</v>
      </c>
      <c r="AR97" s="16">
        <f>IF(ISNA(VLOOKUP(A97,'Données projet'!$A$61:$I$81,5,0)),0%,VLOOKUP(A97,'Données projet'!$A$61:$I$81,5,0)*VLOOKUP('Données projet'!$B$10,Paramètres!$A$1:$I$89,7,0))</f>
        <v>0.30099999999999999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25.894861936395486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25.894861936395486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266.24358974358972</v>
      </c>
      <c r="BB97" s="12">
        <f>VLOOKUP(A97,'Données projet'!$A$87:$I$107,9,0)</f>
        <v>6.2512820512820522</v>
      </c>
      <c r="BC97" s="12">
        <f t="array" ref="BC97">INDEX(BB:BB,MIN(IF(ISNUMBER(BB97:BB293),ROW(BB97:BB293),"")))</f>
        <v>6.2512820512820522</v>
      </c>
      <c r="BD97" s="12">
        <f>IF('Données projet'!$A$88&gt;35,BD96+BC97-BL96,IF(A97&lt;'Données projet'!$A$88,$BA$205^A97,IF(A97='Données projet'!$A$88,'Données projet'!$B$88,BD96+BC97-BL96)))</f>
        <v>266.24358974358978</v>
      </c>
      <c r="BE97" s="13">
        <f>BD97*VLOOKUP('Données projet'!$B$11,Paramètres!$A$1:$I$89,3,0)*VLOOKUP('Données projet'!$B$11,Paramètres!$A$1:$I$89,5,0)</f>
        <v>269.97100000000006</v>
      </c>
      <c r="BF97" s="13">
        <f t="shared" si="91"/>
        <v>64.843114717453616</v>
      </c>
      <c r="BG97" s="20">
        <f t="shared" si="61"/>
        <v>583.13458313289846</v>
      </c>
      <c r="BH97" s="59">
        <f t="shared" si="62"/>
        <v>876.46791646623183</v>
      </c>
      <c r="BI97" s="59">
        <f ca="1">AVERAGE(OFFSET($BH$3,0,0,'Données projet'!$E$11+1,1))-AVERAGE(OFFSET($H$3,0,0,'Données projet'!$E$11+1,1))</f>
        <v>496.71433459306451</v>
      </c>
      <c r="BJ97" s="59">
        <f t="shared" si="92"/>
        <v>206.75063396134982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47.243589743589745</v>
      </c>
      <c r="BM97" s="16">
        <f>IF(ISNA(VLOOKUP(A97,'Données projet'!$A$87:$I$107,5,0)),0%,VLOOKUP(A97,'Données projet'!$A$87:$I$107,5,0)*VLOOKUP('Données projet'!$B$11,Paramètres!$A$1:$I$89,7,0))</f>
        <v>0.30099999999999999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29.020103894236321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29.020103894236321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355.09162485318728</v>
      </c>
      <c r="T98" s="59">
        <f t="shared" si="88"/>
        <v>320.06572891923685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122.41123736546484</v>
      </c>
      <c r="AA98" s="21">
        <f>EXP(-LN(2)/25)*AA97+(1-EXP(-LN(2)/25))/(LN(2)/25)*Calculateur!V98*Calculateur!X98*VLOOKUP('Données projet'!$B$9,Paramètres!$A$1:$I$89,3,0)*0.475*44/12</f>
        <v>25.039843679016762</v>
      </c>
      <c r="AB98" s="21">
        <f>EXP(-LN(2)/2)*AB97+(1-EXP(-LN(2)/2))/(LN(2)/2)*V98*Y98*VLOOKUP('Données projet'!$B$9,Paramètres!$A$1:$I$89,3,0)*0.475*44/12</f>
        <v>6.4482249178935663E-2</v>
      </c>
      <c r="AC98" s="22">
        <f t="shared" si="57"/>
        <v>147.51556329366053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6.071794871794876</v>
      </c>
      <c r="AI98" s="13">
        <f>IF('Données projet'!$A$62&gt;35,AI97+AH98-AQ97,IF(A98&lt;'Données projet'!$A$62,$AF$205^A98,IF(A98='Données projet'!$A$62,'Données projet'!$B$62,AI97+AH98-AQ97)))</f>
        <v>225.07179487179488</v>
      </c>
      <c r="AJ98" s="13">
        <f>AI98*VLOOKUP('Données projet'!$B$10,Paramètres!$A$1:$I$89,3,0)*VLOOKUP('Données projet'!$B$10,Paramètres!$A$1:$I$89,5,0)</f>
        <v>203.64496</v>
      </c>
      <c r="AK98" s="13">
        <f t="shared" si="89"/>
        <v>50.544375656527151</v>
      </c>
      <c r="AL98" s="20">
        <f t="shared" si="58"/>
        <v>442.71309293511808</v>
      </c>
      <c r="AM98" s="59">
        <f t="shared" si="59"/>
        <v>736.04642626845134</v>
      </c>
      <c r="AN98" s="59">
        <f ca="1">AVERAGE(OFFSET($AM$3,0,0,'Données projet'!$E$10+1,1))-AVERAGE(OFFSET($H$3,0,0,'Données projet'!$E$10+1,1))</f>
        <v>447.91110718952615</v>
      </c>
      <c r="AO98" s="59">
        <f t="shared" si="90"/>
        <v>188.87492758536894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25.387079488128993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25.387079488128993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6.071794871794876</v>
      </c>
      <c r="BD98" s="12">
        <f>IF('Données projet'!$A$88&gt;35,BD97+BC98-BL97,IF(A98&lt;'Données projet'!$A$88,$BA$205^A98,IF(A98='Données projet'!$A$88,'Données projet'!$B$88,BD97+BC98-BL97)))</f>
        <v>225.07179487179488</v>
      </c>
      <c r="BE98" s="13">
        <f>BD98*VLOOKUP('Données projet'!$B$11,Paramètres!$A$1:$I$89,3,0)*VLOOKUP('Données projet'!$B$11,Paramètres!$A$1:$I$89,5,0)</f>
        <v>228.22280000000003</v>
      </c>
      <c r="BF98" s="13">
        <f t="shared" si="91"/>
        <v>55.898236030634266</v>
      </c>
      <c r="BG98" s="20">
        <f t="shared" si="61"/>
        <v>494.84413775335474</v>
      </c>
      <c r="BH98" s="59">
        <f t="shared" si="62"/>
        <v>788.177471086688</v>
      </c>
      <c r="BI98" s="59">
        <f ca="1">AVERAGE(OFFSET($BH$3,0,0,'Données projet'!$E$11+1,1))-AVERAGE(OFFSET($H$3,0,0,'Données projet'!$E$11+1,1))</f>
        <v>496.71433459306451</v>
      </c>
      <c r="BJ98" s="59">
        <f t="shared" si="92"/>
        <v>206.75063396134982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28.451037357385943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28.451037357385943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355.09162485318728</v>
      </c>
      <c r="T99" s="59">
        <f t="shared" si="88"/>
        <v>320.06572891923685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120.01082766421047</v>
      </c>
      <c r="AA99" s="21">
        <f>EXP(-LN(2)/25)*AA98+(1-EXP(-LN(2)/25))/(LN(2)/25)*Calculateur!V99*Calculateur!X99*VLOOKUP('Données projet'!$B$9,Paramètres!$A$1:$I$89,3,0)*0.475*44/12</f>
        <v>24.355127836825901</v>
      </c>
      <c r="AB99" s="21">
        <f>EXP(-LN(2)/2)*AB98+(1-EXP(-LN(2)/2))/(LN(2)/2)*V99*Y99*VLOOKUP('Données projet'!$B$9,Paramètres!$A$1:$I$89,3,0)*0.475*44/12</f>
        <v>4.5595835660586094E-2</v>
      </c>
      <c r="AC99" s="22">
        <f t="shared" si="57"/>
        <v>144.41155133669693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6.071794871794876</v>
      </c>
      <c r="AI99" s="13">
        <f>IF('Données projet'!$A$62&gt;35,AI98+AH99-AQ98,IF(A99&lt;'Données projet'!$A$62,$AF$205^A99,IF(A99='Données projet'!$A$62,'Données projet'!$B$62,AI98+AH99-AQ98)))</f>
        <v>231.14358974358976</v>
      </c>
      <c r="AJ99" s="13">
        <f>AI99*VLOOKUP('Données projet'!$B$10,Paramètres!$A$1:$I$89,3,0)*VLOOKUP('Données projet'!$B$10,Paramètres!$A$1:$I$89,5,0)</f>
        <v>209.13872000000001</v>
      </c>
      <c r="AK99" s="13">
        <f t="shared" si="89"/>
        <v>51.747329354497921</v>
      </c>
      <c r="AL99" s="20">
        <f t="shared" si="58"/>
        <v>454.37653595908381</v>
      </c>
      <c r="AM99" s="59">
        <f t="shared" si="59"/>
        <v>747.70986929241712</v>
      </c>
      <c r="AN99" s="59">
        <f ca="1">AVERAGE(OFFSET($AM$3,0,0,'Données projet'!$E$10+1,1))-AVERAGE(OFFSET($H$3,0,0,'Données projet'!$E$10+1,1))</f>
        <v>447.91110718952615</v>
      </c>
      <c r="AO99" s="59">
        <f t="shared" si="90"/>
        <v>188.87492758536894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24.889254343956296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24.889254343956296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6.071794871794876</v>
      </c>
      <c r="BD99" s="12">
        <f>IF('Données projet'!$A$88&gt;35,BD98+BC99-BL98,IF(A99&lt;'Données projet'!$A$88,$BA$205^A99,IF(A99='Données projet'!$A$88,'Données projet'!$B$88,BD98+BC99-BL98)))</f>
        <v>231.14358974358976</v>
      </c>
      <c r="BE99" s="13">
        <f>BD99*VLOOKUP('Données projet'!$B$11,Paramètres!$A$1:$I$89,3,0)*VLOOKUP('Données projet'!$B$11,Paramètres!$A$1:$I$89,5,0)</f>
        <v>234.37960000000001</v>
      </c>
      <c r="BF99" s="13">
        <f t="shared" si="91"/>
        <v>57.228611346773143</v>
      </c>
      <c r="BG99" s="20">
        <f t="shared" si="61"/>
        <v>507.88430142896323</v>
      </c>
      <c r="BH99" s="59">
        <f t="shared" si="62"/>
        <v>801.21763476229648</v>
      </c>
      <c r="BI99" s="59">
        <f ca="1">AVERAGE(OFFSET($BH$3,0,0,'Données projet'!$E$11+1,1))-AVERAGE(OFFSET($H$3,0,0,'Données projet'!$E$11+1,1))</f>
        <v>496.71433459306451</v>
      </c>
      <c r="BJ99" s="59">
        <f t="shared" si="92"/>
        <v>206.75063396134982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27.893129868226886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27.893129868226886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355.09162485318728</v>
      </c>
      <c r="T100" s="59">
        <f t="shared" si="88"/>
        <v>320.06572891923685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117.65748853309233</v>
      </c>
      <c r="AA100" s="21">
        <f>EXP(-LN(2)/25)*AA99+(1-EXP(-LN(2)/25))/(LN(2)/25)*Calculateur!V100*Calculateur!X100*VLOOKUP('Données projet'!$B$9,Paramètres!$A$1:$I$89,3,0)*0.475*44/12</f>
        <v>23.689135585347387</v>
      </c>
      <c r="AB100" s="21">
        <f>EXP(-LN(2)/2)*AB99+(1-EXP(-LN(2)/2))/(LN(2)/2)*V100*Y100*VLOOKUP('Données projet'!$B$9,Paramètres!$A$1:$I$89,3,0)*0.475*44/12</f>
        <v>3.2241124589467832E-2</v>
      </c>
      <c r="AC100" s="22">
        <f t="shared" si="57"/>
        <v>141.37886524302917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6.071794871794876</v>
      </c>
      <c r="AI100" s="13">
        <f>IF('Données projet'!$A$62&gt;35,AI99+AH100-AQ99,IF(A100&lt;'Données projet'!$A$62,$AF$205^A100,IF(A100='Données projet'!$A$62,'Données projet'!$B$62,AI99+AH100-AQ99)))</f>
        <v>237.21538461538464</v>
      </c>
      <c r="AJ100" s="13">
        <f>AI100*VLOOKUP('Données projet'!$B$10,Paramètres!$A$1:$I$89,3,0)*VLOOKUP('Données projet'!$B$10,Paramètres!$A$1:$I$89,5,0)</f>
        <v>214.63248000000002</v>
      </c>
      <c r="AK100" s="13">
        <f t="shared" si="89"/>
        <v>52.946610008544852</v>
      </c>
      <c r="AL100" s="20">
        <f t="shared" si="58"/>
        <v>466.03358176488229</v>
      </c>
      <c r="AM100" s="59">
        <f t="shared" si="59"/>
        <v>759.3669150982156</v>
      </c>
      <c r="AN100" s="59">
        <f ca="1">AVERAGE(OFFSET($AM$3,0,0,'Données projet'!$E$10+1,1))-AVERAGE(OFFSET($H$3,0,0,'Données projet'!$E$10+1,1))</f>
        <v>447.91110718952615</v>
      </c>
      <c r="AO100" s="59">
        <f t="shared" si="90"/>
        <v>188.87492758536894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24.401191247217469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24.401191247217469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6.071794871794876</v>
      </c>
      <c r="BD100" s="12">
        <f>IF('Données projet'!$A$88&gt;35,BD99+BC100-BL99,IF(A100&lt;'Données projet'!$A$88,$BA$205^A100,IF(A100='Données projet'!$A$88,'Données projet'!$B$88,BD99+BC100-BL99)))</f>
        <v>237.21538461538464</v>
      </c>
      <c r="BE100" s="13">
        <f>BD100*VLOOKUP('Données projet'!$B$11,Paramètres!$A$1:$I$89,3,0)*VLOOKUP('Données projet'!$B$11,Paramètres!$A$1:$I$89,5,0)</f>
        <v>240.53640000000004</v>
      </c>
      <c r="BF100" s="13">
        <f t="shared" si="91"/>
        <v>58.554924555634237</v>
      </c>
      <c r="BG100" s="20">
        <f t="shared" si="61"/>
        <v>520.91739026772962</v>
      </c>
      <c r="BH100" s="59">
        <f t="shared" si="62"/>
        <v>814.25072360106287</v>
      </c>
      <c r="BI100" s="59">
        <f ca="1">AVERAGE(OFFSET($BH$3,0,0,'Données projet'!$E$11+1,1))-AVERAGE(OFFSET($H$3,0,0,'Données projet'!$E$11+1,1))</f>
        <v>496.71433459306451</v>
      </c>
      <c r="BJ100" s="59">
        <f t="shared" si="92"/>
        <v>206.75063396134982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27.34616260464027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27.34616260464027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355.09162485318728</v>
      </c>
      <c r="T101" s="59">
        <f t="shared" si="88"/>
        <v>320.06572891923685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115.35029694694029</v>
      </c>
      <c r="AA101" s="21">
        <f>EXP(-LN(2)/25)*AA100+(1-EXP(-LN(2)/25))/(LN(2)/25)*Calculateur!V101*Calculateur!X101*VLOOKUP('Données projet'!$B$9,Paramètres!$A$1:$I$89,3,0)*0.475*44/12</f>
        <v>23.041354927008566</v>
      </c>
      <c r="AB101" s="21">
        <f>EXP(-LN(2)/2)*AB100+(1-EXP(-LN(2)/2))/(LN(2)/2)*V101*Y101*VLOOKUP('Données projet'!$B$9,Paramètres!$A$1:$I$89,3,0)*0.475*44/12</f>
        <v>2.2797917830293047E-2</v>
      </c>
      <c r="AC101" s="22">
        <f t="shared" si="57"/>
        <v>138.41444979177916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6.071794871794876</v>
      </c>
      <c r="AI101" s="13">
        <f>IF('Données projet'!$A$62&gt;35,AI100+AH101-AQ100,IF(A101&lt;'Données projet'!$A$62,$AF$205^A101,IF(A101='Données projet'!$A$62,'Données projet'!$B$62,AI100+AH101-AQ100)))</f>
        <v>243.28717948717951</v>
      </c>
      <c r="AJ101" s="13">
        <f>AI101*VLOOKUP('Données projet'!$B$10,Paramètres!$A$1:$I$89,3,0)*VLOOKUP('Données projet'!$B$10,Paramètres!$A$1:$I$89,5,0)</f>
        <v>220.12624000000002</v>
      </c>
      <c r="AK101" s="13">
        <f t="shared" si="89"/>
        <v>54.142322444750825</v>
      </c>
      <c r="AL101" s="20">
        <f t="shared" si="58"/>
        <v>477.68441292460778</v>
      </c>
      <c r="AM101" s="59">
        <f t="shared" si="59"/>
        <v>771.0177462579411</v>
      </c>
      <c r="AN101" s="59">
        <f ca="1">AVERAGE(OFFSET($AM$3,0,0,'Données projet'!$E$10+1,1))-AVERAGE(OFFSET($H$3,0,0,'Données projet'!$E$10+1,1))</f>
        <v>447.91110718952615</v>
      </c>
      <c r="AO101" s="59">
        <f t="shared" si="90"/>
        <v>188.87492758536894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23.922698770116597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23.922698770116597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6.071794871794876</v>
      </c>
      <c r="BD101" s="12">
        <f>IF('Données projet'!$A$88&gt;35,BD100+BC101-BL100,IF(A101&lt;'Données projet'!$A$88,$BA$205^A101,IF(A101='Données projet'!$A$88,'Données projet'!$B$88,BD100+BC101-BL100)))</f>
        <v>243.28717948717951</v>
      </c>
      <c r="BE101" s="13">
        <f>BD101*VLOOKUP('Données projet'!$B$11,Paramètres!$A$1:$I$89,3,0)*VLOOKUP('Données projet'!$B$11,Paramètres!$A$1:$I$89,5,0)</f>
        <v>246.69320000000005</v>
      </c>
      <c r="BF101" s="13">
        <f t="shared" si="91"/>
        <v>59.877291586894174</v>
      </c>
      <c r="BG101" s="20">
        <f t="shared" si="61"/>
        <v>533.94360618050735</v>
      </c>
      <c r="BH101" s="59">
        <f t="shared" si="62"/>
        <v>827.27693951384072</v>
      </c>
      <c r="BI101" s="59">
        <f ca="1">AVERAGE(OFFSET($BH$3,0,0,'Données projet'!$E$11+1,1))-AVERAGE(OFFSET($H$3,0,0,'Données projet'!$E$11+1,1))</f>
        <v>496.71433459306451</v>
      </c>
      <c r="BJ101" s="59">
        <f t="shared" si="92"/>
        <v>206.75063396134982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26.809921035475497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26.809921035475497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355.09162485318728</v>
      </c>
      <c r="T102" s="59">
        <f t="shared" si="88"/>
        <v>320.06572891923685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113.08834798054478</v>
      </c>
      <c r="AA102" s="21">
        <f>EXP(-LN(2)/25)*AA101+(1-EXP(-LN(2)/25))/(LN(2)/25)*Calculateur!V102*Calculateur!X102*VLOOKUP('Données projet'!$B$9,Paramètres!$A$1:$I$89,3,0)*0.475*44/12</f>
        <v>22.411287864837323</v>
      </c>
      <c r="AB102" s="21">
        <f>EXP(-LN(2)/2)*AB101+(1-EXP(-LN(2)/2))/(LN(2)/2)*V102*Y102*VLOOKUP('Données projet'!$B$9,Paramètres!$A$1:$I$89,3,0)*0.475*44/12</f>
        <v>1.6120562294733916E-2</v>
      </c>
      <c r="AC102" s="22">
        <f t="shared" si="57"/>
        <v>135.51575640767683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6.071794871794876</v>
      </c>
      <c r="AI102" s="13">
        <f>IF('Données projet'!$A$62&gt;35,AI101+AH102-AQ101,IF(A102&lt;'Données projet'!$A$62,$AF$205^A102,IF(A102='Données projet'!$A$62,'Données projet'!$B$62,AI101+AH102-AQ101)))</f>
        <v>249.35897435897439</v>
      </c>
      <c r="AJ102" s="13">
        <f>AI102*VLOOKUP('Données projet'!$B$10,Paramètres!$A$1:$I$89,3,0)*VLOOKUP('Données projet'!$B$10,Paramètres!$A$1:$I$89,5,0)</f>
        <v>225.62000000000003</v>
      </c>
      <c r="AK102" s="13">
        <f t="shared" si="89"/>
        <v>55.334565958624232</v>
      </c>
      <c r="AL102" s="20">
        <f t="shared" si="58"/>
        <v>489.32920237793724</v>
      </c>
      <c r="AM102" s="59">
        <f t="shared" si="59"/>
        <v>782.66253571127049</v>
      </c>
      <c r="AN102" s="59">
        <f ca="1">AVERAGE(OFFSET($AM$3,0,0,'Données projet'!$E$10+1,1))-AVERAGE(OFFSET($H$3,0,0,'Données projet'!$E$10+1,1))</f>
        <v>447.91110718952615</v>
      </c>
      <c r="AO102" s="59">
        <f t="shared" si="90"/>
        <v>188.87492758536894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23.453589238640077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23.453589238640077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6.071794871794876</v>
      </c>
      <c r="BD102" s="12">
        <f>IF('Données projet'!$A$88&gt;35,BD101+BC102-BL101,IF(A102&lt;'Données projet'!$A$88,$BA$205^A102,IF(A102='Données projet'!$A$88,'Données projet'!$B$88,BD101+BC102-BL101)))</f>
        <v>249.35897435897439</v>
      </c>
      <c r="BE102" s="13">
        <f>BD102*VLOOKUP('Données projet'!$B$11,Paramètres!$A$1:$I$89,3,0)*VLOOKUP('Données projet'!$B$11,Paramètres!$A$1:$I$89,5,0)</f>
        <v>252.85000000000008</v>
      </c>
      <c r="BF102" s="13">
        <f t="shared" si="91"/>
        <v>61.195822253834606</v>
      </c>
      <c r="BG102" s="20">
        <f t="shared" si="61"/>
        <v>546.96314042542872</v>
      </c>
      <c r="BH102" s="59">
        <f t="shared" si="62"/>
        <v>840.29647375876198</v>
      </c>
      <c r="BI102" s="59">
        <f ca="1">AVERAGE(OFFSET($BH$3,0,0,'Données projet'!$E$11+1,1))-AVERAGE(OFFSET($H$3,0,0,'Données projet'!$E$11+1,1))</f>
        <v>496.71433459306451</v>
      </c>
      <c r="BJ102" s="59">
        <f t="shared" si="92"/>
        <v>206.75063396134982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26.284194836406986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26.284194836406986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355.09162485318728</v>
      </c>
      <c r="T103" s="59">
        <f t="shared" si="88"/>
        <v>320.06572891923685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110.87075445372764</v>
      </c>
      <c r="AA103" s="21">
        <f>EXP(-LN(2)/25)*AA102+(1-EXP(-LN(2)/25))/(LN(2)/25)*Calculateur!V103*Calculateur!X103*VLOOKUP('Données projet'!$B$9,Paramètres!$A$1:$I$89,3,0)*0.475*44/12</f>
        <v>21.79845001961494</v>
      </c>
      <c r="AB103" s="21">
        <f>EXP(-LN(2)/2)*AB102+(1-EXP(-LN(2)/2))/(LN(2)/2)*V103*Y103*VLOOKUP('Données projet'!$B$9,Paramètres!$A$1:$I$89,3,0)*0.475*44/12</f>
        <v>1.1398958915146523E-2</v>
      </c>
      <c r="AC103" s="22">
        <f t="shared" si="57"/>
        <v>132.68060343225773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6.071794871794876</v>
      </c>
      <c r="AI103" s="13">
        <f>IF('Données projet'!$A$62&gt;35,AI102+AH103-AQ102,IF(A103&lt;'Données projet'!$A$62,$AF$205^A103,IF(A103='Données projet'!$A$62,'Données projet'!$B$62,AI102+AH103-AQ102)))</f>
        <v>255.43076923076927</v>
      </c>
      <c r="AJ103" s="13">
        <f>AI103*VLOOKUP('Données projet'!$B$10,Paramètres!$A$1:$I$89,3,0)*VLOOKUP('Données projet'!$B$10,Paramètres!$A$1:$I$89,5,0)</f>
        <v>231.11376000000004</v>
      </c>
      <c r="AK103" s="13">
        <f t="shared" si="89"/>
        <v>56.523434734348982</v>
      </c>
      <c r="AL103" s="20">
        <f t="shared" si="58"/>
        <v>500.96811416232453</v>
      </c>
      <c r="AM103" s="59">
        <f t="shared" si="59"/>
        <v>794.30144749565784</v>
      </c>
      <c r="AN103" s="59">
        <f ca="1">AVERAGE(OFFSET($AM$3,0,0,'Données projet'!$E$10+1,1))-AVERAGE(OFFSET($H$3,0,0,'Données projet'!$E$10+1,1))</f>
        <v>447.91110718952615</v>
      </c>
      <c r="AO103" s="59">
        <f t="shared" si="90"/>
        <v>188.87492758536894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22.993678658947253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22.993678658947253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6.071794871794876</v>
      </c>
      <c r="BD103" s="12">
        <f>IF('Données projet'!$A$88&gt;35,BD102+BC103-BL102,IF(A103&lt;'Données projet'!$A$88,$BA$205^A103,IF(A103='Données projet'!$A$88,'Données projet'!$B$88,BD102+BC103-BL102)))</f>
        <v>255.43076923076927</v>
      </c>
      <c r="BE103" s="13">
        <f>BD103*VLOOKUP('Données projet'!$B$11,Paramètres!$A$1:$I$89,3,0)*VLOOKUP('Données projet'!$B$11,Paramètres!$A$1:$I$89,5,0)</f>
        <v>259.00680000000006</v>
      </c>
      <c r="BF103" s="13">
        <f t="shared" si="91"/>
        <v>62.510620717001132</v>
      </c>
      <c r="BG103" s="20">
        <f t="shared" si="61"/>
        <v>559.97617441544378</v>
      </c>
      <c r="BH103" s="59">
        <f t="shared" si="62"/>
        <v>853.30950774877715</v>
      </c>
      <c r="BI103" s="59">
        <f ca="1">AVERAGE(OFFSET($BH$3,0,0,'Données projet'!$E$11+1,1))-AVERAGE(OFFSET($H$3,0,0,'Données projet'!$E$11+1,1))</f>
        <v>496.71433459306451</v>
      </c>
      <c r="BJ103" s="59">
        <f t="shared" si="92"/>
        <v>206.75063396134982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25.768777807440888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25.768777807440888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355.09162485318728</v>
      </c>
      <c r="T104" s="59">
        <f t="shared" si="88"/>
        <v>320.06572891923685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108.6966465833729</v>
      </c>
      <c r="AA104" s="21">
        <f>EXP(-LN(2)/25)*AA103+(1-EXP(-LN(2)/25))/(LN(2)/25)*Calculateur!V104*Calculateur!X104*VLOOKUP('Données projet'!$B$9,Paramètres!$A$1:$I$89,3,0)*0.475*44/12</f>
        <v>21.202370257497904</v>
      </c>
      <c r="AB104" s="21">
        <f>EXP(-LN(2)/2)*AB103+(1-EXP(-LN(2)/2))/(LN(2)/2)*V104*Y104*VLOOKUP('Données projet'!$B$9,Paramètres!$A$1:$I$89,3,0)*0.475*44/12</f>
        <v>8.0602811473669579E-3</v>
      </c>
      <c r="AC104" s="22">
        <f t="shared" si="57"/>
        <v>129.90707712201817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6.071794871794876</v>
      </c>
      <c r="AI104" s="13">
        <f>IF('Données projet'!$A$62&gt;35,AI103+AH104-AQ103,IF(A104&lt;'Données projet'!$A$62,$AF$205^A104,IF(A104='Données projet'!$A$62,'Données projet'!$B$62,AI103+AH104-AQ103)))</f>
        <v>261.50256410256412</v>
      </c>
      <c r="AJ104" s="13">
        <f>AI104*VLOOKUP('Données projet'!$B$10,Paramètres!$A$1:$I$89,3,0)*VLOOKUP('Données projet'!$B$10,Paramètres!$A$1:$I$89,5,0)</f>
        <v>236.60751999999999</v>
      </c>
      <c r="AK104" s="13">
        <f t="shared" si="89"/>
        <v>57.709018223048304</v>
      </c>
      <c r="AL104" s="20">
        <f t="shared" si="58"/>
        <v>512.60130407180907</v>
      </c>
      <c r="AM104" s="59">
        <f t="shared" si="59"/>
        <v>805.93463740514244</v>
      </c>
      <c r="AN104" s="59">
        <f ca="1">AVERAGE(OFFSET($AM$3,0,0,'Données projet'!$E$10+1,1))-AVERAGE(OFFSET($H$3,0,0,'Données projet'!$E$10+1,1))</f>
        <v>447.91110718952615</v>
      </c>
      <c r="AO104" s="59">
        <f t="shared" si="90"/>
        <v>188.87492758536894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22.542786645204451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22.542786645204451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6.071794871794876</v>
      </c>
      <c r="BD104" s="12">
        <f>IF('Données projet'!$A$88&gt;35,BD103+BC104-BL103,IF(A104&lt;'Données projet'!$A$88,$BA$205^A104,IF(A104='Données projet'!$A$88,'Données projet'!$B$88,BD103+BC104-BL103)))</f>
        <v>261.50256410256412</v>
      </c>
      <c r="BE104" s="13">
        <f>BD104*VLOOKUP('Données projet'!$B$11,Paramètres!$A$1:$I$89,3,0)*VLOOKUP('Données projet'!$B$11,Paramètres!$A$1:$I$89,5,0)</f>
        <v>265.16360000000003</v>
      </c>
      <c r="BF104" s="13">
        <f t="shared" si="91"/>
        <v>63.821785902534025</v>
      </c>
      <c r="BG104" s="20">
        <f t="shared" si="61"/>
        <v>572.98288044691344</v>
      </c>
      <c r="BH104" s="59">
        <f t="shared" si="62"/>
        <v>866.3162137802467</v>
      </c>
      <c r="BI104" s="59">
        <f ca="1">AVERAGE(OFFSET($BH$3,0,0,'Données projet'!$E$11+1,1))-AVERAGE(OFFSET($H$3,0,0,'Données projet'!$E$11+1,1))</f>
        <v>496.71433459306451</v>
      </c>
      <c r="BJ104" s="59">
        <f t="shared" si="92"/>
        <v>206.75063396134982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25.263467792039471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25.263467792039471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355.09162485318728</v>
      </c>
      <c r="T105" s="59">
        <f t="shared" si="88"/>
        <v>320.06572891923685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106.56517164228094</v>
      </c>
      <c r="AA105" s="21">
        <f>EXP(-LN(2)/25)*AA104+(1-EXP(-LN(2)/25))/(LN(2)/25)*Calculateur!V105*Calculateur!X105*VLOOKUP('Données projet'!$B$9,Paramètres!$A$1:$I$89,3,0)*0.475*44/12</f>
        <v>20.622590327822429</v>
      </c>
      <c r="AB105" s="21">
        <f>EXP(-LN(2)/2)*AB104+(1-EXP(-LN(2)/2))/(LN(2)/2)*V105*Y105*VLOOKUP('Données projet'!$B$9,Paramètres!$A$1:$I$89,3,0)*0.475*44/12</f>
        <v>5.6994794575732617E-3</v>
      </c>
      <c r="AC105" s="22">
        <f t="shared" si="57"/>
        <v>127.19346144956094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6.071794871794876</v>
      </c>
      <c r="AI105" s="13">
        <f>IF('Données projet'!$A$62&gt;35,AI104+AH105-AQ104,IF(A105&lt;'Données projet'!$A$62,$AF$205^A105,IF(A105='Données projet'!$A$62,'Données projet'!$B$62,AI104+AH105-AQ104)))</f>
        <v>267.57435897435897</v>
      </c>
      <c r="AJ105" s="13">
        <f>AI105*VLOOKUP('Données projet'!$B$10,Paramètres!$A$1:$I$89,3,0)*VLOOKUP('Données projet'!$B$10,Paramètres!$A$1:$I$89,5,0)</f>
        <v>242.10128</v>
      </c>
      <c r="AK105" s="13">
        <f t="shared" si="89"/>
        <v>58.891401484926774</v>
      </c>
      <c r="AL105" s="20">
        <f t="shared" si="58"/>
        <v>524.22892025291412</v>
      </c>
      <c r="AM105" s="59">
        <f t="shared" si="59"/>
        <v>817.56225358624738</v>
      </c>
      <c r="AN105" s="59">
        <f ca="1">AVERAGE(OFFSET($AM$3,0,0,'Données projet'!$E$10+1,1))-AVERAGE(OFFSET($H$3,0,0,'Données projet'!$E$10+1,1))</f>
        <v>447.91110718952615</v>
      </c>
      <c r="AO105" s="59">
        <f t="shared" si="90"/>
        <v>188.87492758536894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22.100736348834172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22.100736348834172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6.071794871794876</v>
      </c>
      <c r="BD105" s="12">
        <f>IF('Données projet'!$A$88&gt;35,BD104+BC105-BL104,IF(A105&lt;'Données projet'!$A$88,$BA$205^A105,IF(A105='Données projet'!$A$88,'Données projet'!$B$88,BD104+BC105-BL104)))</f>
        <v>267.57435897435897</v>
      </c>
      <c r="BE105" s="13">
        <f>BD105*VLOOKUP('Données projet'!$B$11,Paramètres!$A$1:$I$89,3,0)*VLOOKUP('Données projet'!$B$11,Paramètres!$A$1:$I$89,5,0)</f>
        <v>271.32040000000001</v>
      </c>
      <c r="BF105" s="13">
        <f t="shared" si="91"/>
        <v>65.129411880551601</v>
      </c>
      <c r="BG105" s="20">
        <f t="shared" si="61"/>
        <v>585.98342235862731</v>
      </c>
      <c r="BH105" s="59">
        <f t="shared" si="62"/>
        <v>879.31675569196068</v>
      </c>
      <c r="BI105" s="59">
        <f ca="1">AVERAGE(OFFSET($BH$3,0,0,'Données projet'!$E$11+1,1))-AVERAGE(OFFSET($H$3,0,0,'Données projet'!$E$11+1,1))</f>
        <v>496.71433459306451</v>
      </c>
      <c r="BJ105" s="59">
        <f t="shared" si="92"/>
        <v>206.75063396134982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24.7680665978314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24.7680665978314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355.09162485318728</v>
      </c>
      <c r="T106" s="59">
        <f t="shared" si="88"/>
        <v>320.06572891923685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104.47549362471247</v>
      </c>
      <c r="AA106" s="21">
        <f>EXP(-LN(2)/25)*AA105+(1-EXP(-LN(2)/25))/(LN(2)/25)*Calculateur!V106*Calculateur!X106*VLOOKUP('Données projet'!$B$9,Paramètres!$A$1:$I$89,3,0)*0.475*44/12</f>
        <v>20.058664510813234</v>
      </c>
      <c r="AB106" s="21">
        <f>EXP(-LN(2)/2)*AB105+(1-EXP(-LN(2)/2))/(LN(2)/2)*V106*Y106*VLOOKUP('Données projet'!$B$9,Paramètres!$A$1:$I$89,3,0)*0.475*44/12</f>
        <v>4.030140573683479E-3</v>
      </c>
      <c r="AC106" s="22">
        <f t="shared" si="57"/>
        <v>124.53818827609939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6.071794871794876</v>
      </c>
      <c r="AI106" s="13">
        <f>IF('Données projet'!$A$62&gt;35,AI105+AH106-AQ105,IF(A106&lt;'Données projet'!$A$62,$AF$205^A106,IF(A106='Données projet'!$A$62,'Données projet'!$B$62,AI105+AH106-AQ105)))</f>
        <v>273.64615384615382</v>
      </c>
      <c r="AJ106" s="13">
        <f>AI106*VLOOKUP('Données projet'!$B$10,Paramètres!$A$1:$I$89,3,0)*VLOOKUP('Données projet'!$B$10,Paramètres!$A$1:$I$89,5,0)</f>
        <v>247.59503999999998</v>
      </c>
      <c r="AK106" s="13">
        <f t="shared" si="89"/>
        <v>60.070665499481535</v>
      </c>
      <c r="AL106" s="20">
        <f t="shared" si="58"/>
        <v>535.85110374493036</v>
      </c>
      <c r="AM106" s="59">
        <f t="shared" si="59"/>
        <v>829.18443707826373</v>
      </c>
      <c r="AN106" s="59">
        <f ca="1">AVERAGE(OFFSET($AM$3,0,0,'Données projet'!$E$10+1,1))-AVERAGE(OFFSET($H$3,0,0,'Données projet'!$E$10+1,1))</f>
        <v>447.91110718952615</v>
      </c>
      <c r="AO106" s="59">
        <f t="shared" si="90"/>
        <v>188.87492758536894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21.667354389151654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21.667354389151654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6.071794871794876</v>
      </c>
      <c r="BD106" s="12">
        <f>IF('Données projet'!$A$88&gt;35,BD105+BC106-BL105,IF(A106&lt;'Données projet'!$A$88,$BA$205^A106,IF(A106='Données projet'!$A$88,'Données projet'!$B$88,BD105+BC106-BL105)))</f>
        <v>273.64615384615382</v>
      </c>
      <c r="BE106" s="13">
        <f>BD106*VLOOKUP('Données projet'!$B$11,Paramètres!$A$1:$I$89,3,0)*VLOOKUP('Données projet'!$B$11,Paramètres!$A$1:$I$89,5,0)</f>
        <v>277.47720000000004</v>
      </c>
      <c r="BF106" s="13">
        <f t="shared" si="91"/>
        <v>66.43358820821993</v>
      </c>
      <c r="BG106" s="20">
        <f t="shared" si="61"/>
        <v>598.97795612931634</v>
      </c>
      <c r="BH106" s="59">
        <f t="shared" si="62"/>
        <v>892.31128946264971</v>
      </c>
      <c r="BI106" s="59">
        <f ca="1">AVERAGE(OFFSET($BH$3,0,0,'Données projet'!$E$11+1,1))-AVERAGE(OFFSET($H$3,0,0,'Données projet'!$E$11+1,1))</f>
        <v>496.71433459306451</v>
      </c>
      <c r="BJ106" s="59">
        <f t="shared" si="92"/>
        <v>206.75063396134982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24.282379918876856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24.282379918876856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355.09162485318728</v>
      </c>
      <c r="T107" s="59">
        <f t="shared" si="88"/>
        <v>320.06572891923685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102.42679291849078</v>
      </c>
      <c r="AA107" s="21">
        <f>EXP(-LN(2)/25)*AA106+(1-EXP(-LN(2)/25))/(LN(2)/25)*Calculateur!V107*Calculateur!X107*VLOOKUP('Données projet'!$B$9,Paramètres!$A$1:$I$89,3,0)*0.475*44/12</f>
        <v>19.510159274925723</v>
      </c>
      <c r="AB107" s="21">
        <f>EXP(-LN(2)/2)*AB106+(1-EXP(-LN(2)/2))/(LN(2)/2)*V107*Y107*VLOOKUP('Données projet'!$B$9,Paramètres!$A$1:$I$89,3,0)*0.475*44/12</f>
        <v>2.8497397287866309E-3</v>
      </c>
      <c r="AC107" s="22">
        <f t="shared" si="57"/>
        <v>121.93980193314529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279.71794871794873</v>
      </c>
      <c r="AG107" s="12">
        <f>VLOOKUP(A107,'Données projet'!$A$61:$I$81,9,0)</f>
        <v>6.071794871794876</v>
      </c>
      <c r="AH107" s="12">
        <f t="array" ref="AH107">INDEX(AG:AG,MIN(IF(ISNUMBER(AG107:AG303),ROW(AG107:AG303),"")))</f>
        <v>6.071794871794876</v>
      </c>
      <c r="AI107" s="13">
        <f>IF('Données projet'!$A$62&gt;35,AI106+AH107-AQ106,IF(A107&lt;'Données projet'!$A$62,$AF$205^A107,IF(A107='Données projet'!$A$62,'Données projet'!$B$62,AI106+AH107-AQ106)))</f>
        <v>279.71794871794867</v>
      </c>
      <c r="AJ107" s="13">
        <f>AI107*VLOOKUP('Données projet'!$B$10,Paramètres!$A$1:$I$89,3,0)*VLOOKUP('Données projet'!$B$10,Paramètres!$A$1:$I$89,5,0)</f>
        <v>253.08879999999994</v>
      </c>
      <c r="AK107" s="13">
        <f t="shared" si="89"/>
        <v>61.246887447404951</v>
      </c>
      <c r="AL107" s="20">
        <f t="shared" si="58"/>
        <v>547.46798897089673</v>
      </c>
      <c r="AM107" s="59">
        <f t="shared" si="59"/>
        <v>840.8013223042301</v>
      </c>
      <c r="AN107" s="59">
        <f ca="1">AVERAGE(OFFSET($AM$3,0,0,'Données projet'!$E$10+1,1))-AVERAGE(OFFSET($H$3,0,0,'Données projet'!$E$10+1,1))</f>
        <v>447.91110718952615</v>
      </c>
      <c r="AO107" s="59">
        <f t="shared" si="90"/>
        <v>188.87492758536894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45.987179487179482</v>
      </c>
      <c r="AR107" s="16">
        <f>IF(ISNA(VLOOKUP(A107,'Données projet'!$A$61:$I$81,5,0)),0%,VLOOKUP(A107,'Données projet'!$A$61:$I$81,5,0)*VLOOKUP('Données projet'!$B$10,Paramètres!$A$1:$I$89,7,0))</f>
        <v>0.30099999999999999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35.087789958296405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35.087789958296405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279.71794871794873</v>
      </c>
      <c r="BB107" s="12">
        <f>VLOOKUP(A107,'Données projet'!$A$87:$I$107,9,0)</f>
        <v>6.071794871794876</v>
      </c>
      <c r="BC107" s="12">
        <f t="array" ref="BC107">INDEX(BB:BB,MIN(IF(ISNUMBER(BB107:BB303),ROW(BB107:BB303),"")))</f>
        <v>6.071794871794876</v>
      </c>
      <c r="BD107" s="12">
        <f>IF('Données projet'!$A$88&gt;35,BD106+BC107-BL106,IF(A107&lt;'Données projet'!$A$88,$BA$205^A107,IF(A107='Données projet'!$A$88,'Données projet'!$B$88,BD106+BC107-BL106)))</f>
        <v>279.71794871794867</v>
      </c>
      <c r="BE107" s="13">
        <f>BD107*VLOOKUP('Données projet'!$B$11,Paramètres!$A$1:$I$89,3,0)*VLOOKUP('Données projet'!$B$11,Paramètres!$A$1:$I$89,5,0)</f>
        <v>283.63399999999996</v>
      </c>
      <c r="BF107" s="13">
        <f t="shared" si="91"/>
        <v>67.734400241515758</v>
      </c>
      <c r="BG107" s="20">
        <f t="shared" si="61"/>
        <v>611.96663042063972</v>
      </c>
      <c r="BH107" s="59">
        <f t="shared" si="62"/>
        <v>905.29996375397309</v>
      </c>
      <c r="BI107" s="59">
        <f ca="1">AVERAGE(OFFSET($BH$3,0,0,'Données projet'!$E$11+1,1))-AVERAGE(OFFSET($H$3,0,0,'Données projet'!$E$11+1,1))</f>
        <v>496.71433459306451</v>
      </c>
      <c r="BJ107" s="59">
        <f t="shared" si="92"/>
        <v>206.75063396134982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45.987179487179482</v>
      </c>
      <c r="BM107" s="16">
        <f>IF(ISNA(VLOOKUP(A107,'Données projet'!$A$87:$I$107,5,0)),0%,VLOOKUP(A107,'Données projet'!$A$87:$I$107,5,0)*VLOOKUP('Données projet'!$B$11,Paramètres!$A$1:$I$89,7,0))</f>
        <v>0.30099999999999999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39.322523229125281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39.322523229125281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355.09162485318728</v>
      </c>
      <c r="T108" s="59">
        <f t="shared" si="88"/>
        <v>320.06572891923685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100.41826598353404</v>
      </c>
      <c r="AA108" s="21">
        <f>EXP(-LN(2)/25)*AA107+(1-EXP(-LN(2)/25))/(LN(2)/25)*Calculateur!V108*Calculateur!X108*VLOOKUP('Données projet'!$B$9,Paramètres!$A$1:$I$89,3,0)*0.475*44/12</f>
        <v>18.976652943558193</v>
      </c>
      <c r="AB108" s="21">
        <f>EXP(-LN(2)/2)*AB107+(1-EXP(-LN(2)/2))/(LN(2)/2)*V108*Y108*VLOOKUP('Données projet'!$B$9,Paramètres!$A$1:$I$89,3,0)*0.475*44/12</f>
        <v>2.0150702868417395E-3</v>
      </c>
      <c r="AC108" s="22">
        <f t="shared" si="57"/>
        <v>119.39693399737908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5.9865384615384558</v>
      </c>
      <c r="AI108" s="13">
        <f>IF('Données projet'!$A$62&gt;35,AI107+AH108-AQ107,IF(A108&lt;'Données projet'!$A$62,$AF$205^A108,IF(A108='Données projet'!$A$62,'Données projet'!$B$62,AI107+AH108-AQ107)))</f>
        <v>239.71730769230763</v>
      </c>
      <c r="AJ108" s="13">
        <f>AI108*VLOOKUP('Données projet'!$B$10,Paramètres!$A$1:$I$89,3,0)*VLOOKUP('Données projet'!$B$10,Paramètres!$A$1:$I$89,5,0)</f>
        <v>216.89621999999994</v>
      </c>
      <c r="AK108" s="13">
        <f t="shared" si="89"/>
        <v>53.439737642112412</v>
      </c>
      <c r="AL108" s="20">
        <f t="shared" si="58"/>
        <v>470.83512622667905</v>
      </c>
      <c r="AM108" s="59">
        <f t="shared" si="59"/>
        <v>764.16845956001237</v>
      </c>
      <c r="AN108" s="59">
        <f ca="1">AVERAGE(OFFSET($AM$3,0,0,'Données projet'!$E$10+1,1))-AVERAGE(OFFSET($H$3,0,0,'Données projet'!$E$10+1,1))</f>
        <v>447.91110718952615</v>
      </c>
      <c r="AO108" s="59">
        <f t="shared" si="90"/>
        <v>188.87492758536894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34.399739798652867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34.399739798652867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5.9865384615384558</v>
      </c>
      <c r="BD108" s="12">
        <f>IF('Données projet'!$A$88&gt;35,BD107+BC108-BL107,IF(A108&lt;'Données projet'!$A$88,$BA$205^A108,IF(A108='Données projet'!$A$88,'Données projet'!$B$88,BD107+BC108-BL107)))</f>
        <v>239.71730769230763</v>
      </c>
      <c r="BE108" s="13">
        <f>BD108*VLOOKUP('Données projet'!$B$11,Paramètres!$A$1:$I$89,3,0)*VLOOKUP('Données projet'!$B$11,Paramètres!$A$1:$I$89,5,0)</f>
        <v>243.07334999999995</v>
      </c>
      <c r="BF108" s="13">
        <f t="shared" si="91"/>
        <v>59.100286220435621</v>
      </c>
      <c r="BG108" s="20">
        <f t="shared" si="61"/>
        <v>526.285749750592</v>
      </c>
      <c r="BH108" s="59">
        <f t="shared" si="62"/>
        <v>819.61908308392526</v>
      </c>
      <c r="BI108" s="59">
        <f ca="1">AVERAGE(OFFSET($BH$3,0,0,'Données projet'!$E$11+1,1))-AVERAGE(OFFSET($H$3,0,0,'Données projet'!$E$11+1,1))</f>
        <v>496.71433459306451</v>
      </c>
      <c r="BJ108" s="59">
        <f t="shared" si="92"/>
        <v>206.75063396134982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38.551432532973045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38.551432532973045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355.09162485318728</v>
      </c>
      <c r="T109" s="59">
        <f t="shared" si="88"/>
        <v>320.06572891923685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98.449125036691342</v>
      </c>
      <c r="AA109" s="21">
        <f>EXP(-LN(2)/25)*AA108+(1-EXP(-LN(2)/25))/(LN(2)/25)*Calculateur!V109*Calculateur!X109*VLOOKUP('Données projet'!$B$9,Paramètres!$A$1:$I$89,3,0)*0.475*44/12</f>
        <v>18.457735370877788</v>
      </c>
      <c r="AB109" s="21">
        <f>EXP(-LN(2)/2)*AB108+(1-EXP(-LN(2)/2))/(LN(2)/2)*V109*Y109*VLOOKUP('Données projet'!$B$9,Paramètres!$A$1:$I$89,3,0)*0.475*44/12</f>
        <v>1.4248698643933154E-3</v>
      </c>
      <c r="AC109" s="22">
        <f t="shared" si="57"/>
        <v>116.90828527743352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5.9865384615384558</v>
      </c>
      <c r="AI109" s="13">
        <f>IF('Données projet'!$A$62&gt;35,AI108+AH109-AQ108,IF(A109&lt;'Données projet'!$A$62,$AF$205^A109,IF(A109='Données projet'!$A$62,'Données projet'!$B$62,AI108+AH109-AQ108)))</f>
        <v>245.70384615384609</v>
      </c>
      <c r="AJ109" s="13">
        <f>AI109*VLOOKUP('Données projet'!$B$10,Paramètres!$A$1:$I$89,3,0)*VLOOKUP('Données projet'!$B$10,Paramètres!$A$1:$I$89,5,0)</f>
        <v>222.31283999999994</v>
      </c>
      <c r="AK109" s="13">
        <f t="shared" si="89"/>
        <v>54.617263695846574</v>
      </c>
      <c r="AL109" s="20">
        <f t="shared" si="58"/>
        <v>482.31993060359929</v>
      </c>
      <c r="AM109" s="59">
        <f t="shared" si="59"/>
        <v>775.6532639369326</v>
      </c>
      <c r="AN109" s="59">
        <f ca="1">AVERAGE(OFFSET($AM$3,0,0,'Données projet'!$E$10+1,1))-AVERAGE(OFFSET($H$3,0,0,'Données projet'!$E$10+1,1))</f>
        <v>447.91110718952615</v>
      </c>
      <c r="AO109" s="59">
        <f t="shared" si="90"/>
        <v>188.87492758536894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33.72518188297078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33.72518188297078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5.9865384615384558</v>
      </c>
      <c r="BD109" s="12">
        <f>IF('Données projet'!$A$88&gt;35,BD108+BC109-BL108,IF(A109&lt;'Données projet'!$A$88,$BA$205^A109,IF(A109='Données projet'!$A$88,'Données projet'!$B$88,BD108+BC109-BL108)))</f>
        <v>245.70384615384609</v>
      </c>
      <c r="BE109" s="13">
        <f>BD109*VLOOKUP('Données projet'!$B$11,Paramètres!$A$1:$I$89,3,0)*VLOOKUP('Données projet'!$B$11,Paramètres!$A$1:$I$89,5,0)</f>
        <v>249.14369999999994</v>
      </c>
      <c r="BF109" s="13">
        <f t="shared" si="91"/>
        <v>60.402540495592611</v>
      </c>
      <c r="BG109" s="20">
        <f t="shared" si="61"/>
        <v>539.12636886315704</v>
      </c>
      <c r="BH109" s="59">
        <f t="shared" si="62"/>
        <v>832.4597021964903</v>
      </c>
      <c r="BI109" s="59">
        <f ca="1">AVERAGE(OFFSET($BH$3,0,0,'Données projet'!$E$11+1,1))-AVERAGE(OFFSET($H$3,0,0,'Données projet'!$E$11+1,1))</f>
        <v>496.71433459306451</v>
      </c>
      <c r="BJ109" s="59">
        <f t="shared" si="92"/>
        <v>206.75063396134982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37.795462455053467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37.795462455053467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355.09162485318728</v>
      </c>
      <c r="T110" s="59">
        <f t="shared" si="88"/>
        <v>320.06572891923685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96.518597742758843</v>
      </c>
      <c r="AA110" s="21">
        <f>EXP(-LN(2)/25)*AA109+(1-EXP(-LN(2)/25))/(LN(2)/25)*Calculateur!V110*Calculateur!X110*VLOOKUP('Données projet'!$B$9,Paramètres!$A$1:$I$89,3,0)*0.475*44/12</f>
        <v>17.953007626511017</v>
      </c>
      <c r="AB110" s="21">
        <f>EXP(-LN(2)/2)*AB109+(1-EXP(-LN(2)/2))/(LN(2)/2)*V110*Y110*VLOOKUP('Données projet'!$B$9,Paramètres!$A$1:$I$89,3,0)*0.475*44/12</f>
        <v>1.0075351434208697E-3</v>
      </c>
      <c r="AC110" s="22">
        <f t="shared" si="57"/>
        <v>114.47261290441328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5.9865384615384558</v>
      </c>
      <c r="AI110" s="13">
        <f>IF('Données projet'!$A$62&gt;35,AI109+AH110-AQ109,IF(A110&lt;'Données projet'!$A$62,$AF$205^A110,IF(A110='Données projet'!$A$62,'Données projet'!$B$62,AI109+AH110-AQ109)))</f>
        <v>251.69038461538454</v>
      </c>
      <c r="AJ110" s="13">
        <f>AI110*VLOOKUP('Données projet'!$B$10,Paramètres!$A$1:$I$89,3,0)*VLOOKUP('Données projet'!$B$10,Paramètres!$A$1:$I$89,5,0)</f>
        <v>227.7294599999999</v>
      </c>
      <c r="AK110" s="13">
        <f t="shared" si="89"/>
        <v>55.791454586739938</v>
      </c>
      <c r="AL110" s="20">
        <f t="shared" si="58"/>
        <v>493.79892623857194</v>
      </c>
      <c r="AM110" s="59">
        <f t="shared" si="59"/>
        <v>787.13225957190525</v>
      </c>
      <c r="AN110" s="59">
        <f ca="1">AVERAGE(OFFSET($AM$3,0,0,'Données projet'!$E$10+1,1))-AVERAGE(OFFSET($H$3,0,0,'Données projet'!$E$10+1,1))</f>
        <v>447.91110718952615</v>
      </c>
      <c r="AO110" s="59">
        <f t="shared" si="90"/>
        <v>188.87492758536894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33.063851636575521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33.063851636575521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5.9865384615384558</v>
      </c>
      <c r="BD110" s="12">
        <f>IF('Données projet'!$A$88&gt;35,BD109+BC110-BL109,IF(A110&lt;'Données projet'!$A$88,$BA$205^A110,IF(A110='Données projet'!$A$88,'Données projet'!$B$88,BD109+BC110-BL109)))</f>
        <v>251.69038461538454</v>
      </c>
      <c r="BE110" s="13">
        <f>BD110*VLOOKUP('Données projet'!$B$11,Paramètres!$A$1:$I$89,3,0)*VLOOKUP('Données projet'!$B$11,Paramètres!$A$1:$I$89,5,0)</f>
        <v>255.21404999999996</v>
      </c>
      <c r="BF110" s="13">
        <f t="shared" si="91"/>
        <v>61.701106334256792</v>
      </c>
      <c r="BG110" s="20">
        <f t="shared" si="61"/>
        <v>551.96056394883033</v>
      </c>
      <c r="BH110" s="59">
        <f t="shared" si="62"/>
        <v>845.2938972821637</v>
      </c>
      <c r="BI110" s="59">
        <f ca="1">AVERAGE(OFFSET($BH$3,0,0,'Données projet'!$E$11+1,1))-AVERAGE(OFFSET($H$3,0,0,'Données projet'!$E$11+1,1))</f>
        <v>496.71433459306451</v>
      </c>
      <c r="BJ110" s="59">
        <f t="shared" si="92"/>
        <v>206.75063396134982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37.054316489265673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37.054316489265673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355.09162485318728</v>
      </c>
      <c r="T111" s="59">
        <f t="shared" si="88"/>
        <v>320.06572891923685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94.625926911554984</v>
      </c>
      <c r="AA111" s="21">
        <f>EXP(-LN(2)/25)*AA110+(1-EXP(-LN(2)/25))/(LN(2)/25)*Calculateur!V111*Calculateur!X111*VLOOKUP('Données projet'!$B$9,Paramètres!$A$1:$I$89,3,0)*0.475*44/12</f>
        <v>17.462081688856433</v>
      </c>
      <c r="AB111" s="21">
        <f>EXP(-LN(2)/2)*AB110+(1-EXP(-LN(2)/2))/(LN(2)/2)*V111*Y111*VLOOKUP('Données projet'!$B$9,Paramètres!$A$1:$I$89,3,0)*0.475*44/12</f>
        <v>7.1243493219665772E-4</v>
      </c>
      <c r="AC111" s="22">
        <f t="shared" si="57"/>
        <v>112.08872103534361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5.9865384615384558</v>
      </c>
      <c r="AI111" s="13">
        <f>IF('Données projet'!$A$62&gt;35,AI110+AH111-AQ110,IF(A111&lt;'Données projet'!$A$62,$AF$205^A111,IF(A111='Données projet'!$A$62,'Données projet'!$B$62,AI110+AH111-AQ110)))</f>
        <v>257.676923076923</v>
      </c>
      <c r="AJ111" s="13">
        <f>AI111*VLOOKUP('Données projet'!$B$10,Paramètres!$A$1:$I$89,3,0)*VLOOKUP('Données projet'!$B$10,Paramètres!$A$1:$I$89,5,0)</f>
        <v>233.14607999999996</v>
      </c>
      <c r="AK111" s="13">
        <f t="shared" si="89"/>
        <v>56.96239877088869</v>
      </c>
      <c r="AL111" s="20">
        <f t="shared" si="58"/>
        <v>505.27226719263109</v>
      </c>
      <c r="AM111" s="59">
        <f t="shared" si="59"/>
        <v>798.60560052596441</v>
      </c>
      <c r="AN111" s="59">
        <f ca="1">AVERAGE(OFFSET($AM$3,0,0,'Données projet'!$E$10+1,1))-AVERAGE(OFFSET($H$3,0,0,'Données projet'!$E$10+1,1))</f>
        <v>447.91110718952615</v>
      </c>
      <c r="AO111" s="59">
        <f t="shared" si="90"/>
        <v>188.87492758536894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32.415489672940453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32.415489672940453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5.9865384615384558</v>
      </c>
      <c r="BD111" s="12">
        <f>IF('Données projet'!$A$88&gt;35,BD110+BC111-BL110,IF(A111&lt;'Données projet'!$A$88,$BA$205^A111,IF(A111='Données projet'!$A$88,'Données projet'!$B$88,BD110+BC111-BL110)))</f>
        <v>257.676923076923</v>
      </c>
      <c r="BE111" s="13">
        <f>BD111*VLOOKUP('Données projet'!$B$11,Paramètres!$A$1:$I$89,3,0)*VLOOKUP('Données projet'!$B$11,Paramètres!$A$1:$I$89,5,0)</f>
        <v>261.28439999999995</v>
      </c>
      <c r="BF111" s="13">
        <f t="shared" si="91"/>
        <v>62.996081562144347</v>
      </c>
      <c r="BG111" s="20">
        <f t="shared" si="61"/>
        <v>564.7885053874013</v>
      </c>
      <c r="BH111" s="59">
        <f t="shared" si="62"/>
        <v>858.12183872073456</v>
      </c>
      <c r="BI111" s="59">
        <f ca="1">AVERAGE(OFFSET($BH$3,0,0,'Données projet'!$E$11+1,1))-AVERAGE(OFFSET($H$3,0,0,'Données projet'!$E$11+1,1))</f>
        <v>496.71433459306451</v>
      </c>
      <c r="BJ111" s="59">
        <f t="shared" si="92"/>
        <v>206.75063396134982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36.32770394381258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36.32770394381258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355.09162485318728</v>
      </c>
      <c r="T112" s="59">
        <f t="shared" si="88"/>
        <v>320.06572891923685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92.770370200935815</v>
      </c>
      <c r="AA112" s="21">
        <f>EXP(-LN(2)/25)*AA111+(1-EXP(-LN(2)/25))/(LN(2)/25)*Calculateur!V112*Calculateur!X112*VLOOKUP('Données projet'!$B$9,Paramètres!$A$1:$I$89,3,0)*0.475*44/12</f>
        <v>16.984580146783689</v>
      </c>
      <c r="AB112" s="21">
        <f>EXP(-LN(2)/2)*AB111+(1-EXP(-LN(2)/2))/(LN(2)/2)*V112*Y112*VLOOKUP('Données projet'!$B$9,Paramètres!$A$1:$I$89,3,0)*0.475*44/12</f>
        <v>5.0376757171043487E-4</v>
      </c>
      <c r="AC112" s="22">
        <f t="shared" si="57"/>
        <v>109.75545411529122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5.9865384615384558</v>
      </c>
      <c r="AI112" s="13">
        <f>IF('Données projet'!$A$62&gt;35,AI111+AH112-AQ111,IF(A112&lt;'Données projet'!$A$62,$AF$205^A112,IF(A112='Données projet'!$A$62,'Données projet'!$B$62,AI111+AH112-AQ111)))</f>
        <v>263.66346153846143</v>
      </c>
      <c r="AJ112" s="13">
        <f>AI112*VLOOKUP('Données projet'!$B$10,Paramètres!$A$1:$I$89,3,0)*VLOOKUP('Données projet'!$B$10,Paramètres!$A$1:$I$89,5,0)</f>
        <v>238.56269999999989</v>
      </c>
      <c r="AK112" s="13">
        <f t="shared" si="89"/>
        <v>58.130180359724058</v>
      </c>
      <c r="AL112" s="20">
        <f t="shared" si="58"/>
        <v>516.74009995985261</v>
      </c>
      <c r="AM112" s="59">
        <f t="shared" si="59"/>
        <v>810.07343329318587</v>
      </c>
      <c r="AN112" s="59">
        <f ca="1">AVERAGE(OFFSET($AM$3,0,0,'Données projet'!$E$10+1,1))-AVERAGE(OFFSET($H$3,0,0,'Données projet'!$E$10+1,1))</f>
        <v>447.91110718952615</v>
      </c>
      <c r="AO112" s="59">
        <f t="shared" si="90"/>
        <v>188.87492758536894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31.779841691950519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31.779841691950519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5.9865384615384558</v>
      </c>
      <c r="BD112" s="12">
        <f>IF('Données projet'!$A$88&gt;35,BD111+BC112-BL111,IF(A112&lt;'Données projet'!$A$88,$BA$205^A112,IF(A112='Données projet'!$A$88,'Données projet'!$B$88,BD111+BC112-BL111)))</f>
        <v>263.66346153846143</v>
      </c>
      <c r="BE112" s="13">
        <f>BD112*VLOOKUP('Données projet'!$B$11,Paramètres!$A$1:$I$89,3,0)*VLOOKUP('Données projet'!$B$11,Paramètres!$A$1:$I$89,5,0)</f>
        <v>267.35474999999991</v>
      </c>
      <c r="BF112" s="13">
        <f t="shared" si="91"/>
        <v>64.287559200102251</v>
      </c>
      <c r="BG112" s="20">
        <f t="shared" si="61"/>
        <v>577.61035519017787</v>
      </c>
      <c r="BH112" s="59">
        <f t="shared" si="62"/>
        <v>870.94368852351113</v>
      </c>
      <c r="BI112" s="59">
        <f ca="1">AVERAGE(OFFSET($BH$3,0,0,'Données projet'!$E$11+1,1))-AVERAGE(OFFSET($H$3,0,0,'Données projet'!$E$11+1,1))</f>
        <v>496.71433459306451</v>
      </c>
      <c r="BJ112" s="59">
        <f t="shared" si="92"/>
        <v>206.75063396134982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35.615339827185927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35.615339827185927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355.09162485318728</v>
      </c>
      <c r="T113" s="59">
        <f t="shared" si="88"/>
        <v>320.06572891923685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90.951199825634049</v>
      </c>
      <c r="AA113" s="21">
        <f>EXP(-LN(2)/25)*AA112+(1-EXP(-LN(2)/25))/(LN(2)/25)*Calculateur!V113*Calculateur!X113*VLOOKUP('Données projet'!$B$9,Paramètres!$A$1:$I$89,3,0)*0.475*44/12</f>
        <v>16.520135909489639</v>
      </c>
      <c r="AB113" s="21">
        <f>EXP(-LN(2)/2)*AB112+(1-EXP(-LN(2)/2))/(LN(2)/2)*V113*Y113*VLOOKUP('Données projet'!$B$9,Paramètres!$A$1:$I$89,3,0)*0.475*44/12</f>
        <v>3.5621746609832886E-4</v>
      </c>
      <c r="AC113" s="22">
        <f t="shared" si="57"/>
        <v>107.47169195258978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5.9865384615384558</v>
      </c>
      <c r="AI113" s="13">
        <f>IF('Données projet'!$A$62&gt;35,AI112+AH113-AQ112,IF(A113&lt;'Données projet'!$A$62,$AF$205^A113,IF(A113='Données projet'!$A$62,'Données projet'!$B$62,AI112+AH113-AQ112)))</f>
        <v>269.64999999999986</v>
      </c>
      <c r="AJ113" s="13">
        <f>AI113*VLOOKUP('Données projet'!$B$10,Paramètres!$A$1:$I$89,3,0)*VLOOKUP('Données projet'!$B$10,Paramètres!$A$1:$I$89,5,0)</f>
        <v>243.97931999999986</v>
      </c>
      <c r="AK113" s="13">
        <f t="shared" si="89"/>
        <v>59.294879427135335</v>
      </c>
      <c r="AL113" s="20">
        <f t="shared" si="58"/>
        <v>528.20256400226049</v>
      </c>
      <c r="AM113" s="59">
        <f t="shared" si="59"/>
        <v>821.53589733559375</v>
      </c>
      <c r="AN113" s="59">
        <f ca="1">AVERAGE(OFFSET($AM$3,0,0,'Données projet'!$E$10+1,1))-AVERAGE(OFFSET($H$3,0,0,'Données projet'!$E$10+1,1))</f>
        <v>447.91110718952615</v>
      </c>
      <c r="AO113" s="59">
        <f t="shared" si="90"/>
        <v>188.87492758536894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31.156658380160813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31.156658380160813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5.9865384615384558</v>
      </c>
      <c r="BD113" s="12">
        <f>IF('Données projet'!$A$88&gt;35,BD112+BC113-BL112,IF(A113&lt;'Données projet'!$A$88,$BA$205^A113,IF(A113='Données projet'!$A$88,'Données projet'!$B$88,BD112+BC113-BL112)))</f>
        <v>269.64999999999986</v>
      </c>
      <c r="BE113" s="13">
        <f>BD113*VLOOKUP('Données projet'!$B$11,Paramètres!$A$1:$I$89,3,0)*VLOOKUP('Données projet'!$B$11,Paramètres!$A$1:$I$89,5,0)</f>
        <v>273.42509999999987</v>
      </c>
      <c r="BF113" s="13">
        <f t="shared" si="91"/>
        <v>65.575627803763211</v>
      </c>
      <c r="BG113" s="20">
        <f t="shared" si="61"/>
        <v>590.42626759155394</v>
      </c>
      <c r="BH113" s="59">
        <f t="shared" si="62"/>
        <v>883.75960092488731</v>
      </c>
      <c r="BI113" s="59">
        <f ca="1">AVERAGE(OFFSET($BH$3,0,0,'Données projet'!$E$11+1,1))-AVERAGE(OFFSET($H$3,0,0,'Données projet'!$E$11+1,1))</f>
        <v>496.71433459306451</v>
      </c>
      <c r="BJ113" s="59">
        <f t="shared" si="92"/>
        <v>206.75063396134982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34.916944736387116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34.916944736387116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355.09162485318728</v>
      </c>
      <c r="T114" s="59">
        <f t="shared" si="88"/>
        <v>320.06572891923685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89.167702271807585</v>
      </c>
      <c r="AA114" s="21">
        <f>EXP(-LN(2)/25)*AA113+(1-EXP(-LN(2)/25))/(LN(2)/25)*Calculateur!V114*Calculateur!X114*VLOOKUP('Données projet'!$B$9,Paramètres!$A$1:$I$89,3,0)*0.475*44/12</f>
        <v>16.068391924288456</v>
      </c>
      <c r="AB114" s="21">
        <f>EXP(-LN(2)/2)*AB113+(1-EXP(-LN(2)/2))/(LN(2)/2)*V114*Y114*VLOOKUP('Données projet'!$B$9,Paramètres!$A$1:$I$89,3,0)*0.475*44/12</f>
        <v>2.5188378585521743E-4</v>
      </c>
      <c r="AC114" s="22">
        <f t="shared" si="57"/>
        <v>105.2363460798819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5.9865384615384558</v>
      </c>
      <c r="AI114" s="13">
        <f>IF('Données projet'!$A$62&gt;35,AI113+AH114-AQ113,IF(A114&lt;'Données projet'!$A$62,$AF$205^A114,IF(A114='Données projet'!$A$62,'Données projet'!$B$62,AI113+AH114-AQ113)))</f>
        <v>275.63653846153829</v>
      </c>
      <c r="AJ114" s="13">
        <f>AI114*VLOOKUP('Données projet'!$B$10,Paramètres!$A$1:$I$89,3,0)*VLOOKUP('Données projet'!$B$10,Paramètres!$A$1:$I$89,5,0)</f>
        <v>249.39593999999985</v>
      </c>
      <c r="AK114" s="13">
        <f t="shared" si="89"/>
        <v>60.456572288548877</v>
      </c>
      <c r="AL114" s="20">
        <f t="shared" si="58"/>
        <v>539.65979223588909</v>
      </c>
      <c r="AM114" s="59">
        <f t="shared" si="59"/>
        <v>832.99312556922246</v>
      </c>
      <c r="AN114" s="59">
        <f ca="1">AVERAGE(OFFSET($AM$3,0,0,'Données projet'!$E$10+1,1))-AVERAGE(OFFSET($H$3,0,0,'Données projet'!$E$10+1,1))</f>
        <v>447.91110718952615</v>
      </c>
      <c r="AO114" s="59">
        <f t="shared" si="90"/>
        <v>188.87492758536894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30.545695313011013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30.545695313011013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5.9865384615384558</v>
      </c>
      <c r="BD114" s="12">
        <f>IF('Données projet'!$A$88&gt;35,BD113+BC114-BL113,IF(A114&lt;'Données projet'!$A$88,$BA$205^A114,IF(A114='Données projet'!$A$88,'Données projet'!$B$88,BD113+BC114-BL113)))</f>
        <v>275.63653846153829</v>
      </c>
      <c r="BE114" s="13">
        <f>BD114*VLOOKUP('Données projet'!$B$11,Paramètres!$A$1:$I$89,3,0)*VLOOKUP('Données projet'!$B$11,Paramètres!$A$1:$I$89,5,0)</f>
        <v>279.49544999999989</v>
      </c>
      <c r="BF114" s="13">
        <f t="shared" si="91"/>
        <v>66.860371772185502</v>
      </c>
      <c r="BG114" s="20">
        <f t="shared" si="61"/>
        <v>603.23638958655613</v>
      </c>
      <c r="BH114" s="59">
        <f t="shared" si="62"/>
        <v>896.5697229198895</v>
      </c>
      <c r="BI114" s="59">
        <f ca="1">AVERAGE(OFFSET($BH$3,0,0,'Données projet'!$E$11+1,1))-AVERAGE(OFFSET($H$3,0,0,'Données projet'!$E$11+1,1))</f>
        <v>496.71433459306451</v>
      </c>
      <c r="BJ114" s="59">
        <f t="shared" si="92"/>
        <v>206.75063396134982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34.232244747339927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34.232244747339927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355.09162485318728</v>
      </c>
      <c r="T115" s="59">
        <f t="shared" si="88"/>
        <v>320.06572891923685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87.419178017185558</v>
      </c>
      <c r="AA115" s="21">
        <f>EXP(-LN(2)/25)*AA114+(1-EXP(-LN(2)/25))/(LN(2)/25)*Calculateur!V115*Calculateur!X115*VLOOKUP('Données projet'!$B$9,Paramètres!$A$1:$I$89,3,0)*0.475*44/12</f>
        <v>15.629000902118781</v>
      </c>
      <c r="AB115" s="21">
        <f>EXP(-LN(2)/2)*AB114+(1-EXP(-LN(2)/2))/(LN(2)/2)*V115*Y115*VLOOKUP('Données projet'!$B$9,Paramètres!$A$1:$I$89,3,0)*0.475*44/12</f>
        <v>1.7810873304916443E-4</v>
      </c>
      <c r="AC115" s="22">
        <f t="shared" si="57"/>
        <v>103.04835702803739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5.9865384615384558</v>
      </c>
      <c r="AI115" s="13">
        <f>IF('Données projet'!$A$62&gt;35,AI114+AH115-AQ114,IF(A115&lt;'Données projet'!$A$62,$AF$205^A115,IF(A115='Données projet'!$A$62,'Données projet'!$B$62,AI114+AH115-AQ114)))</f>
        <v>281.62307692307672</v>
      </c>
      <c r="AJ115" s="13">
        <f>AI115*VLOOKUP('Données projet'!$B$10,Paramètres!$A$1:$I$89,3,0)*VLOOKUP('Données projet'!$B$10,Paramètres!$A$1:$I$89,5,0)</f>
        <v>254.81255999999982</v>
      </c>
      <c r="AK115" s="13">
        <f t="shared" si="89"/>
        <v>61.615331755078437</v>
      </c>
      <c r="AL115" s="20">
        <f t="shared" si="58"/>
        <v>551.11191147342799</v>
      </c>
      <c r="AM115" s="59">
        <f t="shared" si="59"/>
        <v>844.44524480676137</v>
      </c>
      <c r="AN115" s="59">
        <f ca="1">AVERAGE(OFFSET($AM$3,0,0,'Données projet'!$E$10+1,1))-AVERAGE(OFFSET($H$3,0,0,'Données projet'!$E$10+1,1))</f>
        <v>447.91110718952615</v>
      </c>
      <c r="AO115" s="59">
        <f t="shared" si="90"/>
        <v>188.87492758536894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29.946712858957348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29.946712858957348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5.9865384615384558</v>
      </c>
      <c r="BD115" s="12">
        <f>IF('Données projet'!$A$88&gt;35,BD114+BC115-BL114,IF(A115&lt;'Données projet'!$A$88,$BA$205^A115,IF(A115='Données projet'!$A$88,'Données projet'!$B$88,BD114+BC115-BL114)))</f>
        <v>281.62307692307672</v>
      </c>
      <c r="BE115" s="13">
        <f>BD115*VLOOKUP('Données projet'!$B$11,Paramètres!$A$1:$I$89,3,0)*VLOOKUP('Données projet'!$B$11,Paramètres!$A$1:$I$89,5,0)</f>
        <v>285.5657999999998</v>
      </c>
      <c r="BF115" s="13">
        <f t="shared" si="91"/>
        <v>68.141871628924491</v>
      </c>
      <c r="BG115" s="20">
        <f t="shared" si="61"/>
        <v>616.04086142037647</v>
      </c>
      <c r="BH115" s="59">
        <f t="shared" si="62"/>
        <v>909.37419475370984</v>
      </c>
      <c r="BI115" s="59">
        <f ca="1">AVERAGE(OFFSET($BH$3,0,0,'Données projet'!$E$11+1,1))-AVERAGE(OFFSET($H$3,0,0,'Données projet'!$E$11+1,1))</f>
        <v>496.71433459306451</v>
      </c>
      <c r="BJ115" s="59">
        <f t="shared" si="92"/>
        <v>206.75063396134982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33.560971307452199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33.560971307452199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355.09162485318728</v>
      </c>
      <c r="T116" s="59">
        <f t="shared" si="88"/>
        <v>320.06572891923685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85.704941256702185</v>
      </c>
      <c r="AA116" s="21">
        <f>EXP(-LN(2)/25)*AA115+(1-EXP(-LN(2)/25))/(LN(2)/25)*Calculateur!V116*Calculateur!X116*VLOOKUP('Données projet'!$B$9,Paramètres!$A$1:$I$89,3,0)*0.475*44/12</f>
        <v>15.201625050556906</v>
      </c>
      <c r="AB116" s="21">
        <f>EXP(-LN(2)/2)*AB115+(1-EXP(-LN(2)/2))/(LN(2)/2)*V116*Y116*VLOOKUP('Données projet'!$B$9,Paramètres!$A$1:$I$89,3,0)*0.475*44/12</f>
        <v>1.2594189292760872E-4</v>
      </c>
      <c r="AC116" s="22">
        <f t="shared" si="57"/>
        <v>100.90669224915202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5.9865384615384558</v>
      </c>
      <c r="AI116" s="13">
        <f>IF('Données projet'!$A$62&gt;35,AI115+AH116-AQ115,IF(A116&lt;'Données projet'!$A$62,$AF$205^A116,IF(A116='Données projet'!$A$62,'Données projet'!$B$62,AI115+AH116-AQ115)))</f>
        <v>287.60961538461515</v>
      </c>
      <c r="AJ116" s="13">
        <f>AI116*VLOOKUP('Données projet'!$B$10,Paramètres!$A$1:$I$89,3,0)*VLOOKUP('Données projet'!$B$10,Paramètres!$A$1:$I$89,5,0)</f>
        <v>260.22917999999976</v>
      </c>
      <c r="AK116" s="13">
        <f t="shared" si="89"/>
        <v>62.771227365455701</v>
      </c>
      <c r="AL116" s="20">
        <f t="shared" si="58"/>
        <v>562.55904282816812</v>
      </c>
      <c r="AM116" s="59">
        <f t="shared" si="59"/>
        <v>855.89237616150149</v>
      </c>
      <c r="AN116" s="59">
        <f ca="1">AVERAGE(OFFSET($AM$3,0,0,'Données projet'!$E$10+1,1))-AVERAGE(OFFSET($H$3,0,0,'Données projet'!$E$10+1,1))</f>
        <v>447.91110718952615</v>
      </c>
      <c r="AO116" s="59">
        <f t="shared" si="90"/>
        <v>188.87492758536894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29.359476085484452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29.359476085484452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5.9865384615384558</v>
      </c>
      <c r="BD116" s="12">
        <f>IF('Données projet'!$A$88&gt;35,BD115+BC116-BL115,IF(A116&lt;'Données projet'!$A$88,$BA$205^A116,IF(A116='Données projet'!$A$88,'Données projet'!$B$88,BD115+BC116-BL115)))</f>
        <v>287.60961538461515</v>
      </c>
      <c r="BE116" s="13">
        <f>BD116*VLOOKUP('Données projet'!$B$11,Paramètres!$A$1:$I$89,3,0)*VLOOKUP('Données projet'!$B$11,Paramètres!$A$1:$I$89,5,0)</f>
        <v>291.63614999999976</v>
      </c>
      <c r="BF116" s="13">
        <f t="shared" si="91"/>
        <v>69.420204278529624</v>
      </c>
      <c r="BG116" s="20">
        <f t="shared" si="61"/>
        <v>628.8398170351054</v>
      </c>
      <c r="BH116" s="59">
        <f t="shared" si="62"/>
        <v>922.17315036843866</v>
      </c>
      <c r="BI116" s="59">
        <f ca="1">AVERAGE(OFFSET($BH$3,0,0,'Données projet'!$E$11+1,1))-AVERAGE(OFFSET($H$3,0,0,'Données projet'!$E$11+1,1))</f>
        <v>496.71433459306451</v>
      </c>
      <c r="BJ116" s="59">
        <f t="shared" si="92"/>
        <v>206.75063396134982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32.9028611302843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32.9028611302843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355.09162485318728</v>
      </c>
      <c r="T117" s="59">
        <f t="shared" si="88"/>
        <v>320.06572891923685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84.024319633510714</v>
      </c>
      <c r="AA117" s="21">
        <f>EXP(-LN(2)/25)*AA116+(1-EXP(-LN(2)/25))/(LN(2)/25)*Calculateur!V117*Calculateur!X117*VLOOKUP('Données projet'!$B$9,Paramètres!$A$1:$I$89,3,0)*0.475*44/12</f>
        <v>14.78593581413071</v>
      </c>
      <c r="AB117" s="21">
        <f>EXP(-LN(2)/2)*AB116+(1-EXP(-LN(2)/2))/(LN(2)/2)*V117*Y117*VLOOKUP('Données projet'!$B$9,Paramètres!$A$1:$I$89,3,0)*0.475*44/12</f>
        <v>8.9054366524582215E-5</v>
      </c>
      <c r="AC117" s="22">
        <f t="shared" si="57"/>
        <v>98.81034450200795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293.59615384615381</v>
      </c>
      <c r="AG117" s="12">
        <f>VLOOKUP(A117,'Données projet'!$A$61:$I$81,9,0)</f>
        <v>5.9865384615384558</v>
      </c>
      <c r="AH117" s="12">
        <f t="array" ref="AH117">INDEX(AG:AG,MIN(IF(ISNUMBER(AG117:AG313),ROW(AG117:AG313),"")))</f>
        <v>5.9865384615384558</v>
      </c>
      <c r="AI117" s="13">
        <f>IF('Données projet'!$A$62&gt;35,AI116+AH117-AQ116,IF(A117&lt;'Données projet'!$A$62,$AF$205^A117,IF(A117='Données projet'!$A$62,'Données projet'!$B$62,AI116+AH117-AQ116)))</f>
        <v>293.59615384615358</v>
      </c>
      <c r="AJ117" s="13">
        <f>AI117*VLOOKUP('Données projet'!$B$10,Paramètres!$A$1:$I$89,3,0)*VLOOKUP('Données projet'!$B$10,Paramètres!$A$1:$I$89,5,0)</f>
        <v>265.64579999999972</v>
      </c>
      <c r="AK117" s="13">
        <f t="shared" si="89"/>
        <v>63.924325598105078</v>
      </c>
      <c r="AL117" s="20">
        <f t="shared" si="58"/>
        <v>574.00130208336589</v>
      </c>
      <c r="AM117" s="59">
        <f t="shared" si="59"/>
        <v>867.33463541669926</v>
      </c>
      <c r="AN117" s="59">
        <f ca="1">AVERAGE(OFFSET($AM$3,0,0,'Données projet'!$E$10+1,1))-AVERAGE(OFFSET($H$3,0,0,'Données projet'!$E$10+1,1))</f>
        <v>447.91110718952615</v>
      </c>
      <c r="AO117" s="59">
        <f t="shared" si="90"/>
        <v>188.87492758536894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42.78846153846154</v>
      </c>
      <c r="AR117" s="16">
        <f>IF(ISNA(VLOOKUP(A117,'Données projet'!$A$61:$I$81,5,0)),0%,VLOOKUP(A117,'Données projet'!$A$61:$I$81,5,0)*VLOOKUP('Données projet'!$B$10,Paramètres!$A$1:$I$89,7,0))</f>
        <v>0.30099999999999999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41.666038675789366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41.666038675789366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293.59615384615381</v>
      </c>
      <c r="BB117" s="12">
        <f>VLOOKUP(A117,'Données projet'!$A$87:$I$107,9,0)</f>
        <v>5.9865384615384558</v>
      </c>
      <c r="BC117" s="12">
        <f t="array" ref="BC117">INDEX(BB:BB,MIN(IF(ISNUMBER(BB117:BB313),ROW(BB117:BB313),"")))</f>
        <v>5.9865384615384558</v>
      </c>
      <c r="BD117" s="12">
        <f>IF('Données projet'!$A$88&gt;35,BD116+BC117-BL116,IF(A117&lt;'Données projet'!$A$88,$BA$205^A117,IF(A117='Données projet'!$A$88,'Données projet'!$B$88,BD116+BC117-BL116)))</f>
        <v>293.59615384615358</v>
      </c>
      <c r="BE117" s="13">
        <f>BD117*VLOOKUP('Données projet'!$B$11,Paramètres!$A$1:$I$89,3,0)*VLOOKUP('Données projet'!$B$11,Paramètres!$A$1:$I$89,5,0)</f>
        <v>297.70649999999978</v>
      </c>
      <c r="BF117" s="13">
        <f t="shared" si="91"/>
        <v>70.695443241083083</v>
      </c>
      <c r="BG117" s="20">
        <f t="shared" si="61"/>
        <v>641.63338447821923</v>
      </c>
      <c r="BH117" s="59">
        <f t="shared" si="62"/>
        <v>934.9667178115526</v>
      </c>
      <c r="BI117" s="59">
        <f ca="1">AVERAGE(OFFSET($BH$3,0,0,'Données projet'!$E$11+1,1))-AVERAGE(OFFSET($H$3,0,0,'Données projet'!$E$11+1,1))</f>
        <v>496.71433459306451</v>
      </c>
      <c r="BJ117" s="59">
        <f t="shared" si="92"/>
        <v>206.75063396134982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42.78846153846154</v>
      </c>
      <c r="BM117" s="16">
        <f>IF(ISNA(VLOOKUP(A117,'Données projet'!$A$87:$I$107,5,0)),0%,VLOOKUP(A117,'Données projet'!$A$87:$I$107,5,0)*VLOOKUP('Données projet'!$B$11,Paramètres!$A$1:$I$89,7,0))</f>
        <v>0.30099999999999999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46.694698515970842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46.694698515970842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355.09162485318728</v>
      </c>
      <c r="T118" s="59">
        <f t="shared" si="88"/>
        <v>320.06572891923685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82.376653975272049</v>
      </c>
      <c r="AA118" s="21">
        <f>EXP(-LN(2)/25)*AA117+(1-EXP(-LN(2)/25))/(LN(2)/25)*Calculateur!V118*Calculateur!X118*VLOOKUP('Données projet'!$B$9,Paramètres!$A$1:$I$89,3,0)*0.475*44/12</f>
        <v>14.381613621734735</v>
      </c>
      <c r="AB118" s="21">
        <f>EXP(-LN(2)/2)*AB117+(1-EXP(-LN(2)/2))/(LN(2)/2)*V118*Y118*VLOOKUP('Données projet'!$B$9,Paramètres!$A$1:$I$89,3,0)*0.475*44/12</f>
        <v>6.2970946463804359E-5</v>
      </c>
      <c r="AC118" s="22">
        <f t="shared" si="57"/>
        <v>96.758330567953237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6.0153846153846189</v>
      </c>
      <c r="AI118" s="13">
        <f>IF('Données projet'!$A$62&gt;35,AI117+AH118-AQ117,IF(A118&lt;'Données projet'!$A$62,$AF$205^A118,IF(A118='Données projet'!$A$62,'Données projet'!$B$62,AI117+AH118-AQ117)))</f>
        <v>256.82307692307666</v>
      </c>
      <c r="AJ118" s="13">
        <f>AI118*VLOOKUP('Données projet'!$B$10,Paramètres!$A$1:$I$89,3,0)*VLOOKUP('Données projet'!$B$10,Paramètres!$A$1:$I$89,5,0)</f>
        <v>232.37351999999976</v>
      </c>
      <c r="AK118" s="13">
        <f t="shared" si="89"/>
        <v>56.795584989176909</v>
      </c>
      <c r="AL118" s="20">
        <f t="shared" si="58"/>
        <v>503.63619118948264</v>
      </c>
      <c r="AM118" s="59">
        <f t="shared" si="59"/>
        <v>796.96952452281596</v>
      </c>
      <c r="AN118" s="59">
        <f ca="1">AVERAGE(OFFSET($AM$3,0,0,'Données projet'!$E$10+1,1))-AVERAGE(OFFSET($H$3,0,0,'Données projet'!$E$10+1,1))</f>
        <v>447.91110718952615</v>
      </c>
      <c r="AO118" s="59">
        <f t="shared" si="90"/>
        <v>188.87492758536894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40.848993071131325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40.848993071131325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6.0153846153846189</v>
      </c>
      <c r="BD118" s="12">
        <f>IF('Données projet'!$A$88&gt;35,BD117+BC118-BL117,IF(A118&lt;'Données projet'!$A$88,$BA$205^A118,IF(A118='Données projet'!$A$88,'Données projet'!$B$88,BD117+BC118-BL117)))</f>
        <v>256.82307692307666</v>
      </c>
      <c r="BE118" s="13">
        <f>BD118*VLOOKUP('Données projet'!$B$11,Paramètres!$A$1:$I$89,3,0)*VLOOKUP('Données projet'!$B$11,Paramètres!$A$1:$I$89,5,0)</f>
        <v>260.41859999999974</v>
      </c>
      <c r="BF118" s="13">
        <f t="shared" si="91"/>
        <v>62.81159820425998</v>
      </c>
      <c r="BG118" s="20">
        <f t="shared" si="61"/>
        <v>562.95926187241901</v>
      </c>
      <c r="BH118" s="59">
        <f t="shared" si="62"/>
        <v>856.29259520575238</v>
      </c>
      <c r="BI118" s="59">
        <f ca="1">AVERAGE(OFFSET($BH$3,0,0,'Données projet'!$E$11+1,1))-AVERAGE(OFFSET($H$3,0,0,'Données projet'!$E$11+1,1))</f>
        <v>496.71433459306451</v>
      </c>
      <c r="BJ118" s="59">
        <f t="shared" si="92"/>
        <v>206.75063396134982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45.779043959026488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45.779043959026488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355.09162485318728</v>
      </c>
      <c r="T119" s="59">
        <f t="shared" si="88"/>
        <v>320.06572891923685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80.761298035614629</v>
      </c>
      <c r="AA119" s="21">
        <f>EXP(-LN(2)/25)*AA118+(1-EXP(-LN(2)/25))/(LN(2)/25)*Calculateur!V119*Calculateur!X119*VLOOKUP('Données projet'!$B$9,Paramètres!$A$1:$I$89,3,0)*0.475*44/12</f>
        <v>13.988347640952208</v>
      </c>
      <c r="AB119" s="21">
        <f>EXP(-LN(2)/2)*AB118+(1-EXP(-LN(2)/2))/(LN(2)/2)*V119*Y119*VLOOKUP('Données projet'!$B$9,Paramètres!$A$1:$I$89,3,0)*0.475*44/12</f>
        <v>4.4527183262291107E-5</v>
      </c>
      <c r="AC119" s="22">
        <f t="shared" si="57"/>
        <v>94.749690203750106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6.0153846153846189</v>
      </c>
      <c r="AI119" s="13">
        <f>IF('Données projet'!$A$62&gt;35,AI118+AH119-AQ118,IF(A119&lt;'Données projet'!$A$62,$AF$205^A119,IF(A119='Données projet'!$A$62,'Données projet'!$B$62,AI118+AH119-AQ118)))</f>
        <v>262.83846153846127</v>
      </c>
      <c r="AJ119" s="13">
        <f>AI119*VLOOKUP('Données projet'!$B$10,Paramètres!$A$1:$I$89,3,0)*VLOOKUP('Données projet'!$B$10,Paramètres!$A$1:$I$89,5,0)</f>
        <v>237.81623999999974</v>
      </c>
      <c r="AK119" s="13">
        <f t="shared" si="89"/>
        <v>57.969434220881595</v>
      </c>
      <c r="AL119" s="20">
        <f t="shared" si="58"/>
        <v>515.16004926803487</v>
      </c>
      <c r="AM119" s="59">
        <f t="shared" si="59"/>
        <v>808.49338260136824</v>
      </c>
      <c r="AN119" s="59">
        <f ca="1">AVERAGE(OFFSET($AM$3,0,0,'Données projet'!$E$10+1,1))-AVERAGE(OFFSET($H$3,0,0,'Données projet'!$E$10+1,1))</f>
        <v>447.91110718952615</v>
      </c>
      <c r="AO119" s="59">
        <f t="shared" si="90"/>
        <v>188.87492758536894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40.047969232432017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40.047969232432017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6.0153846153846189</v>
      </c>
      <c r="BD119" s="12">
        <f>IF('Données projet'!$A$88&gt;35,BD118+BC119-BL118,IF(A119&lt;'Données projet'!$A$88,$BA$205^A119,IF(A119='Données projet'!$A$88,'Données projet'!$B$88,BD118+BC119-BL118)))</f>
        <v>262.83846153846127</v>
      </c>
      <c r="BE119" s="13">
        <f>BD119*VLOOKUP('Données projet'!$B$11,Paramètres!$A$1:$I$89,3,0)*VLOOKUP('Données projet'!$B$11,Paramètres!$A$1:$I$89,5,0)</f>
        <v>266.51819999999975</v>
      </c>
      <c r="BF119" s="13">
        <f t="shared" si="91"/>
        <v>64.109786193841643</v>
      </c>
      <c r="BG119" s="20">
        <f t="shared" si="61"/>
        <v>575.84374262094036</v>
      </c>
      <c r="BH119" s="59">
        <f t="shared" si="62"/>
        <v>869.17707595427373</v>
      </c>
      <c r="BI119" s="59">
        <f ca="1">AVERAGE(OFFSET($BH$3,0,0,'Données projet'!$E$11+1,1))-AVERAGE(OFFSET($H$3,0,0,'Données projet'!$E$11+1,1))</f>
        <v>496.71433459306451</v>
      </c>
      <c r="BJ119" s="59">
        <f t="shared" si="92"/>
        <v>206.75063396134982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44.881344829449681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44.881344829449681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355.09162485318728</v>
      </c>
      <c r="T120" s="59">
        <f t="shared" si="88"/>
        <v>320.06572891923685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79.17761824066406</v>
      </c>
      <c r="AA120" s="21">
        <f>EXP(-LN(2)/25)*AA119+(1-EXP(-LN(2)/25))/(LN(2)/25)*Calculateur!V120*Calculateur!X120*VLOOKUP('Données projet'!$B$9,Paramètres!$A$1:$I$89,3,0)*0.475*44/12</f>
        <v>13.605835539095137</v>
      </c>
      <c r="AB120" s="21">
        <f>EXP(-LN(2)/2)*AB119+(1-EXP(-LN(2)/2))/(LN(2)/2)*V120*Y120*VLOOKUP('Données projet'!$B$9,Paramètres!$A$1:$I$89,3,0)*0.475*44/12</f>
        <v>3.1485473231902179E-5</v>
      </c>
      <c r="AC120" s="22">
        <f t="shared" si="57"/>
        <v>92.783485265232429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6.0153846153846189</v>
      </c>
      <c r="AI120" s="13">
        <f>IF('Données projet'!$A$62&gt;35,AI119+AH120-AQ119,IF(A120&lt;'Données projet'!$A$62,$AF$205^A120,IF(A120='Données projet'!$A$62,'Données projet'!$B$62,AI119+AH120-AQ119)))</f>
        <v>268.85384615384589</v>
      </c>
      <c r="AJ120" s="13">
        <f>AI120*VLOOKUP('Données projet'!$B$10,Paramètres!$A$1:$I$89,3,0)*VLOOKUP('Données projet'!$B$10,Paramètres!$A$1:$I$89,5,0)</f>
        <v>243.25895999999975</v>
      </c>
      <c r="AK120" s="13">
        <f t="shared" si="89"/>
        <v>59.140160240229264</v>
      </c>
      <c r="AL120" s="20">
        <f t="shared" si="58"/>
        <v>526.67846775173223</v>
      </c>
      <c r="AM120" s="59">
        <f t="shared" si="59"/>
        <v>820.0118010850656</v>
      </c>
      <c r="AN120" s="59">
        <f ca="1">AVERAGE(OFFSET($AM$3,0,0,'Données projet'!$E$10+1,1))-AVERAGE(OFFSET($H$3,0,0,'Données projet'!$E$10+1,1))</f>
        <v>447.91110718952615</v>
      </c>
      <c r="AO120" s="59">
        <f t="shared" si="90"/>
        <v>188.87492758536894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39.262652982633305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39.262652982633305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6.0153846153846189</v>
      </c>
      <c r="BD120" s="12">
        <f>IF('Données projet'!$A$88&gt;35,BD119+BC120-BL119,IF(A120&lt;'Données projet'!$A$88,$BA$205^A120,IF(A120='Données projet'!$A$88,'Données projet'!$B$88,BD119+BC120-BL119)))</f>
        <v>268.85384615384589</v>
      </c>
      <c r="BE120" s="13">
        <f>BD120*VLOOKUP('Données projet'!$B$11,Paramètres!$A$1:$I$89,3,0)*VLOOKUP('Données projet'!$B$11,Paramètres!$A$1:$I$89,5,0)</f>
        <v>272.61779999999976</v>
      </c>
      <c r="BF120" s="13">
        <f t="shared" si="91"/>
        <v>65.404520148048675</v>
      </c>
      <c r="BG120" s="20">
        <f t="shared" si="61"/>
        <v>588.72220759118431</v>
      </c>
      <c r="BH120" s="59">
        <f t="shared" si="62"/>
        <v>882.05554092451757</v>
      </c>
      <c r="BI120" s="59">
        <f ca="1">AVERAGE(OFFSET($BH$3,0,0,'Données projet'!$E$11+1,1))-AVERAGE(OFFSET($H$3,0,0,'Données projet'!$E$11+1,1))</f>
        <v>496.71433459306451</v>
      </c>
      <c r="BJ120" s="59">
        <f t="shared" si="92"/>
        <v>206.75063396134982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44.00124903226147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44.00124903226147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355.09162485318728</v>
      </c>
      <c r="T121" s="59">
        <f t="shared" si="88"/>
        <v>320.06572891923685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77.624993440543165</v>
      </c>
      <c r="AA121" s="21">
        <f>EXP(-LN(2)/25)*AA120+(1-EXP(-LN(2)/25))/(LN(2)/25)*Calculateur!V121*Calculateur!X121*VLOOKUP('Données projet'!$B$9,Paramètres!$A$1:$I$89,3,0)*0.475*44/12</f>
        <v>13.233783250778787</v>
      </c>
      <c r="AB121" s="21">
        <f>EXP(-LN(2)/2)*AB120+(1-EXP(-LN(2)/2))/(LN(2)/2)*V121*Y121*VLOOKUP('Données projet'!$B$9,Paramètres!$A$1:$I$89,3,0)*0.475*44/12</f>
        <v>2.2263591631145554E-5</v>
      </c>
      <c r="AC121" s="22">
        <f t="shared" si="57"/>
        <v>90.858798954913581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6.0153846153846189</v>
      </c>
      <c r="AI121" s="13">
        <f>IF('Données projet'!$A$62&gt;35,AI120+AH121-AQ120,IF(A121&lt;'Données projet'!$A$62,$AF$205^A121,IF(A121='Données projet'!$A$62,'Données projet'!$B$62,AI120+AH121-AQ120)))</f>
        <v>274.86923076923051</v>
      </c>
      <c r="AJ121" s="13">
        <f>AI121*VLOOKUP('Données projet'!$B$10,Paramètres!$A$1:$I$89,3,0)*VLOOKUP('Données projet'!$B$10,Paramètres!$A$1:$I$89,5,0)</f>
        <v>248.70167999999973</v>
      </c>
      <c r="AK121" s="13">
        <f t="shared" si="89"/>
        <v>60.307840972128631</v>
      </c>
      <c r="AL121" s="20">
        <f t="shared" si="58"/>
        <v>538.19158235979023</v>
      </c>
      <c r="AM121" s="59">
        <f t="shared" si="59"/>
        <v>831.5249156931236</v>
      </c>
      <c r="AN121" s="59">
        <f ca="1">AVERAGE(OFFSET($AM$3,0,0,'Données projet'!$E$10+1,1))-AVERAGE(OFFSET($H$3,0,0,'Données projet'!$E$10+1,1))</f>
        <v>447.91110718952615</v>
      </c>
      <c r="AO121" s="59">
        <f t="shared" si="90"/>
        <v>188.87492758536894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38.49273630549753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38.49273630549753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6.0153846153846189</v>
      </c>
      <c r="BD121" s="12">
        <f>IF('Données projet'!$A$88&gt;35,BD120+BC121-BL120,IF(A121&lt;'Données projet'!$A$88,$BA$205^A121,IF(A121='Données projet'!$A$88,'Données projet'!$B$88,BD120+BC121-BL120)))</f>
        <v>274.86923076923051</v>
      </c>
      <c r="BE121" s="13">
        <f>BD121*VLOOKUP('Données projet'!$B$11,Paramètres!$A$1:$I$89,3,0)*VLOOKUP('Données projet'!$B$11,Paramètres!$A$1:$I$89,5,0)</f>
        <v>278.71739999999977</v>
      </c>
      <c r="BF121" s="13">
        <f t="shared" si="91"/>
        <v>66.69588624590456</v>
      </c>
      <c r="BG121" s="20">
        <f t="shared" si="61"/>
        <v>601.59480687828329</v>
      </c>
      <c r="BH121" s="59">
        <f t="shared" si="62"/>
        <v>894.92814021161666</v>
      </c>
      <c r="BI121" s="59">
        <f ca="1">AVERAGE(OFFSET($BH$3,0,0,'Données projet'!$E$11+1,1))-AVERAGE(OFFSET($H$3,0,0,'Données projet'!$E$11+1,1))</f>
        <v>496.71433459306451</v>
      </c>
      <c r="BJ121" s="59">
        <f t="shared" si="92"/>
        <v>206.75063396134982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43.138411376850691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43.138411376850691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355.09162485318728</v>
      </c>
      <c r="T122" s="59">
        <f t="shared" si="88"/>
        <v>320.06572891923685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76.102814665745029</v>
      </c>
      <c r="AA122" s="21">
        <f>EXP(-LN(2)/25)*AA121+(1-EXP(-LN(2)/25))/(LN(2)/25)*Calculateur!V122*Calculateur!X122*VLOOKUP('Données projet'!$B$9,Paramètres!$A$1:$I$89,3,0)*0.475*44/12</f>
        <v>12.871904751851826</v>
      </c>
      <c r="AB122" s="21">
        <f>EXP(-LN(2)/2)*AB121+(1-EXP(-LN(2)/2))/(LN(2)/2)*V122*Y122*VLOOKUP('Données projet'!$B$9,Paramètres!$A$1:$I$89,3,0)*0.475*44/12</f>
        <v>1.574273661595109E-5</v>
      </c>
      <c r="AC122" s="22">
        <f t="shared" si="57"/>
        <v>88.974735160333481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6.0153846153846189</v>
      </c>
      <c r="AI122" s="13">
        <f>IF('Données projet'!$A$62&gt;35,AI121+AH122-AQ121,IF(A122&lt;'Données projet'!$A$62,$AF$205^A122,IF(A122='Données projet'!$A$62,'Données projet'!$B$62,AI121+AH122-AQ121)))</f>
        <v>280.88461538461513</v>
      </c>
      <c r="AJ122" s="13">
        <f>AI122*VLOOKUP('Données projet'!$B$10,Paramètres!$A$1:$I$89,3,0)*VLOOKUP('Données projet'!$B$10,Paramètres!$A$1:$I$89,5,0)</f>
        <v>254.14439999999976</v>
      </c>
      <c r="AK122" s="13">
        <f t="shared" si="89"/>
        <v>61.472550736013424</v>
      </c>
      <c r="AL122" s="20">
        <f t="shared" si="58"/>
        <v>549.69952253188956</v>
      </c>
      <c r="AM122" s="59">
        <f t="shared" si="59"/>
        <v>843.03285586522293</v>
      </c>
      <c r="AN122" s="59">
        <f ca="1">AVERAGE(OFFSET($AM$3,0,0,'Données projet'!$E$10+1,1))-AVERAGE(OFFSET($H$3,0,0,'Données projet'!$E$10+1,1))</f>
        <v>447.91110718952615</v>
      </c>
      <c r="AO122" s="59">
        <f t="shared" si="90"/>
        <v>188.87492758536894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37.737917224797584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37.737917224797584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6.0153846153846189</v>
      </c>
      <c r="BD122" s="12">
        <f>IF('Données projet'!$A$88&gt;35,BD121+BC122-BL121,IF(A122&lt;'Données projet'!$A$88,$BA$205^A122,IF(A122='Données projet'!$A$88,'Données projet'!$B$88,BD121+BC122-BL121)))</f>
        <v>280.88461538461513</v>
      </c>
      <c r="BE122" s="13">
        <f>BD122*VLOOKUP('Données projet'!$B$11,Paramètres!$A$1:$I$89,3,0)*VLOOKUP('Données projet'!$B$11,Paramètres!$A$1:$I$89,5,0)</f>
        <v>284.81699999999978</v>
      </c>
      <c r="BF122" s="13">
        <f t="shared" si="91"/>
        <v>67.983966679051861</v>
      </c>
      <c r="BG122" s="20">
        <f t="shared" si="61"/>
        <v>614.46168363268146</v>
      </c>
      <c r="BH122" s="59">
        <f t="shared" si="62"/>
        <v>907.79501696601483</v>
      </c>
      <c r="BI122" s="59">
        <f ca="1">AVERAGE(OFFSET($BH$3,0,0,'Données projet'!$E$11+1,1))-AVERAGE(OFFSET($H$3,0,0,'Données projet'!$E$11+1,1))</f>
        <v>496.71433459306451</v>
      </c>
      <c r="BJ122" s="59">
        <f t="shared" si="92"/>
        <v>206.75063396134982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42.29249344158351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42.29249344158351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355.09162485318728</v>
      </c>
      <c r="T123" s="59">
        <f t="shared" si="88"/>
        <v>320.06572891923685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74.61048488828331</v>
      </c>
      <c r="AA123" s="21">
        <f>EXP(-LN(2)/25)*AA122+(1-EXP(-LN(2)/25))/(LN(2)/25)*Calculateur!V123*Calculateur!X123*VLOOKUP('Données projet'!$B$9,Paramètres!$A$1:$I$89,3,0)*0.475*44/12</f>
        <v>12.519921839508386</v>
      </c>
      <c r="AB123" s="21">
        <f>EXP(-LN(2)/2)*AB122+(1-EXP(-LN(2)/2))/(LN(2)/2)*V123*Y123*VLOOKUP('Données projet'!$B$9,Paramètres!$A$1:$I$89,3,0)*0.475*44/12</f>
        <v>1.1131795815572777E-5</v>
      </c>
      <c r="AC123" s="22">
        <f t="shared" si="57"/>
        <v>87.13041785958751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6.0153846153846189</v>
      </c>
      <c r="AI123" s="13">
        <f>IF('Données projet'!$A$62&gt;35,AI122+AH123-AQ122,IF(A123&lt;'Données projet'!$A$62,$AF$205^A123,IF(A123='Données projet'!$A$62,'Données projet'!$B$62,AI122+AH123-AQ122)))</f>
        <v>286.89999999999975</v>
      </c>
      <c r="AJ123" s="13">
        <f>AI123*VLOOKUP('Données projet'!$B$10,Paramètres!$A$1:$I$89,3,0)*VLOOKUP('Données projet'!$B$10,Paramètres!$A$1:$I$89,5,0)</f>
        <v>259.58711999999974</v>
      </c>
      <c r="AK123" s="13">
        <f t="shared" si="89"/>
        <v>62.634360486247317</v>
      </c>
      <c r="AL123" s="20">
        <f t="shared" si="58"/>
        <v>561.2024118468803</v>
      </c>
      <c r="AM123" s="59">
        <f t="shared" si="59"/>
        <v>854.53574518021355</v>
      </c>
      <c r="AN123" s="59">
        <f ca="1">AVERAGE(OFFSET($AM$3,0,0,'Données projet'!$E$10+1,1))-AVERAGE(OFFSET($H$3,0,0,'Données projet'!$E$10+1,1))</f>
        <v>447.91110718952615</v>
      </c>
      <c r="AO123" s="59">
        <f t="shared" si="90"/>
        <v>188.87492758536894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36.997899685875986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36.997899685875986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6.0153846153846189</v>
      </c>
      <c r="BD123" s="12">
        <f>IF('Données projet'!$A$88&gt;35,BD122+BC123-BL122,IF(A123&lt;'Données projet'!$A$88,$BA$205^A123,IF(A123='Données projet'!$A$88,'Données projet'!$B$88,BD122+BC123-BL122)))</f>
        <v>286.89999999999975</v>
      </c>
      <c r="BE123" s="13">
        <f>BD123*VLOOKUP('Données projet'!$B$11,Paramètres!$A$1:$I$89,3,0)*VLOOKUP('Données projet'!$B$11,Paramètres!$A$1:$I$89,5,0)</f>
        <v>290.91659999999979</v>
      </c>
      <c r="BF123" s="13">
        <f t="shared" si="91"/>
        <v>69.268839917621122</v>
      </c>
      <c r="BG123" s="20">
        <f t="shared" si="61"/>
        <v>627.3229745231896</v>
      </c>
      <c r="BH123" s="59">
        <f t="shared" si="62"/>
        <v>920.65630785652297</v>
      </c>
      <c r="BI123" s="59">
        <f ca="1">AVERAGE(OFFSET($BH$3,0,0,'Données projet'!$E$11+1,1))-AVERAGE(OFFSET($H$3,0,0,'Données projet'!$E$11+1,1))</f>
        <v>496.71433459306451</v>
      </c>
      <c r="BJ123" s="59">
        <f t="shared" si="92"/>
        <v>206.75063396134982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41.463163441067927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41.463163441067927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355.09162485318728</v>
      </c>
      <c r="T124" s="59">
        <f t="shared" si="88"/>
        <v>320.06572891923685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73.14741878752632</v>
      </c>
      <c r="AA124" s="21">
        <f>EXP(-LN(2)/25)*AA123+(1-EXP(-LN(2)/25))/(LN(2)/25)*Calculateur!V124*Calculateur!X124*VLOOKUP('Données projet'!$B$9,Paramètres!$A$1:$I$89,3,0)*0.475*44/12</f>
        <v>12.177563918412956</v>
      </c>
      <c r="AB124" s="21">
        <f>EXP(-LN(2)/2)*AB123+(1-EXP(-LN(2)/2))/(LN(2)/2)*V124*Y124*VLOOKUP('Données projet'!$B$9,Paramètres!$A$1:$I$89,3,0)*0.475*44/12</f>
        <v>7.8713683079755448E-6</v>
      </c>
      <c r="AC124" s="22">
        <f t="shared" si="57"/>
        <v>85.324990577307588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6.0153846153846189</v>
      </c>
      <c r="AI124" s="13">
        <f>IF('Données projet'!$A$62&gt;35,AI123+AH124-AQ123,IF(A124&lt;'Données projet'!$A$62,$AF$205^A124,IF(A124='Données projet'!$A$62,'Données projet'!$B$62,AI123+AH124-AQ123)))</f>
        <v>292.91538461538437</v>
      </c>
      <c r="AJ124" s="13">
        <f>AI124*VLOOKUP('Données projet'!$B$10,Paramètres!$A$1:$I$89,3,0)*VLOOKUP('Données projet'!$B$10,Paramètres!$A$1:$I$89,5,0)</f>
        <v>265.02983999999975</v>
      </c>
      <c r="AK124" s="13">
        <f t="shared" si="89"/>
        <v>63.793338031797148</v>
      </c>
      <c r="AL124" s="20">
        <f t="shared" si="58"/>
        <v>572.70036840537955</v>
      </c>
      <c r="AM124" s="59">
        <f t="shared" si="59"/>
        <v>866.03370173871281</v>
      </c>
      <c r="AN124" s="59">
        <f ca="1">AVERAGE(OFFSET($AM$3,0,0,'Données projet'!$E$10+1,1))-AVERAGE(OFFSET($H$3,0,0,'Données projet'!$E$10+1,1))</f>
        <v>447.91110718952615</v>
      </c>
      <c r="AO124" s="59">
        <f t="shared" si="90"/>
        <v>188.87492758536894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36.27239343952651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36.27239343952651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6.0153846153846189</v>
      </c>
      <c r="BD124" s="12">
        <f>IF('Données projet'!$A$88&gt;35,BD123+BC124-BL123,IF(A124&lt;'Données projet'!$A$88,$BA$205^A124,IF(A124='Données projet'!$A$88,'Données projet'!$B$88,BD123+BC124-BL123)))</f>
        <v>292.91538461538437</v>
      </c>
      <c r="BE124" s="13">
        <f>BD124*VLOOKUP('Données projet'!$B$11,Paramètres!$A$1:$I$89,3,0)*VLOOKUP('Données projet'!$B$11,Paramètres!$A$1:$I$89,5,0)</f>
        <v>297.01619999999974</v>
      </c>
      <c r="BF124" s="13">
        <f t="shared" si="91"/>
        <v>70.550580953173579</v>
      </c>
      <c r="BG124" s="20">
        <f t="shared" si="61"/>
        <v>640.17881016011006</v>
      </c>
      <c r="BH124" s="59">
        <f t="shared" si="62"/>
        <v>933.51214349344332</v>
      </c>
      <c r="BI124" s="59">
        <f ca="1">AVERAGE(OFFSET($BH$3,0,0,'Données projet'!$E$11+1,1))-AVERAGE(OFFSET($H$3,0,0,'Données projet'!$E$11+1,1))</f>
        <v>496.71433459306451</v>
      </c>
      <c r="BJ124" s="59">
        <f t="shared" si="92"/>
        <v>206.75063396134982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40.650096096021102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40.650096096021102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355.09162485318728</v>
      </c>
      <c r="T125" s="59">
        <f t="shared" si="88"/>
        <v>320.06572891923685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71.713042520622977</v>
      </c>
      <c r="AA125" s="21">
        <f>EXP(-LN(2)/25)*AA124+(1-EXP(-LN(2)/25))/(LN(2)/25)*Calculateur!V125*Calculateur!X125*VLOOKUP('Données projet'!$B$9,Paramètres!$A$1:$I$89,3,0)*0.475*44/12</f>
        <v>11.844567792673699</v>
      </c>
      <c r="AB125" s="21">
        <f>EXP(-LN(2)/2)*AB124+(1-EXP(-LN(2)/2))/(LN(2)/2)*V125*Y125*VLOOKUP('Données projet'!$B$9,Paramètres!$A$1:$I$89,3,0)*0.475*44/12</f>
        <v>5.5658979077863884E-6</v>
      </c>
      <c r="AC125" s="22">
        <f t="shared" si="57"/>
        <v>83.557615879194586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6.0153846153846189</v>
      </c>
      <c r="AI125" s="13">
        <f>IF('Données projet'!$A$62&gt;35,AI124+AH125-AQ124,IF(A125&lt;'Données projet'!$A$62,$AF$205^A125,IF(A125='Données projet'!$A$62,'Données projet'!$B$62,AI124+AH125-AQ124)))</f>
        <v>298.93076923076899</v>
      </c>
      <c r="AJ125" s="13">
        <f>AI125*VLOOKUP('Données projet'!$B$10,Paramètres!$A$1:$I$89,3,0)*VLOOKUP('Données projet'!$B$10,Paramètres!$A$1:$I$89,5,0)</f>
        <v>270.47255999999976</v>
      </c>
      <c r="AK125" s="13">
        <f t="shared" si="89"/>
        <v>64.949548237352417</v>
      </c>
      <c r="AL125" s="20">
        <f t="shared" si="58"/>
        <v>584.19350518005501</v>
      </c>
      <c r="AM125" s="59">
        <f t="shared" si="59"/>
        <v>877.52683851338838</v>
      </c>
      <c r="AN125" s="59">
        <f ca="1">AVERAGE(OFFSET($AM$3,0,0,'Données projet'!$E$10+1,1))-AVERAGE(OFFSET($H$3,0,0,'Données projet'!$E$10+1,1))</f>
        <v>447.91110718952615</v>
      </c>
      <c r="AO125" s="59">
        <f t="shared" si="90"/>
        <v>188.87492758536894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35.561113928152835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35.561113928152835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6.0153846153846189</v>
      </c>
      <c r="BD125" s="12">
        <f>IF('Données projet'!$A$88&gt;35,BD124+BC125-BL124,IF(A125&lt;'Données projet'!$A$88,$BA$205^A125,IF(A125='Données projet'!$A$88,'Données projet'!$B$88,BD124+BC125-BL124)))</f>
        <v>298.93076923076899</v>
      </c>
      <c r="BE125" s="13">
        <f>BD125*VLOOKUP('Données projet'!$B$11,Paramètres!$A$1:$I$89,3,0)*VLOOKUP('Données projet'!$B$11,Paramètres!$A$1:$I$89,5,0)</f>
        <v>303.11579999999975</v>
      </c>
      <c r="BF125" s="13">
        <f t="shared" si="91"/>
        <v>71.829261521123385</v>
      </c>
      <c r="BG125" s="20">
        <f t="shared" si="61"/>
        <v>653.02931548262279</v>
      </c>
      <c r="BH125" s="59">
        <f t="shared" si="62"/>
        <v>946.36264881595616</v>
      </c>
      <c r="BI125" s="59">
        <f ca="1">AVERAGE(OFFSET($BH$3,0,0,'Données projet'!$E$11+1,1))-AVERAGE(OFFSET($H$3,0,0,'Données projet'!$E$11+1,1))</f>
        <v>496.71433459306451</v>
      </c>
      <c r="BJ125" s="59">
        <f t="shared" si="92"/>
        <v>206.75063396134982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39.852972505688534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39.852972505688534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355.09162485318728</v>
      </c>
      <c r="T126" s="59">
        <f t="shared" si="88"/>
        <v>320.06572891923685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70.306793497430476</v>
      </c>
      <c r="AA126" s="21">
        <f>EXP(-LN(2)/25)*AA125+(1-EXP(-LN(2)/25))/(LN(2)/25)*Calculateur!V126*Calculateur!X126*VLOOKUP('Données projet'!$B$9,Paramètres!$A$1:$I$89,3,0)*0.475*44/12</f>
        <v>11.520677463504287</v>
      </c>
      <c r="AB126" s="21">
        <f>EXP(-LN(2)/2)*AB125+(1-EXP(-LN(2)/2))/(LN(2)/2)*V126*Y126*VLOOKUP('Données projet'!$B$9,Paramètres!$A$1:$I$89,3,0)*0.475*44/12</f>
        <v>3.9356841539877724E-6</v>
      </c>
      <c r="AC126" s="22">
        <f t="shared" si="57"/>
        <v>81.827474896618909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6.0153846153846189</v>
      </c>
      <c r="AI126" s="13">
        <f>IF('Données projet'!$A$62&gt;35,AI125+AH126-AQ125,IF(A126&lt;'Données projet'!$A$62,$AF$205^A126,IF(A126='Données projet'!$A$62,'Données projet'!$B$62,AI125+AH126-AQ125)))</f>
        <v>304.94615384615361</v>
      </c>
      <c r="AJ126" s="13">
        <f>AI126*VLOOKUP('Données projet'!$B$10,Paramètres!$A$1:$I$89,3,0)*VLOOKUP('Données projet'!$B$10,Paramètres!$A$1:$I$89,5,0)</f>
        <v>275.91527999999977</v>
      </c>
      <c r="AK126" s="13">
        <f t="shared" si="89"/>
        <v>66.103053207798197</v>
      </c>
      <c r="AL126" s="20">
        <f t="shared" si="58"/>
        <v>595.68193033691477</v>
      </c>
      <c r="AM126" s="59">
        <f t="shared" si="59"/>
        <v>889.01526367024803</v>
      </c>
      <c r="AN126" s="59">
        <f ca="1">AVERAGE(OFFSET($AM$3,0,0,'Données projet'!$E$10+1,1))-AVERAGE(OFFSET($H$3,0,0,'Données projet'!$E$10+1,1))</f>
        <v>447.91110718952615</v>
      </c>
      <c r="AO126" s="59">
        <f t="shared" si="90"/>
        <v>188.87492758536894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34.863782174159532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34.863782174159532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6.0153846153846189</v>
      </c>
      <c r="BD126" s="12">
        <f>IF('Données projet'!$A$88&gt;35,BD125+BC126-BL125,IF(A126&lt;'Données projet'!$A$88,$BA$205^A126,IF(A126='Données projet'!$A$88,'Données projet'!$B$88,BD125+BC126-BL125)))</f>
        <v>304.94615384615361</v>
      </c>
      <c r="BE126" s="13">
        <f>BD126*VLOOKUP('Données projet'!$B$11,Paramètres!$A$1:$I$89,3,0)*VLOOKUP('Données projet'!$B$11,Paramètres!$A$1:$I$89,5,0)</f>
        <v>309.21539999999982</v>
      </c>
      <c r="BF126" s="13">
        <f t="shared" si="91"/>
        <v>73.104950304750915</v>
      </c>
      <c r="BG126" s="20">
        <f t="shared" si="61"/>
        <v>665.87461011410744</v>
      </c>
      <c r="BH126" s="59">
        <f t="shared" si="62"/>
        <v>959.20794344744081</v>
      </c>
      <c r="BI126" s="59">
        <f ca="1">AVERAGE(OFFSET($BH$3,0,0,'Données projet'!$E$11+1,1))-AVERAGE(OFFSET($H$3,0,0,'Données projet'!$E$11+1,1))</f>
        <v>496.71433459306451</v>
      </c>
      <c r="BJ126" s="59">
        <f t="shared" si="92"/>
        <v>206.75063396134982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39.071480022765002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39.071480022765002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355.09162485318728</v>
      </c>
      <c r="T127" s="59">
        <f t="shared" si="88"/>
        <v>320.06572891923685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68.928120159855567</v>
      </c>
      <c r="AA127" s="21">
        <f>EXP(-LN(2)/25)*AA126+(1-EXP(-LN(2)/25))/(LN(2)/25)*Calculateur!V127*Calculateur!X127*VLOOKUP('Données projet'!$B$9,Paramètres!$A$1:$I$89,3,0)*0.475*44/12</f>
        <v>11.205643932418665</v>
      </c>
      <c r="AB127" s="21">
        <f>EXP(-LN(2)/2)*AB126+(1-EXP(-LN(2)/2))/(LN(2)/2)*V127*Y127*VLOOKUP('Données projet'!$B$9,Paramètres!$A$1:$I$89,3,0)*0.475*44/12</f>
        <v>2.7829489538931942E-6</v>
      </c>
      <c r="AC127" s="22">
        <f t="shared" si="57"/>
        <v>80.133766875223188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310.96153846153845</v>
      </c>
      <c r="AG127" s="12">
        <f>VLOOKUP(A127,'Données projet'!$A$61:$I$81,9,0)</f>
        <v>6.0153846153846189</v>
      </c>
      <c r="AH127" s="12">
        <f t="array" ref="AH127">INDEX(AG:AG,MIN(IF(ISNUMBER(AG127:AG323),ROW(AG127:AG323),"")))</f>
        <v>6.0153846153846189</v>
      </c>
      <c r="AI127" s="13">
        <f>IF('Données projet'!$A$62&gt;35,AI126+AH127-AQ126,IF(A127&lt;'Données projet'!$A$62,$AF$205^A127,IF(A127='Données projet'!$A$62,'Données projet'!$B$62,AI126+AH127-AQ126)))</f>
        <v>310.96153846153823</v>
      </c>
      <c r="AJ127" s="13">
        <f>AI127*VLOOKUP('Données projet'!$B$10,Paramètres!$A$1:$I$89,3,0)*VLOOKUP('Données projet'!$B$10,Paramètres!$A$1:$I$89,5,0)</f>
        <v>281.35799999999978</v>
      </c>
      <c r="AK127" s="13">
        <f t="shared" si="89"/>
        <v>67.253912457721626</v>
      </c>
      <c r="AL127" s="20">
        <f t="shared" si="58"/>
        <v>607.16574753053146</v>
      </c>
      <c r="AM127" s="59">
        <f t="shared" si="59"/>
        <v>900.49908086386472</v>
      </c>
      <c r="AN127" s="59">
        <f ca="1">AVERAGE(OFFSET($AM$3,0,0,'Données projet'!$E$10+1,1))-AVERAGE(OFFSET($H$3,0,0,'Données projet'!$E$10+1,1))</f>
        <v>447.91110718952615</v>
      </c>
      <c r="AO127" s="59">
        <f t="shared" si="90"/>
        <v>188.87492758536894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39.820512820512818</v>
      </c>
      <c r="AR127" s="16">
        <f>IF(ISNA(VLOOKUP(A127,'Données projet'!$A$61:$I$81,5,0)),0%,VLOOKUP(A127,'Données projet'!$A$61:$I$81,5,0)*VLOOKUP('Données projet'!$B$10,Paramètres!$A$1:$I$89,7,0))</f>
        <v>0.30099999999999999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46.168851002044192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46.168851002044192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310.96153846153845</v>
      </c>
      <c r="BB127" s="12">
        <f>VLOOKUP(A127,'Données projet'!$A$87:$I$107,9,0)</f>
        <v>6.0153846153846189</v>
      </c>
      <c r="BC127" s="12">
        <f t="array" ref="BC127">INDEX(BB:BB,MIN(IF(ISNUMBER(BB127:BB323),ROW(BB127:BB323),"")))</f>
        <v>6.0153846153846189</v>
      </c>
      <c r="BD127" s="12">
        <f>IF('Données projet'!$A$88&gt;35,BD126+BC127-BL126,IF(A127&lt;'Données projet'!$A$88,$BA$205^A127,IF(A127='Données projet'!$A$88,'Données projet'!$B$88,BD126+BC127-BL126)))</f>
        <v>310.96153846153823</v>
      </c>
      <c r="BE127" s="13">
        <f>BD127*VLOOKUP('Données projet'!$B$11,Paramètres!$A$1:$I$89,3,0)*VLOOKUP('Données projet'!$B$11,Paramètres!$A$1:$I$89,5,0)</f>
        <v>315.31499999999977</v>
      </c>
      <c r="BF127" s="13">
        <f t="shared" si="91"/>
        <v>74.377713122664062</v>
      </c>
      <c r="BG127" s="20">
        <f t="shared" si="61"/>
        <v>678.71480868863944</v>
      </c>
      <c r="BH127" s="59">
        <f t="shared" si="62"/>
        <v>972.04814202197281</v>
      </c>
      <c r="BI127" s="59">
        <f ca="1">AVERAGE(OFFSET($BH$3,0,0,'Données projet'!$E$11+1,1))-AVERAGE(OFFSET($H$3,0,0,'Données projet'!$E$11+1,1))</f>
        <v>496.71433459306451</v>
      </c>
      <c r="BJ127" s="59">
        <f t="shared" si="92"/>
        <v>206.75063396134982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39.820512820512818</v>
      </c>
      <c r="BM127" s="16">
        <f>IF(ISNA(VLOOKUP(A127,'Données projet'!$A$87:$I$107,5,0)),0%,VLOOKUP(A127,'Données projet'!$A$87:$I$107,5,0)*VLOOKUP('Données projet'!$B$11,Paramètres!$A$1:$I$89,7,0))</f>
        <v>0.30099999999999999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51.740953709187472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51.740953709187472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355.09162485318728</v>
      </c>
      <c r="T128" s="59">
        <f t="shared" si="88"/>
        <v>320.06572891923685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67.5764817655228</v>
      </c>
      <c r="AA128" s="21">
        <f>EXP(-LN(2)/25)*AA127+(1-EXP(-LN(2)/25))/(LN(2)/25)*Calculateur!V128*Calculateur!X128*VLOOKUP('Données projet'!$B$9,Paramètres!$A$1:$I$89,3,0)*0.475*44/12</f>
        <v>10.899225009807473</v>
      </c>
      <c r="AB128" s="21">
        <f>EXP(-LN(2)/2)*AB127+(1-EXP(-LN(2)/2))/(LN(2)/2)*V128*Y128*VLOOKUP('Données projet'!$B$9,Paramètres!$A$1:$I$89,3,0)*0.475*44/12</f>
        <v>1.9678420769938862E-6</v>
      </c>
      <c r="AC128" s="22">
        <f t="shared" si="57"/>
        <v>78.475708743172362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6.0711538461538508</v>
      </c>
      <c r="AI128" s="13">
        <f>IF('Données projet'!$A$62&gt;35,AI127+AH128-AQ127,IF(A128&lt;'Données projet'!$A$62,$AF$205^A128,IF(A128='Données projet'!$A$62,'Données projet'!$B$62,AI127+AH128-AQ127)))</f>
        <v>277.21217948717924</v>
      </c>
      <c r="AJ128" s="13">
        <f>AI128*VLOOKUP('Données projet'!$B$10,Paramètres!$A$1:$I$89,3,0)*VLOOKUP('Données projet'!$B$10,Paramètres!$A$1:$I$89,5,0)</f>
        <v>250.82157999999976</v>
      </c>
      <c r="AK128" s="13">
        <f t="shared" si="89"/>
        <v>60.761836236258191</v>
      </c>
      <c r="AL128" s="20">
        <f t="shared" si="58"/>
        <v>542.67444994481593</v>
      </c>
      <c r="AM128" s="59">
        <f t="shared" si="59"/>
        <v>836.00778327814919</v>
      </c>
      <c r="AN128" s="59">
        <f ca="1">AVERAGE(OFFSET($AM$3,0,0,'Données projet'!$E$10+1,1))-AVERAGE(OFFSET($H$3,0,0,'Données projet'!$E$10+1,1))</f>
        <v>447.91110718952615</v>
      </c>
      <c r="AO128" s="59">
        <f t="shared" si="90"/>
        <v>188.87492758536894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45.263507994112629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45.263507994112629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6.0711538461538508</v>
      </c>
      <c r="BD128" s="12">
        <f>IF('Données projet'!$A$88&gt;35,BD127+BC128-BL127,IF(A128&lt;'Données projet'!$A$88,$BA$205^A128,IF(A128='Données projet'!$A$88,'Données projet'!$B$88,BD127+BC128-BL127)))</f>
        <v>277.21217948717924</v>
      </c>
      <c r="BE128" s="13">
        <f>BD128*VLOOKUP('Données projet'!$B$11,Paramètres!$A$1:$I$89,3,0)*VLOOKUP('Données projet'!$B$11,Paramètres!$A$1:$I$89,5,0)</f>
        <v>281.09314999999981</v>
      </c>
      <c r="BF128" s="13">
        <f t="shared" si="91"/>
        <v>67.197970485772501</v>
      </c>
      <c r="BG128" s="20">
        <f t="shared" si="61"/>
        <v>606.60703484605335</v>
      </c>
      <c r="BH128" s="59">
        <f t="shared" si="62"/>
        <v>899.94036817938672</v>
      </c>
      <c r="BI128" s="59">
        <f ca="1">AVERAGE(OFFSET($BH$3,0,0,'Données projet'!$E$11+1,1))-AVERAGE(OFFSET($H$3,0,0,'Données projet'!$E$11+1,1))</f>
        <v>496.71433459306451</v>
      </c>
      <c r="BJ128" s="59">
        <f t="shared" si="92"/>
        <v>206.75063396134982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50.726345165815893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50.726345165815893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355.09162485318728</v>
      </c>
      <c r="T129" s="59">
        <f t="shared" si="88"/>
        <v>320.06572891923685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66.251348175684882</v>
      </c>
      <c r="AA129" s="21">
        <f>EXP(-LN(2)/25)*AA128+(1-EXP(-LN(2)/25))/(LN(2)/25)*Calculateur!V129*Calculateur!X129*VLOOKUP('Données projet'!$B$9,Paramètres!$A$1:$I$89,3,0)*0.475*44/12</f>
        <v>10.601185128748956</v>
      </c>
      <c r="AB129" s="21">
        <f>EXP(-LN(2)/2)*AB128+(1-EXP(-LN(2)/2))/(LN(2)/2)*V129*Y129*VLOOKUP('Données projet'!$B$9,Paramètres!$A$1:$I$89,3,0)*0.475*44/12</f>
        <v>1.3914744769465971E-6</v>
      </c>
      <c r="AC129" s="22">
        <f t="shared" si="57"/>
        <v>76.852534695908304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6.0711538461538508</v>
      </c>
      <c r="AI129" s="13">
        <f>IF('Données projet'!$A$62&gt;35,AI128+AH129-AQ128,IF(A129&lt;'Données projet'!$A$62,$AF$205^A129,IF(A129='Données projet'!$A$62,'Données projet'!$B$62,AI128+AH129-AQ128)))</f>
        <v>283.28333333333308</v>
      </c>
      <c r="AJ129" s="13">
        <f>AI129*VLOOKUP('Données projet'!$B$10,Paramètres!$A$1:$I$89,3,0)*VLOOKUP('Données projet'!$B$10,Paramètres!$A$1:$I$89,5,0)</f>
        <v>256.31475999999975</v>
      </c>
      <c r="AK129" s="13">
        <f t="shared" si="89"/>
        <v>61.936182251682439</v>
      </c>
      <c r="AL129" s="20">
        <f t="shared" si="58"/>
        <v>554.28705775501305</v>
      </c>
      <c r="AM129" s="59">
        <f t="shared" si="59"/>
        <v>847.62039108834642</v>
      </c>
      <c r="AN129" s="59">
        <f ca="1">AVERAGE(OFFSET($AM$3,0,0,'Données projet'!$E$10+1,1))-AVERAGE(OFFSET($H$3,0,0,'Données projet'!$E$10+1,1))</f>
        <v>447.91110718952615</v>
      </c>
      <c r="AO129" s="59">
        <f t="shared" si="90"/>
        <v>188.87492758536894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44.375918210361895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44.375918210361895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6.0711538461538508</v>
      </c>
      <c r="BD129" s="12">
        <f>IF('Données projet'!$A$88&gt;35,BD128+BC129-BL128,IF(A129&lt;'Données projet'!$A$88,$BA$205^A129,IF(A129='Données projet'!$A$88,'Données projet'!$B$88,BD128+BC129-BL128)))</f>
        <v>283.28333333333308</v>
      </c>
      <c r="BE129" s="13">
        <f>BD129*VLOOKUP('Données projet'!$B$11,Paramètres!$A$1:$I$89,3,0)*VLOOKUP('Données projet'!$B$11,Paramètres!$A$1:$I$89,5,0)</f>
        <v>287.24929999999978</v>
      </c>
      <c r="BF129" s="13">
        <f t="shared" si="91"/>
        <v>68.496707880372</v>
      </c>
      <c r="BG129" s="20">
        <f t="shared" si="61"/>
        <v>619.59096372498095</v>
      </c>
      <c r="BH129" s="59">
        <f t="shared" si="62"/>
        <v>912.92429705831432</v>
      </c>
      <c r="BI129" s="59">
        <f ca="1">AVERAGE(OFFSET($BH$3,0,0,'Données projet'!$E$11+1,1))-AVERAGE(OFFSET($H$3,0,0,'Données projet'!$E$11+1,1))</f>
        <v>496.71433459306451</v>
      </c>
      <c r="BJ129" s="59">
        <f t="shared" si="92"/>
        <v>206.75063396134982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49.731632477129722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49.731632477129722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355.09162485318728</v>
      </c>
      <c r="T130" s="59">
        <f t="shared" si="88"/>
        <v>320.06572891923685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64.952199647292005</v>
      </c>
      <c r="AA130" s="21">
        <f>EXP(-LN(2)/25)*AA129+(1-EXP(-LN(2)/25))/(LN(2)/25)*Calculateur!V130*Calculateur!X130*VLOOKUP('Données projet'!$B$9,Paramètres!$A$1:$I$89,3,0)*0.475*44/12</f>
        <v>10.311295163911218</v>
      </c>
      <c r="AB130" s="21">
        <f>EXP(-LN(2)/2)*AB129+(1-EXP(-LN(2)/2))/(LN(2)/2)*V130*Y130*VLOOKUP('Données projet'!$B$9,Paramètres!$A$1:$I$89,3,0)*0.475*44/12</f>
        <v>9.839210384969431E-7</v>
      </c>
      <c r="AC130" s="22">
        <f t="shared" si="57"/>
        <v>75.263495795124271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6.0711538461538508</v>
      </c>
      <c r="AI130" s="13">
        <f>IF('Données projet'!$A$62&gt;35,AI129+AH130-AQ129,IF(A130&lt;'Données projet'!$A$62,$AF$205^A130,IF(A130='Données projet'!$A$62,'Données projet'!$B$62,AI129+AH130-AQ129)))</f>
        <v>289.35448717948691</v>
      </c>
      <c r="AJ130" s="13">
        <f>AI130*VLOOKUP('Données projet'!$B$10,Paramètres!$A$1:$I$89,3,0)*VLOOKUP('Données projet'!$B$10,Paramètres!$A$1:$I$89,5,0)</f>
        <v>261.80793999999975</v>
      </c>
      <c r="AK130" s="13">
        <f t="shared" si="89"/>
        <v>63.107602142412418</v>
      </c>
      <c r="AL130" s="20">
        <f t="shared" si="58"/>
        <v>565.89456923136788</v>
      </c>
      <c r="AM130" s="59">
        <f t="shared" si="59"/>
        <v>859.22790256470125</v>
      </c>
      <c r="AN130" s="59">
        <f ca="1">AVERAGE(OFFSET($AM$3,0,0,'Données projet'!$E$10+1,1))-AVERAGE(OFFSET($H$3,0,0,'Données projet'!$E$10+1,1))</f>
        <v>447.91110718952615</v>
      </c>
      <c r="AO130" s="59">
        <f t="shared" si="90"/>
        <v>188.87492758536894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43.505733520894196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43.505733520894196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6.0711538461538508</v>
      </c>
      <c r="BD130" s="12">
        <f>IF('Données projet'!$A$88&gt;35,BD129+BC130-BL129,IF(A130&lt;'Données projet'!$A$88,$BA$205^A130,IF(A130='Données projet'!$A$88,'Données projet'!$B$88,BD129+BC130-BL129)))</f>
        <v>289.35448717948691</v>
      </c>
      <c r="BE130" s="13">
        <f>BD130*VLOOKUP('Données projet'!$B$11,Paramètres!$A$1:$I$89,3,0)*VLOOKUP('Données projet'!$B$11,Paramètres!$A$1:$I$89,5,0)</f>
        <v>293.40544999999975</v>
      </c>
      <c r="BF130" s="13">
        <f t="shared" si="91"/>
        <v>69.792209203565193</v>
      </c>
      <c r="BG130" s="20">
        <f t="shared" si="61"/>
        <v>632.5692564462089</v>
      </c>
      <c r="BH130" s="59">
        <f t="shared" si="62"/>
        <v>925.90258977954227</v>
      </c>
      <c r="BI130" s="59">
        <f ca="1">AVERAGE(OFFSET($BH$3,0,0,'Données projet'!$E$11+1,1))-AVERAGE(OFFSET($H$3,0,0,'Données projet'!$E$11+1,1))</f>
        <v>496.71433459306451</v>
      </c>
      <c r="BJ130" s="59">
        <f t="shared" si="92"/>
        <v>206.75063396134982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48.756425497553856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48.756425497553856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355.09162485318728</v>
      </c>
      <c r="T131" s="59">
        <f t="shared" si="88"/>
        <v>320.06572891923685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63.678526629138545</v>
      </c>
      <c r="AA131" s="21">
        <f>EXP(-LN(2)/25)*AA130+(1-EXP(-LN(2)/25))/(LN(2)/25)*Calculateur!V131*Calculateur!X131*VLOOKUP('Données projet'!$B$9,Paramètres!$A$1:$I$89,3,0)*0.475*44/12</f>
        <v>10.02933225540662</v>
      </c>
      <c r="AB131" s="21">
        <f>EXP(-LN(2)/2)*AB130+(1-EXP(-LN(2)/2))/(LN(2)/2)*V131*Y131*VLOOKUP('Données projet'!$B$9,Paramètres!$A$1:$I$89,3,0)*0.475*44/12</f>
        <v>6.9573723847329855E-7</v>
      </c>
      <c r="AC131" s="22">
        <f t="shared" si="57"/>
        <v>73.707859580282403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6.0711538461538508</v>
      </c>
      <c r="AI131" s="13">
        <f>IF('Données projet'!$A$62&gt;35,AI130+AH131-AQ130,IF(A131&lt;'Données projet'!$A$62,$AF$205^A131,IF(A131='Données projet'!$A$62,'Données projet'!$B$62,AI130+AH131-AQ130)))</f>
        <v>295.42564102564074</v>
      </c>
      <c r="AJ131" s="13">
        <f>AI131*VLOOKUP('Données projet'!$B$10,Paramètres!$A$1:$I$89,3,0)*VLOOKUP('Données projet'!$B$10,Paramètres!$A$1:$I$89,5,0)</f>
        <v>267.30111999999974</v>
      </c>
      <c r="AK131" s="13">
        <f t="shared" si="89"/>
        <v>64.276164376472181</v>
      </c>
      <c r="AL131" s="20">
        <f t="shared" si="58"/>
        <v>577.49710362235521</v>
      </c>
      <c r="AM131" s="59">
        <f t="shared" si="59"/>
        <v>870.83043695568858</v>
      </c>
      <c r="AN131" s="59">
        <f ca="1">AVERAGE(OFFSET($AM$3,0,0,'Données projet'!$E$10+1,1))-AVERAGE(OFFSET($H$3,0,0,'Données projet'!$E$10+1,1))</f>
        <v>447.91110718952615</v>
      </c>
      <c r="AO131" s="59">
        <f t="shared" si="90"/>
        <v>188.87492758536894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42.652612622426709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42.652612622426709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6.0711538461538508</v>
      </c>
      <c r="BD131" s="12">
        <f>IF('Données projet'!$A$88&gt;35,BD130+BC131-BL130,IF(A131&lt;'Données projet'!$A$88,$BA$205^A131,IF(A131='Données projet'!$A$88,'Données projet'!$B$88,BD130+BC131-BL130)))</f>
        <v>295.42564102564074</v>
      </c>
      <c r="BE131" s="13">
        <f>BD131*VLOOKUP('Données projet'!$B$11,Paramètres!$A$1:$I$89,3,0)*VLOOKUP('Données projet'!$B$11,Paramètres!$A$1:$I$89,5,0)</f>
        <v>299.56159999999977</v>
      </c>
      <c r="BF131" s="13">
        <f t="shared" si="91"/>
        <v>71.084550175780223</v>
      </c>
      <c r="BG131" s="20">
        <f t="shared" si="61"/>
        <v>645.54204488948346</v>
      </c>
      <c r="BH131" s="59">
        <f t="shared" si="62"/>
        <v>938.87537822281683</v>
      </c>
      <c r="BI131" s="59">
        <f ca="1">AVERAGE(OFFSET($BH$3,0,0,'Données projet'!$E$11+1,1))-AVERAGE(OFFSET($H$3,0,0,'Données projet'!$E$11+1,1))</f>
        <v>496.71433459306451</v>
      </c>
      <c r="BJ131" s="59">
        <f t="shared" si="92"/>
        <v>206.75063396134982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47.800341732029949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47.800341732029949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355.09162485318728</v>
      </c>
      <c r="T132" s="59">
        <f t="shared" si="88"/>
        <v>320.06572891923685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62.429829562007242</v>
      </c>
      <c r="AA132" s="21">
        <f>EXP(-LN(2)/25)*AA131+(1-EXP(-LN(2)/25))/(LN(2)/25)*Calculateur!V132*Calculateur!X132*VLOOKUP('Données projet'!$B$9,Paramètres!$A$1:$I$89,3,0)*0.475*44/12</f>
        <v>9.755079637462865</v>
      </c>
      <c r="AB132" s="21">
        <f>EXP(-LN(2)/2)*AB131+(1-EXP(-LN(2)/2))/(LN(2)/2)*V132*Y132*VLOOKUP('Données projet'!$B$9,Paramètres!$A$1:$I$89,3,0)*0.475*44/12</f>
        <v>4.9196051924847155E-7</v>
      </c>
      <c r="AC132" s="22">
        <f t="shared" ref="AC132:AC153" si="111">SUM(Z132:AB132)</f>
        <v>72.184909691430633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6.0711538461538508</v>
      </c>
      <c r="AI132" s="13">
        <f>IF('Données projet'!$A$62&gt;35,AI131+AH132-AQ131,IF(A132&lt;'Données projet'!$A$62,$AF$205^A132,IF(A132='Données projet'!$A$62,'Données projet'!$B$62,AI131+AH132-AQ131)))</f>
        <v>301.49679487179458</v>
      </c>
      <c r="AJ132" s="13">
        <f>AI132*VLOOKUP('Données projet'!$B$10,Paramètres!$A$1:$I$89,3,0)*VLOOKUP('Données projet'!$B$10,Paramètres!$A$1:$I$89,5,0)</f>
        <v>272.79429999999974</v>
      </c>
      <c r="AK132" s="13">
        <f t="shared" si="89"/>
        <v>65.441934446926723</v>
      </c>
      <c r="AL132" s="20">
        <f t="shared" ref="AL132:AL153" si="112">(AJ132+AK132)*0.475*44/12</f>
        <v>589.09477499506363</v>
      </c>
      <c r="AM132" s="59">
        <f t="shared" ref="AM132:AM195" si="113">AL132+(AD132+AE132)*44/12</f>
        <v>882.428108328397</v>
      </c>
      <c r="AN132" s="59">
        <f ca="1">AVERAGE(OFFSET($AM$3,0,0,'Données projet'!$E$10+1,1))-AVERAGE(OFFSET($H$3,0,0,'Données projet'!$E$10+1,1))</f>
        <v>447.91110718952615</v>
      </c>
      <c r="AO132" s="59">
        <f t="shared" si="90"/>
        <v>188.87492758536894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41.816220904425798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41.816220904425798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6.0711538461538508</v>
      </c>
      <c r="BD132" s="12">
        <f>IF('Données projet'!$A$88&gt;35,BD131+BC132-BL131,IF(A132&lt;'Données projet'!$A$88,$BA$205^A132,IF(A132='Données projet'!$A$88,'Données projet'!$B$88,BD131+BC132-BL131)))</f>
        <v>301.49679487179458</v>
      </c>
      <c r="BE132" s="13">
        <f>BD132*VLOOKUP('Données projet'!$B$11,Paramètres!$A$1:$I$89,3,0)*VLOOKUP('Données projet'!$B$11,Paramètres!$A$1:$I$89,5,0)</f>
        <v>305.71774999999974</v>
      </c>
      <c r="BF132" s="13">
        <f t="shared" si="91"/>
        <v>72.373803227366807</v>
      </c>
      <c r="BG132" s="20">
        <f t="shared" ref="BG132:BG153" si="115">(BE132+BF132)*0.475*44/12</f>
        <v>658.50945520433004</v>
      </c>
      <c r="BH132" s="59">
        <f t="shared" ref="BH132:BH195" si="116">BG132+(AY132+AZ132)*44/12</f>
        <v>951.84278853766341</v>
      </c>
      <c r="BI132" s="59">
        <f ca="1">AVERAGE(OFFSET($BH$3,0,0,'Données projet'!$E$11+1,1))-AVERAGE(OFFSET($H$3,0,0,'Données projet'!$E$11+1,1))</f>
        <v>496.71433459306451</v>
      </c>
      <c r="BJ132" s="59">
        <f t="shared" si="92"/>
        <v>206.75063396134982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46.86300618599445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46.86300618599445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355.09162485318728</v>
      </c>
      <c r="T133" s="59">
        <f t="shared" ref="T133:T196" si="142">$T$3</f>
        <v>320.06572891923685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61.205618682732378</v>
      </c>
      <c r="AA133" s="21">
        <f>EXP(-LN(2)/25)*AA132+(1-EXP(-LN(2)/25))/(LN(2)/25)*Calculateur!V133*Calculateur!X133*VLOOKUP('Données projet'!$B$9,Paramètres!$A$1:$I$89,3,0)*0.475*44/12</f>
        <v>9.4883264717791</v>
      </c>
      <c r="AB133" s="21">
        <f>EXP(-LN(2)/2)*AB132+(1-EXP(-LN(2)/2))/(LN(2)/2)*V133*Y133*VLOOKUP('Données projet'!$B$9,Paramètres!$A$1:$I$89,3,0)*0.475*44/12</f>
        <v>3.4786861923664928E-7</v>
      </c>
      <c r="AC133" s="22">
        <f t="shared" si="111"/>
        <v>70.693945502380103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6.0711538461538508</v>
      </c>
      <c r="AI133" s="13">
        <f>IF('Données projet'!$A$62&gt;35,AI132+AH133-AQ132,IF(A133&lt;'Données projet'!$A$62,$AF$205^A133,IF(A133='Données projet'!$A$62,'Données projet'!$B$62,AI132+AH133-AQ132)))</f>
        <v>307.56794871794841</v>
      </c>
      <c r="AJ133" s="13">
        <f>AI133*VLOOKUP('Données projet'!$B$10,Paramètres!$A$1:$I$89,3,0)*VLOOKUP('Données projet'!$B$10,Paramètres!$A$1:$I$89,5,0)</f>
        <v>278.28747999999968</v>
      </c>
      <c r="AK133" s="13">
        <f t="shared" ref="AK133:AK153" si="143">EXP(-1.0587+0.8836*LN(AJ133)+0.284)</f>
        <v>66.60497505840425</v>
      </c>
      <c r="AL133" s="20">
        <f t="shared" si="112"/>
        <v>600.68769256005351</v>
      </c>
      <c r="AM133" s="59">
        <f t="shared" si="113"/>
        <v>894.02102589338688</v>
      </c>
      <c r="AN133" s="59">
        <f ca="1">AVERAGE(OFFSET($AM$3,0,0,'Données projet'!$E$10+1,1))-AVERAGE(OFFSET($H$3,0,0,'Données projet'!$E$10+1,1))</f>
        <v>447.91110718952615</v>
      </c>
      <c r="AO133" s="59">
        <f t="shared" ref="AO133:AO196" si="144">$AO$3</f>
        <v>188.87492758536894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40.996230317866313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40.996230317866313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6.0711538461538508</v>
      </c>
      <c r="BD133" s="12">
        <f>IF('Données projet'!$A$88&gt;35,BD132+BC133-BL132,IF(A133&lt;'Données projet'!$A$88,$BA$205^A133,IF(A133='Données projet'!$A$88,'Données projet'!$B$88,BD132+BC133-BL132)))</f>
        <v>307.56794871794841</v>
      </c>
      <c r="BE133" s="13">
        <f>BD133*VLOOKUP('Données projet'!$B$11,Paramètres!$A$1:$I$89,3,0)*VLOOKUP('Données projet'!$B$11,Paramètres!$A$1:$I$89,5,0)</f>
        <v>311.87389999999971</v>
      </c>
      <c r="BF133" s="13">
        <f t="shared" ref="BF133:BF153" si="145">EXP(-1.0587+0.8836*LN(BE133)+0.284)</f>
        <v>73.660037704875649</v>
      </c>
      <c r="BG133" s="20">
        <f t="shared" si="115"/>
        <v>671.47160816932455</v>
      </c>
      <c r="BH133" s="59">
        <f t="shared" si="116"/>
        <v>964.80494150265781</v>
      </c>
      <c r="BI133" s="59">
        <f ca="1">AVERAGE(OFFSET($BH$3,0,0,'Données projet'!$E$11+1,1))-AVERAGE(OFFSET($H$3,0,0,'Données projet'!$E$11+1,1))</f>
        <v>496.71433459306451</v>
      </c>
      <c r="BJ133" s="59">
        <f t="shared" ref="BJ133:BJ196" si="146">$BJ$3</f>
        <v>206.75063396134982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45.944051218298476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45.944051218298476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355.09162485318728</v>
      </c>
      <c r="T134" s="59">
        <f t="shared" si="142"/>
        <v>320.06572891923685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60.005413832105191</v>
      </c>
      <c r="AA134" s="21">
        <f>EXP(-LN(2)/25)*AA133+(1-EXP(-LN(2)/25))/(LN(2)/25)*Calculateur!V134*Calculateur!X134*VLOOKUP('Données projet'!$B$9,Paramètres!$A$1:$I$89,3,0)*0.475*44/12</f>
        <v>9.2288676854388978</v>
      </c>
      <c r="AB134" s="21">
        <f>EXP(-LN(2)/2)*AB133+(1-EXP(-LN(2)/2))/(LN(2)/2)*V134*Y134*VLOOKUP('Données projet'!$B$9,Paramètres!$A$1:$I$89,3,0)*0.475*44/12</f>
        <v>2.4598025962423578E-7</v>
      </c>
      <c r="AC134" s="22">
        <f t="shared" si="111"/>
        <v>69.234281763524351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6.0711538461538508</v>
      </c>
      <c r="AI134" s="13">
        <f>IF('Données projet'!$A$62&gt;35,AI133+AH134-AQ133,IF(A134&lt;'Données projet'!$A$62,$AF$205^A134,IF(A134='Données projet'!$A$62,'Données projet'!$B$62,AI133+AH134-AQ133)))</f>
        <v>313.63910256410225</v>
      </c>
      <c r="AJ134" s="13">
        <f>AI134*VLOOKUP('Données projet'!$B$10,Paramètres!$A$1:$I$89,3,0)*VLOOKUP('Données projet'!$B$10,Paramètres!$A$1:$I$89,5,0)</f>
        <v>283.78065999999973</v>
      </c>
      <c r="AK134" s="13">
        <f t="shared" si="143"/>
        <v>67.76534629847545</v>
      </c>
      <c r="AL134" s="20">
        <f t="shared" si="112"/>
        <v>612.27596096984428</v>
      </c>
      <c r="AM134" s="59">
        <f t="shared" si="113"/>
        <v>905.60929430317765</v>
      </c>
      <c r="AN134" s="59">
        <f ca="1">AVERAGE(OFFSET($AM$3,0,0,'Données projet'!$E$10+1,1))-AVERAGE(OFFSET($H$3,0,0,'Données projet'!$E$10+1,1))</f>
        <v>447.91110718952615</v>
      </c>
      <c r="AO134" s="59">
        <f t="shared" si="144"/>
        <v>188.87492758536894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40.192319246564388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40.192319246564388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6.0711538461538508</v>
      </c>
      <c r="BD134" s="12">
        <f>IF('Données projet'!$A$88&gt;35,BD133+BC134-BL133,IF(A134&lt;'Données projet'!$A$88,$BA$205^A134,IF(A134='Données projet'!$A$88,'Données projet'!$B$88,BD133+BC134-BL133)))</f>
        <v>313.63910256410225</v>
      </c>
      <c r="BE134" s="13">
        <f>BD134*VLOOKUP('Données projet'!$B$11,Paramètres!$A$1:$I$89,3,0)*VLOOKUP('Données projet'!$B$11,Paramètres!$A$1:$I$89,5,0)</f>
        <v>318.03004999999973</v>
      </c>
      <c r="BF134" s="13">
        <f t="shared" si="145"/>
        <v>74.943320060590807</v>
      </c>
      <c r="BG134" s="20">
        <f t="shared" si="115"/>
        <v>684.42861952219516</v>
      </c>
      <c r="BH134" s="59">
        <f t="shared" si="116"/>
        <v>977.76195285552853</v>
      </c>
      <c r="BI134" s="59">
        <f ca="1">AVERAGE(OFFSET($BH$3,0,0,'Données projet'!$E$11+1,1))-AVERAGE(OFFSET($H$3,0,0,'Données projet'!$E$11+1,1))</f>
        <v>496.71433459306451</v>
      </c>
      <c r="BJ134" s="59">
        <f t="shared" si="146"/>
        <v>206.75063396134982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45.043116397011836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45.043116397011836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355.09162485318728</v>
      </c>
      <c r="T135" s="59">
        <f t="shared" si="142"/>
        <v>320.06572891923685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58.828744266546124</v>
      </c>
      <c r="AA135" s="21">
        <f>EXP(-LN(2)/25)*AA134+(1-EXP(-LN(2)/25))/(LN(2)/25)*Calculateur!V135*Calculateur!X135*VLOOKUP('Données projet'!$B$9,Paramètres!$A$1:$I$89,3,0)*0.475*44/12</f>
        <v>8.9765038132555119</v>
      </c>
      <c r="AB135" s="21">
        <f>EXP(-LN(2)/2)*AB134+(1-EXP(-LN(2)/2))/(LN(2)/2)*V135*Y135*VLOOKUP('Données projet'!$B$9,Paramètres!$A$1:$I$89,3,0)*0.475*44/12</f>
        <v>1.7393430961832464E-7</v>
      </c>
      <c r="AC135" s="22">
        <f t="shared" si="111"/>
        <v>67.80524825373594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6.0711538461538508</v>
      </c>
      <c r="AI135" s="13">
        <f>IF('Données projet'!$A$62&gt;35,AI134+AH135-AQ134,IF(A135&lt;'Données projet'!$A$62,$AF$205^A135,IF(A135='Données projet'!$A$62,'Données projet'!$B$62,AI134+AH135-AQ134)))</f>
        <v>319.71025641025608</v>
      </c>
      <c r="AJ135" s="13">
        <f>AI135*VLOOKUP('Données projet'!$B$10,Paramètres!$A$1:$I$89,3,0)*VLOOKUP('Données projet'!$B$10,Paramètres!$A$1:$I$89,5,0)</f>
        <v>289.27383999999967</v>
      </c>
      <c r="AK135" s="13">
        <f t="shared" si="143"/>
        <v>68.923105795388125</v>
      </c>
      <c r="AL135" s="20">
        <f t="shared" si="112"/>
        <v>623.8596805936337</v>
      </c>
      <c r="AM135" s="59">
        <f t="shared" si="113"/>
        <v>917.19301392696707</v>
      </c>
      <c r="AN135" s="59">
        <f ca="1">AVERAGE(OFFSET($AM$3,0,0,'Données projet'!$E$10+1,1))-AVERAGE(OFFSET($H$3,0,0,'Données projet'!$E$10+1,1))</f>
        <v>447.91110718952615</v>
      </c>
      <c r="AO135" s="59">
        <f t="shared" si="144"/>
        <v>188.87492758536894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39.404172381033355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39.404172381033355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6.0711538461538508</v>
      </c>
      <c r="BD135" s="12">
        <f>IF('Données projet'!$A$88&gt;35,BD134+BC135-BL134,IF(A135&lt;'Données projet'!$A$88,$BA$205^A135,IF(A135='Données projet'!$A$88,'Données projet'!$B$88,BD134+BC135-BL134)))</f>
        <v>319.71025641025608</v>
      </c>
      <c r="BE135" s="13">
        <f>BD135*VLOOKUP('Données projet'!$B$11,Paramètres!$A$1:$I$89,3,0)*VLOOKUP('Données projet'!$B$11,Paramètres!$A$1:$I$89,5,0)</f>
        <v>324.1861999999997</v>
      </c>
      <c r="BF135" s="13">
        <f t="shared" si="145"/>
        <v>76.223714026972289</v>
      </c>
      <c r="BG135" s="20">
        <f t="shared" si="115"/>
        <v>697.3806002636428</v>
      </c>
      <c r="BH135" s="59">
        <f t="shared" si="116"/>
        <v>990.71393359697618</v>
      </c>
      <c r="BI135" s="59">
        <f ca="1">AVERAGE(OFFSET($BH$3,0,0,'Données projet'!$E$11+1,1))-AVERAGE(OFFSET($H$3,0,0,'Données projet'!$E$11+1,1))</f>
        <v>496.71433459306451</v>
      </c>
      <c r="BJ135" s="59">
        <f t="shared" si="146"/>
        <v>206.75063396134982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44.159848358054646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44.159848358054646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355.09162485318728</v>
      </c>
      <c r="T136" s="59">
        <f t="shared" si="142"/>
        <v>320.06572891923685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57.675148473470102</v>
      </c>
      <c r="AA136" s="21">
        <f>EXP(-LN(2)/25)*AA135+(1-EXP(-LN(2)/25))/(LN(2)/25)*Calculateur!V136*Calculateur!X136*VLOOKUP('Données projet'!$B$9,Paramètres!$A$1:$I$89,3,0)*0.475*44/12</f>
        <v>8.7310408444282199</v>
      </c>
      <c r="AB136" s="21">
        <f>EXP(-LN(2)/2)*AB135+(1-EXP(-LN(2)/2))/(LN(2)/2)*V136*Y136*VLOOKUP('Données projet'!$B$9,Paramètres!$A$1:$I$89,3,0)*0.475*44/12</f>
        <v>1.2299012981211789E-7</v>
      </c>
      <c r="AC136" s="22">
        <f t="shared" si="111"/>
        <v>66.406189440888454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6.0711538461538508</v>
      </c>
      <c r="AI136" s="13">
        <f>IF('Données projet'!$A$62&gt;35,AI135+AH136-AQ135,IF(A136&lt;'Données projet'!$A$62,$AF$205^A136,IF(A136='Données projet'!$A$62,'Données projet'!$B$62,AI135+AH136-AQ135)))</f>
        <v>325.78141025640991</v>
      </c>
      <c r="AJ136" s="13">
        <f>AI136*VLOOKUP('Données projet'!$B$10,Paramètres!$A$1:$I$89,3,0)*VLOOKUP('Données projet'!$B$10,Paramètres!$A$1:$I$89,5,0)</f>
        <v>294.76701999999966</v>
      </c>
      <c r="AK136" s="13">
        <f t="shared" si="143"/>
        <v>70.078308863481737</v>
      </c>
      <c r="AL136" s="20">
        <f t="shared" si="112"/>
        <v>635.43894777056346</v>
      </c>
      <c r="AM136" s="59">
        <f t="shared" si="113"/>
        <v>928.77228110389683</v>
      </c>
      <c r="AN136" s="59">
        <f ca="1">AVERAGE(OFFSET($AM$3,0,0,'Données projet'!$E$10+1,1))-AVERAGE(OFFSET($H$3,0,0,'Données projet'!$E$10+1,1))</f>
        <v>447.91110718952615</v>
      </c>
      <c r="AO136" s="59">
        <f t="shared" si="144"/>
        <v>188.87492758536894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38.631480594813269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38.631480594813269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6.0711538461538508</v>
      </c>
      <c r="BD136" s="12">
        <f>IF('Données projet'!$A$88&gt;35,BD135+BC136-BL135,IF(A136&lt;'Données projet'!$A$88,$BA$205^A136,IF(A136='Données projet'!$A$88,'Données projet'!$B$88,BD135+BC136-BL135)))</f>
        <v>325.78141025640991</v>
      </c>
      <c r="BE136" s="13">
        <f>BD136*VLOOKUP('Données projet'!$B$11,Paramètres!$A$1:$I$89,3,0)*VLOOKUP('Données projet'!$B$11,Paramètres!$A$1:$I$89,5,0)</f>
        <v>330.34234999999967</v>
      </c>
      <c r="BF136" s="13">
        <f t="shared" si="145"/>
        <v>77.501280777473198</v>
      </c>
      <c r="BG136" s="20">
        <f t="shared" si="115"/>
        <v>710.32765693743193</v>
      </c>
      <c r="BH136" s="59">
        <f t="shared" si="116"/>
        <v>1003.6609902707653</v>
      </c>
      <c r="BI136" s="59">
        <f ca="1">AVERAGE(OFFSET($BH$3,0,0,'Données projet'!$E$11+1,1))-AVERAGE(OFFSET($H$3,0,0,'Données projet'!$E$11+1,1))</f>
        <v>496.71433459306451</v>
      </c>
      <c r="BJ136" s="59">
        <f t="shared" si="146"/>
        <v>206.75063396134982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43.293900666601097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43.293900666601097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355.09162485318728</v>
      </c>
      <c r="T137" s="59">
        <f t="shared" si="142"/>
        <v>320.06572891923685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56.544173990272348</v>
      </c>
      <c r="AA137" s="21">
        <f>EXP(-LN(2)/25)*AA136+(1-EXP(-LN(2)/25))/(LN(2)/25)*Calculateur!V137*Calculateur!X137*VLOOKUP('Données projet'!$B$9,Paramètres!$A$1:$I$89,3,0)*0.475*44/12</f>
        <v>8.4922900733918478</v>
      </c>
      <c r="AB137" s="21">
        <f>EXP(-LN(2)/2)*AB136+(1-EXP(-LN(2)/2))/(LN(2)/2)*V137*Y137*VLOOKUP('Données projet'!$B$9,Paramètres!$A$1:$I$89,3,0)*0.475*44/12</f>
        <v>8.6967154809162319E-8</v>
      </c>
      <c r="AC137" s="22">
        <f t="shared" si="111"/>
        <v>65.036464150631346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331.85256410256414</v>
      </c>
      <c r="AG137" s="12">
        <f>VLOOKUP(A137,'Données projet'!$A$61:$I$81,9,0)</f>
        <v>6.0711538461538508</v>
      </c>
      <c r="AH137" s="12">
        <f t="array" ref="AH137">INDEX(AG:AG,MIN(IF(ISNUMBER(AG137:AG333),ROW(AG137:AG333),"")))</f>
        <v>6.0711538461538508</v>
      </c>
      <c r="AI137" s="13">
        <f>IF('Données projet'!$A$62&gt;35,AI136+AH137-AQ136,IF(A137&lt;'Données projet'!$A$62,$AF$205^A137,IF(A137='Données projet'!$A$62,'Données projet'!$B$62,AI136+AH137-AQ136)))</f>
        <v>331.85256410256375</v>
      </c>
      <c r="AJ137" s="13">
        <f>AI137*VLOOKUP('Données projet'!$B$10,Paramètres!$A$1:$I$89,3,0)*VLOOKUP('Données projet'!$B$10,Paramètres!$A$1:$I$89,5,0)</f>
        <v>300.26019999999971</v>
      </c>
      <c r="AK137" s="13">
        <f t="shared" si="143"/>
        <v>71.231008637455531</v>
      </c>
      <c r="AL137" s="20">
        <f t="shared" si="112"/>
        <v>647.0138550435679</v>
      </c>
      <c r="AM137" s="59">
        <f t="shared" si="113"/>
        <v>940.34718837690116</v>
      </c>
      <c r="AN137" s="59">
        <f ca="1">AVERAGE(OFFSET($AM$3,0,0,'Données projet'!$E$10+1,1))-AVERAGE(OFFSET($H$3,0,0,'Données projet'!$E$10+1,1))</f>
        <v>447.91110718952615</v>
      </c>
      <c r="AO137" s="59">
        <f t="shared" si="144"/>
        <v>188.87492758536894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41.666666666666664</v>
      </c>
      <c r="AR137" s="16">
        <f>IF(ISNA(VLOOKUP(A137,'Données projet'!$A$61:$I$81,5,0)),0%,VLOOKUP(A137,'Données projet'!$A$61:$I$81,5,0)*VLOOKUP('Données projet'!$B$10,Paramètres!$A$1:$I$89,7,0))</f>
        <v>0.30099999999999999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50.418487049051564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50.418487049051564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331.85256410256414</v>
      </c>
      <c r="BB137" s="12">
        <f>VLOOKUP(A137,'Données projet'!$A$87:$I$107,9,0)</f>
        <v>6.0711538461538508</v>
      </c>
      <c r="BC137" s="12">
        <f t="array" ref="BC137">INDEX(BB:BB,MIN(IF(ISNUMBER(BB137:BB333),ROW(BB137:BB333),"")))</f>
        <v>6.0711538461538508</v>
      </c>
      <c r="BD137" s="12">
        <f>IF('Données projet'!$A$88&gt;35,BD136+BC137-BL136,IF(A137&lt;'Données projet'!$A$88,$BA$205^A137,IF(A137='Données projet'!$A$88,'Données projet'!$B$88,BD136+BC137-BL136)))</f>
        <v>331.85256410256375</v>
      </c>
      <c r="BE137" s="13">
        <f>BD137*VLOOKUP('Données projet'!$B$11,Paramètres!$A$1:$I$89,3,0)*VLOOKUP('Données projet'!$B$11,Paramètres!$A$1:$I$89,5,0)</f>
        <v>336.49849999999969</v>
      </c>
      <c r="BF137" s="13">
        <f t="shared" si="145"/>
        <v>78.776079075030736</v>
      </c>
      <c r="BG137" s="20">
        <f t="shared" si="115"/>
        <v>723.26989188901132</v>
      </c>
      <c r="BH137" s="59">
        <f t="shared" si="116"/>
        <v>1016.6032252223447</v>
      </c>
      <c r="BI137" s="59">
        <f ca="1">AVERAGE(OFFSET($BH$3,0,0,'Données projet'!$E$11+1,1))-AVERAGE(OFFSET($H$3,0,0,'Données projet'!$E$11+1,1))</f>
        <v>496.71433459306451</v>
      </c>
      <c r="BJ137" s="59">
        <f t="shared" si="146"/>
        <v>206.75063396134982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41.666666666666664</v>
      </c>
      <c r="BM137" s="16">
        <f>IF(ISNA(VLOOKUP(A137,'Données projet'!$A$87:$I$107,5,0)),0%,VLOOKUP(A137,'Données projet'!$A$87:$I$107,5,0)*VLOOKUP('Données projet'!$B$11,Paramètres!$A$1:$I$89,7,0))</f>
        <v>0.30099999999999999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56.503476865316422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56.503476865316422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355.09162485318728</v>
      </c>
      <c r="T138" s="59">
        <f t="shared" si="142"/>
        <v>320.06572891923685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55.435377226863778</v>
      </c>
      <c r="AA138" s="21">
        <f>EXP(-LN(2)/25)*AA137+(1-EXP(-LN(2)/25))/(LN(2)/25)*Calculateur!V138*Calculateur!X138*VLOOKUP('Données projet'!$B$9,Paramètres!$A$1:$I$89,3,0)*0.475*44/12</f>
        <v>8.260067954744823</v>
      </c>
      <c r="AB138" s="21">
        <f>EXP(-LN(2)/2)*AB137+(1-EXP(-LN(2)/2))/(LN(2)/2)*V138*Y138*VLOOKUP('Données projet'!$B$9,Paramètres!$A$1:$I$89,3,0)*0.475*44/12</f>
        <v>6.1495064906058944E-8</v>
      </c>
      <c r="AC138" s="22">
        <f t="shared" si="111"/>
        <v>63.69544524310367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6.1378205128205137</v>
      </c>
      <c r="AI138" s="13">
        <f>IF('Données projet'!$A$62&gt;35,AI137+AH138-AQ137,IF(A138&lt;'Données projet'!$A$62,$AF$205^A138,IF(A138='Données projet'!$A$62,'Données projet'!$B$62,AI137+AH138-AQ137)))</f>
        <v>296.32371794871756</v>
      </c>
      <c r="AJ138" s="13">
        <f>AI138*VLOOKUP('Données projet'!$B$10,Paramètres!$A$1:$I$89,3,0)*VLOOKUP('Données projet'!$B$10,Paramètres!$A$1:$I$89,5,0)</f>
        <v>268.1136999999996</v>
      </c>
      <c r="AK138" s="13">
        <f t="shared" si="143"/>
        <v>64.448785624791412</v>
      </c>
      <c r="AL138" s="20">
        <f t="shared" si="112"/>
        <v>579.21299579651088</v>
      </c>
      <c r="AM138" s="59">
        <f t="shared" si="113"/>
        <v>872.54632912984425</v>
      </c>
      <c r="AN138" s="59">
        <f ca="1">AVERAGE(OFFSET($AM$3,0,0,'Données projet'!$E$10+1,1))-AVERAGE(OFFSET($H$3,0,0,'Données projet'!$E$10+1,1))</f>
        <v>447.91110718952615</v>
      </c>
      <c r="AO138" s="59">
        <f t="shared" si="144"/>
        <v>188.87492758536894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49.429811270260231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49.429811270260231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6.1378205128205137</v>
      </c>
      <c r="BD138" s="12">
        <f>IF('Données projet'!$A$88&gt;35,BD137+BC138-BL137,IF(A138&lt;'Données projet'!$A$88,$BA$205^A138,IF(A138='Données projet'!$A$88,'Données projet'!$B$88,BD137+BC138-BL137)))</f>
        <v>296.32371794871756</v>
      </c>
      <c r="BE138" s="13">
        <f>BD138*VLOOKUP('Données projet'!$B$11,Paramètres!$A$1:$I$89,3,0)*VLOOKUP('Données projet'!$B$11,Paramètres!$A$1:$I$89,5,0)</f>
        <v>300.47224999999963</v>
      </c>
      <c r="BF138" s="13">
        <f t="shared" si="145"/>
        <v>71.2754561501269</v>
      </c>
      <c r="BG138" s="20">
        <f t="shared" si="115"/>
        <v>647.46058821147028</v>
      </c>
      <c r="BH138" s="59">
        <f t="shared" si="116"/>
        <v>940.79392154480365</v>
      </c>
      <c r="BI138" s="59">
        <f ca="1">AVERAGE(OFFSET($BH$3,0,0,'Données projet'!$E$11+1,1))-AVERAGE(OFFSET($H$3,0,0,'Données projet'!$E$11+1,1))</f>
        <v>496.71433459306451</v>
      </c>
      <c r="BJ138" s="59">
        <f t="shared" si="146"/>
        <v>206.75063396134982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55.395478147705447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55.395478147705447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355.09162485318728</v>
      </c>
      <c r="T139" s="59">
        <f t="shared" si="142"/>
        <v>320.06572891923685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54.348323291686405</v>
      </c>
      <c r="AA139" s="21">
        <f>EXP(-LN(2)/25)*AA138+(1-EXP(-LN(2)/25))/(LN(2)/25)*Calculateur!V139*Calculateur!X139*VLOOKUP('Données projet'!$B$9,Paramètres!$A$1:$I$89,3,0)*0.475*44/12</f>
        <v>8.0341959621442314</v>
      </c>
      <c r="AB139" s="21">
        <f>EXP(-LN(2)/2)*AB138+(1-EXP(-LN(2)/2))/(LN(2)/2)*V139*Y139*VLOOKUP('Données projet'!$B$9,Paramètres!$A$1:$I$89,3,0)*0.475*44/12</f>
        <v>4.348357740458116E-8</v>
      </c>
      <c r="AC139" s="22">
        <f t="shared" si="111"/>
        <v>62.382519297314211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6.1378205128205137</v>
      </c>
      <c r="AI139" s="13">
        <f>IF('Données projet'!$A$62&gt;35,AI138+AH139-AQ138,IF(A139&lt;'Données projet'!$A$62,$AF$205^A139,IF(A139='Données projet'!$A$62,'Données projet'!$B$62,AI138+AH139-AQ138)))</f>
        <v>302.46153846153805</v>
      </c>
      <c r="AJ139" s="13">
        <f>AI139*VLOOKUP('Données projet'!$B$10,Paramètres!$A$1:$I$89,3,0)*VLOOKUP('Données projet'!$B$10,Paramètres!$A$1:$I$89,5,0)</f>
        <v>273.66719999999964</v>
      </c>
      <c r="AK139" s="13">
        <f t="shared" si="143"/>
        <v>65.62692955621516</v>
      </c>
      <c r="AL139" s="20">
        <f t="shared" si="112"/>
        <v>590.93727564374069</v>
      </c>
      <c r="AM139" s="59">
        <f t="shared" si="113"/>
        <v>884.27060897707406</v>
      </c>
      <c r="AN139" s="59">
        <f ca="1">AVERAGE(OFFSET($AM$3,0,0,'Données projet'!$E$10+1,1))-AVERAGE(OFFSET($H$3,0,0,'Données projet'!$E$10+1,1))</f>
        <v>447.91110718952615</v>
      </c>
      <c r="AO139" s="59">
        <f t="shared" si="144"/>
        <v>188.87492758536894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48.460522820458316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48.460522820458316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6.1378205128205137</v>
      </c>
      <c r="BD139" s="12">
        <f>IF('Données projet'!$A$88&gt;35,BD138+BC139-BL138,IF(A139&lt;'Données projet'!$A$88,$BA$205^A139,IF(A139='Données projet'!$A$88,'Données projet'!$B$88,BD138+BC139-BL138)))</f>
        <v>302.46153846153805</v>
      </c>
      <c r="BE139" s="13">
        <f>BD139*VLOOKUP('Données projet'!$B$11,Paramètres!$A$1:$I$89,3,0)*VLOOKUP('Données projet'!$B$11,Paramètres!$A$1:$I$89,5,0)</f>
        <v>306.69599999999963</v>
      </c>
      <c r="BF139" s="13">
        <f t="shared" si="145"/>
        <v>72.578393751024478</v>
      </c>
      <c r="BG139" s="20">
        <f t="shared" si="115"/>
        <v>660.56956911636689</v>
      </c>
      <c r="BH139" s="59">
        <f t="shared" si="116"/>
        <v>953.90290244970015</v>
      </c>
      <c r="BI139" s="59">
        <f ca="1">AVERAGE(OFFSET($BH$3,0,0,'Données projet'!$E$11+1,1))-AVERAGE(OFFSET($H$3,0,0,'Données projet'!$E$11+1,1))</f>
        <v>496.71433459306451</v>
      </c>
      <c r="BJ139" s="59">
        <f t="shared" si="146"/>
        <v>206.75063396134982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54.309206609134336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54.309206609134336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355.09162485318728</v>
      </c>
      <c r="T140" s="59">
        <f t="shared" si="142"/>
        <v>320.06572891923685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53.28258582114043</v>
      </c>
      <c r="AA140" s="21">
        <f>EXP(-LN(2)/25)*AA139+(1-EXP(-LN(2)/25))/(LN(2)/25)*Calculateur!V140*Calculateur!X140*VLOOKUP('Données projet'!$B$9,Paramètres!$A$1:$I$89,3,0)*0.475*44/12</f>
        <v>7.8145004510593941</v>
      </c>
      <c r="AB140" s="21">
        <f>EXP(-LN(2)/2)*AB139+(1-EXP(-LN(2)/2))/(LN(2)/2)*V140*Y140*VLOOKUP('Données projet'!$B$9,Paramètres!$A$1:$I$89,3,0)*0.475*44/12</f>
        <v>3.0747532453029472E-8</v>
      </c>
      <c r="AC140" s="22">
        <f t="shared" si="111"/>
        <v>61.097086302947353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6.1378205128205137</v>
      </c>
      <c r="AI140" s="13">
        <f>IF('Données projet'!$A$62&gt;35,AI139+AH140-AQ139,IF(A140&lt;'Données projet'!$A$62,$AF$205^A140,IF(A140='Données projet'!$A$62,'Données projet'!$B$62,AI139+AH140-AQ139)))</f>
        <v>308.59935897435855</v>
      </c>
      <c r="AJ140" s="13">
        <f>AI140*VLOOKUP('Données projet'!$B$10,Paramètres!$A$1:$I$89,3,0)*VLOOKUP('Données projet'!$B$10,Paramètres!$A$1:$I$89,5,0)</f>
        <v>279.22069999999962</v>
      </c>
      <c r="AK140" s="13">
        <f t="shared" si="143"/>
        <v>66.80229368446598</v>
      </c>
      <c r="AL140" s="20">
        <f t="shared" si="112"/>
        <v>602.65671400044437</v>
      </c>
      <c r="AM140" s="59">
        <f t="shared" si="113"/>
        <v>895.99004733377774</v>
      </c>
      <c r="AN140" s="59">
        <f ca="1">AVERAGE(OFFSET($AM$3,0,0,'Données projet'!$E$10+1,1))-AVERAGE(OFFSET($H$3,0,0,'Données projet'!$E$10+1,1))</f>
        <v>447.91110718952615</v>
      </c>
      <c r="AO140" s="59">
        <f t="shared" si="144"/>
        <v>188.87492758536894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47.510241525949439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47.510241525949439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6.1378205128205137</v>
      </c>
      <c r="BD140" s="12">
        <f>IF('Données projet'!$A$88&gt;35,BD139+BC140-BL139,IF(A140&lt;'Données projet'!$A$88,$BA$205^A140,IF(A140='Données projet'!$A$88,'Données projet'!$B$88,BD139+BC140-BL139)))</f>
        <v>308.59935897435855</v>
      </c>
      <c r="BE140" s="13">
        <f>BD140*VLOOKUP('Données projet'!$B$11,Paramètres!$A$1:$I$89,3,0)*VLOOKUP('Données projet'!$B$11,Paramètres!$A$1:$I$89,5,0)</f>
        <v>312.91974999999957</v>
      </c>
      <c r="BF140" s="13">
        <f t="shared" si="145"/>
        <v>73.878257100991959</v>
      </c>
      <c r="BG140" s="20">
        <f t="shared" si="115"/>
        <v>673.67319570089342</v>
      </c>
      <c r="BH140" s="59">
        <f t="shared" si="116"/>
        <v>967.00652903422679</v>
      </c>
      <c r="BI140" s="59">
        <f ca="1">AVERAGE(OFFSET($BH$3,0,0,'Données projet'!$E$11+1,1))-AVERAGE(OFFSET($H$3,0,0,'Données projet'!$E$11+1,1))</f>
        <v>496.71433459306451</v>
      </c>
      <c r="BJ140" s="59">
        <f t="shared" si="146"/>
        <v>206.75063396134982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53.244236192874389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53.244236192874389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355.09162485318728</v>
      </c>
      <c r="T141" s="59">
        <f t="shared" si="142"/>
        <v>320.06572891923685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52.237746812356193</v>
      </c>
      <c r="AA141" s="21">
        <f>EXP(-LN(2)/25)*AA140+(1-EXP(-LN(2)/25))/(LN(2)/25)*Calculateur!V141*Calculateur!X141*VLOOKUP('Données projet'!$B$9,Paramètres!$A$1:$I$89,3,0)*0.475*44/12</f>
        <v>7.6008125252784566</v>
      </c>
      <c r="AB141" s="21">
        <f>EXP(-LN(2)/2)*AB140+(1-EXP(-LN(2)/2))/(LN(2)/2)*V141*Y141*VLOOKUP('Données projet'!$B$9,Paramètres!$A$1:$I$89,3,0)*0.475*44/12</f>
        <v>2.174178870229058E-8</v>
      </c>
      <c r="AC141" s="22">
        <f t="shared" si="111"/>
        <v>59.83855935937644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6.1378205128205137</v>
      </c>
      <c r="AI141" s="13">
        <f>IF('Données projet'!$A$62&gt;35,AI140+AH141-AQ140,IF(A141&lt;'Données projet'!$A$62,$AF$205^A141,IF(A141='Données projet'!$A$62,'Données projet'!$B$62,AI140+AH141-AQ140)))</f>
        <v>314.73717948717905</v>
      </c>
      <c r="AJ141" s="13">
        <f>AI141*VLOOKUP('Données projet'!$B$10,Paramètres!$A$1:$I$89,3,0)*VLOOKUP('Données projet'!$B$10,Paramètres!$A$1:$I$89,5,0)</f>
        <v>284.77419999999955</v>
      </c>
      <c r="AK141" s="13">
        <f t="shared" si="143"/>
        <v>67.974939670209011</v>
      </c>
      <c r="AL141" s="20">
        <f t="shared" si="112"/>
        <v>614.37141825894662</v>
      </c>
      <c r="AM141" s="59">
        <f t="shared" si="113"/>
        <v>907.70475159227999</v>
      </c>
      <c r="AN141" s="59">
        <f ca="1">AVERAGE(OFFSET($AM$3,0,0,'Données projet'!$E$10+1,1))-AVERAGE(OFFSET($H$3,0,0,'Données projet'!$E$10+1,1))</f>
        <v>447.91110718952615</v>
      </c>
      <c r="AO141" s="59">
        <f t="shared" si="144"/>
        <v>188.87492758536894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46.578594668011526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46.578594668011526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6.1378205128205137</v>
      </c>
      <c r="BD141" s="12">
        <f>IF('Données projet'!$A$88&gt;35,BD140+BC141-BL140,IF(A141&lt;'Données projet'!$A$88,$BA$205^A141,IF(A141='Données projet'!$A$88,'Données projet'!$B$88,BD140+BC141-BL140)))</f>
        <v>314.73717948717905</v>
      </c>
      <c r="BE141" s="13">
        <f>BD141*VLOOKUP('Données projet'!$B$11,Paramètres!$A$1:$I$89,3,0)*VLOOKUP('Données projet'!$B$11,Paramètres!$A$1:$I$89,5,0)</f>
        <v>319.14349999999956</v>
      </c>
      <c r="BF141" s="13">
        <f t="shared" si="145"/>
        <v>75.175114392036065</v>
      </c>
      <c r="BG141" s="20">
        <f t="shared" si="115"/>
        <v>686.7715867327953</v>
      </c>
      <c r="BH141" s="59">
        <f t="shared" si="116"/>
        <v>980.10492006612867</v>
      </c>
      <c r="BI141" s="59">
        <f ca="1">AVERAGE(OFFSET($BH$3,0,0,'Données projet'!$E$11+1,1))-AVERAGE(OFFSET($H$3,0,0,'Données projet'!$E$11+1,1))</f>
        <v>496.71433459306451</v>
      </c>
      <c r="BJ141" s="59">
        <f t="shared" si="146"/>
        <v>206.75063396134982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52.200149196909486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52.200149196909486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355.09162485318728</v>
      </c>
      <c r="T142" s="59">
        <f t="shared" si="142"/>
        <v>320.06572891923685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51.213396459245345</v>
      </c>
      <c r="AA142" s="21">
        <f>EXP(-LN(2)/25)*AA141+(1-EXP(-LN(2)/25))/(LN(2)/25)*Calculateur!V142*Calculateur!X142*VLOOKUP('Données projet'!$B$9,Paramètres!$A$1:$I$89,3,0)*0.475*44/12</f>
        <v>7.3929679070653584</v>
      </c>
      <c r="AB142" s="21">
        <f>EXP(-LN(2)/2)*AB141+(1-EXP(-LN(2)/2))/(LN(2)/2)*V142*Y142*VLOOKUP('Données projet'!$B$9,Paramètres!$A$1:$I$89,3,0)*0.475*44/12</f>
        <v>1.5373766226514736E-8</v>
      </c>
      <c r="AC142" s="22">
        <f t="shared" si="111"/>
        <v>58.606364381684465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6.1378205128205137</v>
      </c>
      <c r="AI142" s="13">
        <f>IF('Données projet'!$A$62&gt;35,AI141+AH142-AQ141,IF(A142&lt;'Données projet'!$A$62,$AF$205^A142,IF(A142='Données projet'!$A$62,'Données projet'!$B$62,AI141+AH142-AQ141)))</f>
        <v>320.87499999999955</v>
      </c>
      <c r="AJ142" s="13">
        <f>AI142*VLOOKUP('Données projet'!$B$10,Paramètres!$A$1:$I$89,3,0)*VLOOKUP('Données projet'!$B$10,Paramètres!$A$1:$I$89,5,0)</f>
        <v>290.3276999999996</v>
      </c>
      <c r="AK142" s="13">
        <f t="shared" si="143"/>
        <v>69.144926631604633</v>
      </c>
      <c r="AL142" s="20">
        <f t="shared" si="112"/>
        <v>626.08149138337728</v>
      </c>
      <c r="AM142" s="59">
        <f t="shared" si="113"/>
        <v>919.41482471671065</v>
      </c>
      <c r="AN142" s="59">
        <f ca="1">AVERAGE(OFFSET($AM$3,0,0,'Données projet'!$E$10+1,1))-AVERAGE(OFFSET($H$3,0,0,'Données projet'!$E$10+1,1))</f>
        <v>447.91110718952615</v>
      </c>
      <c r="AO142" s="59">
        <f t="shared" si="144"/>
        <v>188.87492758536894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45.665216836709298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45.665216836709298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6.1378205128205137</v>
      </c>
      <c r="BD142" s="12">
        <f>IF('Données projet'!$A$88&gt;35,BD141+BC142-BL141,IF(A142&lt;'Données projet'!$A$88,$BA$205^A142,IF(A142='Données projet'!$A$88,'Données projet'!$B$88,BD141+BC142-BL141)))</f>
        <v>320.87499999999955</v>
      </c>
      <c r="BE142" s="13">
        <f>BD142*VLOOKUP('Données projet'!$B$11,Paramètres!$A$1:$I$89,3,0)*VLOOKUP('Données projet'!$B$11,Paramètres!$A$1:$I$89,5,0)</f>
        <v>325.36724999999956</v>
      </c>
      <c r="BF142" s="13">
        <f t="shared" si="145"/>
        <v>76.469031004346846</v>
      </c>
      <c r="BG142" s="20">
        <f t="shared" si="115"/>
        <v>699.86485608256999</v>
      </c>
      <c r="BH142" s="59">
        <f t="shared" si="116"/>
        <v>993.19818941590324</v>
      </c>
      <c r="BI142" s="59">
        <f ca="1">AVERAGE(OFFSET($BH$3,0,0,'Données projet'!$E$11+1,1))-AVERAGE(OFFSET($H$3,0,0,'Données projet'!$E$11+1,1))</f>
        <v>496.71433459306451</v>
      </c>
      <c r="BJ142" s="59">
        <f t="shared" si="146"/>
        <v>206.75063396134982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51.176536110105268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51.176536110105268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355.09162485318728</v>
      </c>
      <c r="T143" s="59">
        <f t="shared" si="142"/>
        <v>320.06572891923685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50.209132991766978</v>
      </c>
      <c r="AA143" s="21">
        <f>EXP(-LN(2)/25)*AA142+(1-EXP(-LN(2)/25))/(LN(2)/25)*Calculateur!V143*Calculateur!X143*VLOOKUP('Données projet'!$B$9,Paramètres!$A$1:$I$89,3,0)*0.475*44/12</f>
        <v>7.1908068108673708</v>
      </c>
      <c r="AB143" s="21">
        <f>EXP(-LN(2)/2)*AB142+(1-EXP(-LN(2)/2))/(LN(2)/2)*V143*Y143*VLOOKUP('Données projet'!$B$9,Paramètres!$A$1:$I$89,3,0)*0.475*44/12</f>
        <v>1.087089435114529E-8</v>
      </c>
      <c r="AC143" s="22">
        <f t="shared" si="111"/>
        <v>57.399939813505242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6.1378205128205137</v>
      </c>
      <c r="AI143" s="13">
        <f>IF('Données projet'!$A$62&gt;35,AI142+AH143-AQ142,IF(A143&lt;'Données projet'!$A$62,$AF$205^A143,IF(A143='Données projet'!$A$62,'Données projet'!$B$62,AI142+AH143-AQ142)))</f>
        <v>327.01282051282004</v>
      </c>
      <c r="AJ143" s="13">
        <f>AI143*VLOOKUP('Données projet'!$B$10,Paramètres!$A$1:$I$89,3,0)*VLOOKUP('Données projet'!$B$10,Paramètres!$A$1:$I$89,5,0)</f>
        <v>295.88119999999958</v>
      </c>
      <c r="AK143" s="13">
        <f t="shared" si="143"/>
        <v>70.31231129573932</v>
      </c>
      <c r="AL143" s="20">
        <f t="shared" si="112"/>
        <v>637.78703217341183</v>
      </c>
      <c r="AM143" s="59">
        <f t="shared" si="113"/>
        <v>931.1203655067452</v>
      </c>
      <c r="AN143" s="59">
        <f ca="1">AVERAGE(OFFSET($AM$3,0,0,'Données projet'!$E$10+1,1))-AVERAGE(OFFSET($H$3,0,0,'Données projet'!$E$10+1,1))</f>
        <v>447.91110718952615</v>
      </c>
      <c r="AO143" s="59">
        <f t="shared" si="144"/>
        <v>188.87492758536894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44.769749787573438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44.769749787573438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6.1378205128205137</v>
      </c>
      <c r="BD143" s="12">
        <f>IF('Données projet'!$A$88&gt;35,BD142+BC143-BL142,IF(A143&lt;'Données projet'!$A$88,$BA$205^A143,IF(A143='Données projet'!$A$88,'Données projet'!$B$88,BD142+BC143-BL142)))</f>
        <v>327.01282051282004</v>
      </c>
      <c r="BE143" s="13">
        <f>BD143*VLOOKUP('Données projet'!$B$11,Paramètres!$A$1:$I$89,3,0)*VLOOKUP('Données projet'!$B$11,Paramètres!$A$1:$I$89,5,0)</f>
        <v>331.59099999999955</v>
      </c>
      <c r="BF143" s="13">
        <f t="shared" si="145"/>
        <v>77.760069673768342</v>
      </c>
      <c r="BG143" s="20">
        <f t="shared" si="115"/>
        <v>712.95311301514573</v>
      </c>
      <c r="BH143" s="59">
        <f t="shared" si="116"/>
        <v>1006.2864463484791</v>
      </c>
      <c r="BI143" s="59">
        <f ca="1">AVERAGE(OFFSET($BH$3,0,0,'Données projet'!$E$11+1,1))-AVERAGE(OFFSET($H$3,0,0,'Données projet'!$E$11+1,1))</f>
        <v>496.71433459306451</v>
      </c>
      <c r="BJ143" s="59">
        <f t="shared" si="146"/>
        <v>206.75063396134982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50.172995451590943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50.172995451590943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355.09162485318728</v>
      </c>
      <c r="T144" s="59">
        <f t="shared" si="142"/>
        <v>320.06572891923685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49.224562518345628</v>
      </c>
      <c r="AA144" s="21">
        <f>EXP(-LN(2)/25)*AA143+(1-EXP(-LN(2)/25))/(LN(2)/25)*Calculateur!V144*Calculateur!X144*VLOOKUP('Données projet'!$B$9,Paramètres!$A$1:$I$89,3,0)*0.475*44/12</f>
        <v>6.9941738204761075</v>
      </c>
      <c r="AB144" s="21">
        <f>EXP(-LN(2)/2)*AB143+(1-EXP(-LN(2)/2))/(LN(2)/2)*V144*Y144*VLOOKUP('Données projet'!$B$9,Paramètres!$A$1:$I$89,3,0)*0.475*44/12</f>
        <v>7.686883113257368E-9</v>
      </c>
      <c r="AC144" s="22">
        <f t="shared" si="111"/>
        <v>56.218736346508621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6.1378205128205137</v>
      </c>
      <c r="AI144" s="13">
        <f>IF('Données projet'!$A$62&gt;35,AI143+AH144-AQ143,IF(A144&lt;'Données projet'!$A$62,$AF$205^A144,IF(A144='Données projet'!$A$62,'Données projet'!$B$62,AI143+AH144-AQ143)))</f>
        <v>333.15064102564054</v>
      </c>
      <c r="AJ144" s="13">
        <f>AI144*VLOOKUP('Données projet'!$B$10,Paramètres!$A$1:$I$89,3,0)*VLOOKUP('Données projet'!$B$10,Paramètres!$A$1:$I$89,5,0)</f>
        <v>301.43469999999951</v>
      </c>
      <c r="AK144" s="13">
        <f t="shared" si="143"/>
        <v>71.477148138366914</v>
      </c>
      <c r="AL144" s="20">
        <f t="shared" si="112"/>
        <v>649.48813550765476</v>
      </c>
      <c r="AM144" s="59">
        <f t="shared" si="113"/>
        <v>942.82146884098802</v>
      </c>
      <c r="AN144" s="59">
        <f ca="1">AVERAGE(OFFSET($AM$3,0,0,'Données projet'!$E$10+1,1))-AVERAGE(OFFSET($H$3,0,0,'Données projet'!$E$10+1,1))</f>
        <v>447.91110718952615</v>
      </c>
      <c r="AO144" s="59">
        <f t="shared" si="144"/>
        <v>188.87492758536894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43.891842301090165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43.891842301090165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6.1378205128205137</v>
      </c>
      <c r="BD144" s="12">
        <f>IF('Données projet'!$A$88&gt;35,BD143+BC144-BL143,IF(A144&lt;'Données projet'!$A$88,$BA$205^A144,IF(A144='Données projet'!$A$88,'Données projet'!$B$88,BD143+BC144-BL143)))</f>
        <v>333.15064102564054</v>
      </c>
      <c r="BE144" s="13">
        <f>BD144*VLOOKUP('Données projet'!$B$11,Paramètres!$A$1:$I$89,3,0)*VLOOKUP('Données projet'!$B$11,Paramètres!$A$1:$I$89,5,0)</f>
        <v>337.81474999999955</v>
      </c>
      <c r="BF144" s="13">
        <f t="shared" si="145"/>
        <v>79.04829064634194</v>
      </c>
      <c r="BG144" s="20">
        <f t="shared" si="115"/>
        <v>726.03646245904463</v>
      </c>
      <c r="BH144" s="59">
        <f t="shared" si="116"/>
        <v>1019.369795792378</v>
      </c>
      <c r="BI144" s="59">
        <f ca="1">AVERAGE(OFFSET($BH$3,0,0,'Données projet'!$E$11+1,1))-AVERAGE(OFFSET($H$3,0,0,'Données projet'!$E$11+1,1))</f>
        <v>496.71433459306451</v>
      </c>
      <c r="BJ144" s="59">
        <f t="shared" si="146"/>
        <v>206.75063396134982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49.189133613290721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49.189133613290721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355.09162485318728</v>
      </c>
      <c r="T145" s="59">
        <f t="shared" si="142"/>
        <v>320.06572891923685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48.259298871379379</v>
      </c>
      <c r="AA145" s="21">
        <f>EXP(-LN(2)/25)*AA144+(1-EXP(-LN(2)/25))/(LN(2)/25)*Calculateur!V145*Calculateur!X145*VLOOKUP('Données projet'!$B$9,Paramètres!$A$1:$I$89,3,0)*0.475*44/12</f>
        <v>6.8029177695475722</v>
      </c>
      <c r="AB145" s="21">
        <f>EXP(-LN(2)/2)*AB144+(1-EXP(-LN(2)/2))/(LN(2)/2)*V145*Y145*VLOOKUP('Données projet'!$B$9,Paramètres!$A$1:$I$89,3,0)*0.475*44/12</f>
        <v>5.4354471755726449E-9</v>
      </c>
      <c r="AC145" s="22">
        <f t="shared" si="111"/>
        <v>55.062216646362394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6.1378205128205137</v>
      </c>
      <c r="AI145" s="13">
        <f>IF('Données projet'!$A$62&gt;35,AI144+AH145-AQ144,IF(A145&lt;'Données projet'!$A$62,$AF$205^A145,IF(A145='Données projet'!$A$62,'Données projet'!$B$62,AI144+AH145-AQ144)))</f>
        <v>339.28846153846104</v>
      </c>
      <c r="AJ145" s="13">
        <f>AI145*VLOOKUP('Données projet'!$B$10,Paramètres!$A$1:$I$89,3,0)*VLOOKUP('Données projet'!$B$10,Paramètres!$A$1:$I$89,5,0)</f>
        <v>306.98819999999955</v>
      </c>
      <c r="AK145" s="13">
        <f t="shared" si="143"/>
        <v>72.639489513059672</v>
      </c>
      <c r="AL145" s="20">
        <f t="shared" si="112"/>
        <v>661.18489256857811</v>
      </c>
      <c r="AM145" s="59">
        <f t="shared" si="113"/>
        <v>954.51822590191136</v>
      </c>
      <c r="AN145" s="59">
        <f ca="1">AVERAGE(OFFSET($AM$3,0,0,'Données projet'!$E$10+1,1))-AVERAGE(OFFSET($H$3,0,0,'Données projet'!$E$10+1,1))</f>
        <v>447.91110718952615</v>
      </c>
      <c r="AO145" s="59">
        <f t="shared" si="144"/>
        <v>188.87492758536894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43.031150044946138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43.031150044946138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6.1378205128205137</v>
      </c>
      <c r="BD145" s="12">
        <f>IF('Données projet'!$A$88&gt;35,BD144+BC145-BL144,IF(A145&lt;'Données projet'!$A$88,$BA$205^A145,IF(A145='Données projet'!$A$88,'Données projet'!$B$88,BD144+BC145-BL144)))</f>
        <v>339.28846153846104</v>
      </c>
      <c r="BE145" s="13">
        <f>BD145*VLOOKUP('Données projet'!$B$11,Paramètres!$A$1:$I$89,3,0)*VLOOKUP('Données projet'!$B$11,Paramètres!$A$1:$I$89,5,0)</f>
        <v>344.03849999999949</v>
      </c>
      <c r="BF145" s="13">
        <f t="shared" si="145"/>
        <v>80.333751821137426</v>
      </c>
      <c r="BG145" s="20">
        <f t="shared" si="115"/>
        <v>739.11500525514668</v>
      </c>
      <c r="BH145" s="59">
        <f t="shared" si="116"/>
        <v>1032.4483385884801</v>
      </c>
      <c r="BI145" s="59">
        <f ca="1">AVERAGE(OFFSET($BH$3,0,0,'Données projet'!$E$11+1,1))-AVERAGE(OFFSET($H$3,0,0,'Données projet'!$E$11+1,1))</f>
        <v>496.71433459306451</v>
      </c>
      <c r="BJ145" s="59">
        <f t="shared" si="146"/>
        <v>206.75063396134982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48.224564705543102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48.224564705543102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355.09162485318728</v>
      </c>
      <c r="T146" s="59">
        <f t="shared" si="142"/>
        <v>320.06572891923685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47.312963455777449</v>
      </c>
      <c r="AA146" s="21">
        <f>EXP(-LN(2)/25)*AA145+(1-EXP(-LN(2)/25))/(LN(2)/25)*Calculateur!V146*Calculateur!X146*VLOOKUP('Données projet'!$B$9,Paramètres!$A$1:$I$89,3,0)*0.475*44/12</f>
        <v>6.616891625389397</v>
      </c>
      <c r="AB146" s="21">
        <f>EXP(-LN(2)/2)*AB145+(1-EXP(-LN(2)/2))/(LN(2)/2)*V146*Y146*VLOOKUP('Données projet'!$B$9,Paramètres!$A$1:$I$89,3,0)*0.475*44/12</f>
        <v>3.843441556628684E-9</v>
      </c>
      <c r="AC146" s="22">
        <f t="shared" si="111"/>
        <v>53.929855085010288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6.1378205128205137</v>
      </c>
      <c r="AI146" s="13">
        <f>IF('Données projet'!$A$62&gt;35,AI145+AH146-AQ145,IF(A146&lt;'Données projet'!$A$62,$AF$205^A146,IF(A146='Données projet'!$A$62,'Données projet'!$B$62,AI145+AH146-AQ145)))</f>
        <v>345.42628205128153</v>
      </c>
      <c r="AJ146" s="13">
        <f>AI146*VLOOKUP('Données projet'!$B$10,Paramètres!$A$1:$I$89,3,0)*VLOOKUP('Données projet'!$B$10,Paramètres!$A$1:$I$89,5,0)</f>
        <v>312.54169999999954</v>
      </c>
      <c r="AK146" s="13">
        <f t="shared" si="143"/>
        <v>73.79938577074968</v>
      </c>
      <c r="AL146" s="20">
        <f t="shared" si="112"/>
        <v>672.87739105072149</v>
      </c>
      <c r="AM146" s="59">
        <f t="shared" si="113"/>
        <v>966.21072438405486</v>
      </c>
      <c r="AN146" s="59">
        <f ca="1">AVERAGE(OFFSET($AM$3,0,0,'Données projet'!$E$10+1,1))-AVERAGE(OFFSET($H$3,0,0,'Données projet'!$E$10+1,1))</f>
        <v>447.91110718952615</v>
      </c>
      <c r="AO146" s="59">
        <f t="shared" si="144"/>
        <v>188.87492758536894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42.187335438974657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42.187335438974657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6.1378205128205137</v>
      </c>
      <c r="BD146" s="12">
        <f>IF('Données projet'!$A$88&gt;35,BD145+BC146-BL145,IF(A146&lt;'Données projet'!$A$88,$BA$205^A146,IF(A146='Données projet'!$A$88,'Données projet'!$B$88,BD145+BC146-BL145)))</f>
        <v>345.42628205128153</v>
      </c>
      <c r="BE146" s="13">
        <f>BD146*VLOOKUP('Données projet'!$B$11,Paramètres!$A$1:$I$89,3,0)*VLOOKUP('Données projet'!$B$11,Paramètres!$A$1:$I$89,5,0)</f>
        <v>350.26224999999948</v>
      </c>
      <c r="BF146" s="13">
        <f t="shared" si="145"/>
        <v>81.616508882457211</v>
      </c>
      <c r="BG146" s="20">
        <f t="shared" si="115"/>
        <v>752.18883838694535</v>
      </c>
      <c r="BH146" s="59">
        <f t="shared" si="116"/>
        <v>1045.5221717202787</v>
      </c>
      <c r="BI146" s="59">
        <f ca="1">AVERAGE(OFFSET($BH$3,0,0,'Données projet'!$E$11+1,1))-AVERAGE(OFFSET($H$3,0,0,'Données projet'!$E$11+1,1))</f>
        <v>496.71433459306451</v>
      </c>
      <c r="BJ146" s="59">
        <f t="shared" si="146"/>
        <v>206.75063396134982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47.278910405747474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47.278910405747474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355.09162485318728</v>
      </c>
      <c r="T147" s="59">
        <f t="shared" si="142"/>
        <v>320.06572891923685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46.385185100467865</v>
      </c>
      <c r="AA147" s="21">
        <f>EXP(-LN(2)/25)*AA146+(1-EXP(-LN(2)/25))/(LN(2)/25)*Calculateur!V147*Calculateur!X147*VLOOKUP('Données projet'!$B$9,Paramètres!$A$1:$I$89,3,0)*0.475*44/12</f>
        <v>6.4359523759259165</v>
      </c>
      <c r="AB147" s="21">
        <f>EXP(-LN(2)/2)*AB146+(1-EXP(-LN(2)/2))/(LN(2)/2)*V147*Y147*VLOOKUP('Données projet'!$B$9,Paramètres!$A$1:$I$89,3,0)*0.475*44/12</f>
        <v>2.7177235877863225E-9</v>
      </c>
      <c r="AC147" s="22">
        <f t="shared" si="111"/>
        <v>52.821137479111506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351.5641025641026</v>
      </c>
      <c r="AG147" s="12">
        <f>VLOOKUP(A147,'Données projet'!$A$61:$I$81,9,0)</f>
        <v>6.1378205128205137</v>
      </c>
      <c r="AH147" s="12">
        <f t="array" ref="AH147">INDEX(AG:AG,MIN(IF(ISNUMBER(AG147:AG343),ROW(AG147:AG343),"")))</f>
        <v>6.1378205128205137</v>
      </c>
      <c r="AI147" s="13">
        <f>IF('Données projet'!$A$62&gt;35,AI146+AH147-AQ146,IF(A147&lt;'Données projet'!$A$62,$AF$205^A147,IF(A147='Données projet'!$A$62,'Données projet'!$B$62,AI146+AH147-AQ146)))</f>
        <v>351.56410256410203</v>
      </c>
      <c r="AJ147" s="13">
        <f>AI147*VLOOKUP('Données projet'!$B$10,Paramètres!$A$1:$I$89,3,0)*VLOOKUP('Données projet'!$B$10,Paramètres!$A$1:$I$89,5,0)</f>
        <v>318.09519999999947</v>
      </c>
      <c r="AK147" s="13">
        <f t="shared" si="143"/>
        <v>74.956885370533442</v>
      </c>
      <c r="AL147" s="20">
        <f t="shared" si="112"/>
        <v>684.56571535367812</v>
      </c>
      <c r="AM147" s="59">
        <f t="shared" si="113"/>
        <v>977.89904868701137</v>
      </c>
      <c r="AN147" s="59">
        <f ca="1">AVERAGE(OFFSET($AM$3,0,0,'Données projet'!$E$10+1,1))-AVERAGE(OFFSET($H$3,0,0,'Données projet'!$E$10+1,1))</f>
        <v>447.91110718952615</v>
      </c>
      <c r="AO147" s="59">
        <f t="shared" si="144"/>
        <v>188.87492758536894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42.224358974358978</v>
      </c>
      <c r="AR147" s="16">
        <f>IF(ISNA(VLOOKUP(A147,'Données projet'!$A$61:$I$81,5,0)),0%,VLOOKUP(A147,'Données projet'!$A$61:$I$81,5,0)*VLOOKUP('Données projet'!$B$10,Paramètres!$A$1:$I$89,7,0))</f>
        <v>0.38700000000000001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57.704646289907245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57.704646289907245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351.5641025641026</v>
      </c>
      <c r="BB147" s="12">
        <f>VLOOKUP(A147,'Données projet'!$A$87:$I$107,9,0)</f>
        <v>6.1378205128205137</v>
      </c>
      <c r="BC147" s="12">
        <f t="array" ref="BC147">INDEX(BB:BB,MIN(IF(ISNUMBER(BB147:BB343),ROW(BB147:BB343),"")))</f>
        <v>6.1378205128205137</v>
      </c>
      <c r="BD147" s="12">
        <f>IF('Données projet'!$A$88&gt;35,BD146+BC147-BL146,IF(A147&lt;'Données projet'!$A$88,$BA$205^A147,IF(A147='Données projet'!$A$88,'Données projet'!$B$88,BD146+BC147-BL146)))</f>
        <v>351.56410256410203</v>
      </c>
      <c r="BE147" s="13">
        <f>BD147*VLOOKUP('Données projet'!$B$11,Paramètres!$A$1:$I$89,3,0)*VLOOKUP('Données projet'!$B$11,Paramètres!$A$1:$I$89,5,0)</f>
        <v>356.48599999999948</v>
      </c>
      <c r="BF147" s="13">
        <f t="shared" si="145"/>
        <v>82.896615422376811</v>
      </c>
      <c r="BG147" s="20">
        <f t="shared" si="115"/>
        <v>765.25805519397193</v>
      </c>
      <c r="BH147" s="59">
        <f t="shared" si="116"/>
        <v>1058.5913885273053</v>
      </c>
      <c r="BI147" s="59">
        <f ca="1">AVERAGE(OFFSET($BH$3,0,0,'Données projet'!$E$11+1,1))-AVERAGE(OFFSET($H$3,0,0,'Données projet'!$E$11+1,1))</f>
        <v>496.71433459306451</v>
      </c>
      <c r="BJ147" s="59">
        <f t="shared" si="146"/>
        <v>206.75063396134982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42.224358974358978</v>
      </c>
      <c r="BM147" s="16">
        <f>IF(ISNA(VLOOKUP(A147,'Données projet'!$A$87:$I$107,5,0)),0%,VLOOKUP(A147,'Données projet'!$A$87:$I$107,5,0)*VLOOKUP('Données projet'!$B$11,Paramètres!$A$1:$I$89,7,0))</f>
        <v>0.38700000000000001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64.669000152482269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64.669000152482269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355.09162485318728</v>
      </c>
      <c r="T148" s="59">
        <f t="shared" si="142"/>
        <v>320.06572891923685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45.475599912816982</v>
      </c>
      <c r="AA148" s="21">
        <f>EXP(-LN(2)/25)*AA147+(1-EXP(-LN(2)/25))/(LN(2)/25)*Calculateur!V148*Calculateur!X148*VLOOKUP('Données projet'!$B$9,Paramètres!$A$1:$I$89,3,0)*0.475*44/12</f>
        <v>6.2599609197541968</v>
      </c>
      <c r="AB148" s="21">
        <f>EXP(-LN(2)/2)*AB147+(1-EXP(-LN(2)/2))/(LN(2)/2)*V148*Y148*VLOOKUP('Données projet'!$B$9,Paramètres!$A$1:$I$89,3,0)*0.475*44/12</f>
        <v>1.921720778314342E-9</v>
      </c>
      <c r="AC148" s="22">
        <f t="shared" si="111"/>
        <v>51.735560834492901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6.2499999999999947</v>
      </c>
      <c r="AI148" s="13">
        <f>IF('Données projet'!$A$62&gt;35,AI147+AH148-AQ147,IF(A148&lt;'Données projet'!$A$62,$AF$205^A148,IF(A148='Données projet'!$A$62,'Données projet'!$B$62,AI147+AH148-AQ147)))</f>
        <v>315.58974358974308</v>
      </c>
      <c r="AJ148" s="13">
        <f>AI148*VLOOKUP('Données projet'!$B$10,Paramètres!$A$1:$I$89,3,0)*VLOOKUP('Données projet'!$B$10,Paramètres!$A$1:$I$89,5,0)</f>
        <v>285.54559999999952</v>
      </c>
      <c r="AK148" s="13">
        <f t="shared" si="143"/>
        <v>68.137612539795967</v>
      </c>
      <c r="AL148" s="20">
        <f t="shared" si="112"/>
        <v>615.99826184014375</v>
      </c>
      <c r="AM148" s="59">
        <f t="shared" si="113"/>
        <v>909.33159517347713</v>
      </c>
      <c r="AN148" s="59">
        <f ca="1">AVERAGE(OFFSET($AM$3,0,0,'Données projet'!$E$10+1,1))-AVERAGE(OFFSET($H$3,0,0,'Données projet'!$E$10+1,1))</f>
        <v>447.91110718952615</v>
      </c>
      <c r="AO148" s="59">
        <f t="shared" si="144"/>
        <v>188.87492758536894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56.573093372521051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56.573093372521051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6.2499999999999947</v>
      </c>
      <c r="BD148" s="12">
        <f>IF('Données projet'!$A$88&gt;35,BD147+BC148-BL147,IF(A148&lt;'Données projet'!$A$88,$BA$205^A148,IF(A148='Données projet'!$A$88,'Données projet'!$B$88,BD147+BC148-BL147)))</f>
        <v>315.58974358974308</v>
      </c>
      <c r="BE148" s="13">
        <f>BD148*VLOOKUP('Données projet'!$B$11,Paramètres!$A$1:$I$89,3,0)*VLOOKUP('Données projet'!$B$11,Paramètres!$A$1:$I$89,5,0)</f>
        <v>320.00799999999953</v>
      </c>
      <c r="BF148" s="13">
        <f t="shared" si="145"/>
        <v>75.355018215989588</v>
      </c>
      <c r="BG148" s="20">
        <f t="shared" si="115"/>
        <v>688.59059005951428</v>
      </c>
      <c r="BH148" s="59">
        <f t="shared" si="116"/>
        <v>981.92392339284766</v>
      </c>
      <c r="BI148" s="59">
        <f ca="1">AVERAGE(OFFSET($BH$3,0,0,'Données projet'!$E$11+1,1))-AVERAGE(OFFSET($H$3,0,0,'Données projet'!$E$11+1,1))</f>
        <v>496.71433459306451</v>
      </c>
      <c r="BJ148" s="59">
        <f t="shared" si="146"/>
        <v>206.75063396134982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63.400880503687397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63.400880503687397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355.09162485318728</v>
      </c>
      <c r="T149" s="59">
        <f t="shared" si="142"/>
        <v>320.06572891923685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44.58385113590375</v>
      </c>
      <c r="AA149" s="21">
        <f>EXP(-LN(2)/25)*AA148+(1-EXP(-LN(2)/25))/(LN(2)/25)*Calculateur!V149*Calculateur!X149*VLOOKUP('Données projet'!$B$9,Paramètres!$A$1:$I$89,3,0)*0.475*44/12</f>
        <v>6.0887819592064805</v>
      </c>
      <c r="AB149" s="21">
        <f>EXP(-LN(2)/2)*AB148+(1-EXP(-LN(2)/2))/(LN(2)/2)*V149*Y149*VLOOKUP('Données projet'!$B$9,Paramètres!$A$1:$I$89,3,0)*0.475*44/12</f>
        <v>1.3588617938931612E-9</v>
      </c>
      <c r="AC149" s="22">
        <f t="shared" si="111"/>
        <v>50.672633096469092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6.2499999999999947</v>
      </c>
      <c r="AI149" s="13">
        <f>IF('Données projet'!$A$62&gt;35,AI148+AH149-AQ148,IF(A149&lt;'Données projet'!$A$62,$AF$205^A149,IF(A149='Données projet'!$A$62,'Données projet'!$B$62,AI148+AH149-AQ148)))</f>
        <v>321.83974358974308</v>
      </c>
      <c r="AJ149" s="13">
        <f>AI149*VLOOKUP('Données projet'!$B$10,Paramètres!$A$1:$I$89,3,0)*VLOOKUP('Données projet'!$B$10,Paramètres!$A$1:$I$89,5,0)</f>
        <v>291.20059999999955</v>
      </c>
      <c r="AK149" s="13">
        <f t="shared" si="143"/>
        <v>69.328587287431986</v>
      </c>
      <c r="AL149" s="20">
        <f t="shared" si="112"/>
        <v>627.92166785894335</v>
      </c>
      <c r="AM149" s="59">
        <f t="shared" si="113"/>
        <v>921.25500119227672</v>
      </c>
      <c r="AN149" s="59">
        <f ca="1">AVERAGE(OFFSET($AM$3,0,0,'Données projet'!$E$10+1,1))-AVERAGE(OFFSET($H$3,0,0,'Données projet'!$E$10+1,1))</f>
        <v>447.91110718952615</v>
      </c>
      <c r="AO149" s="59">
        <f t="shared" si="144"/>
        <v>188.87492758536894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55.463729517665669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55.463729517665669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6.2499999999999947</v>
      </c>
      <c r="BD149" s="12">
        <f>IF('Données projet'!$A$88&gt;35,BD148+BC149-BL148,IF(A149&lt;'Données projet'!$A$88,$BA$205^A149,IF(A149='Données projet'!$A$88,'Données projet'!$B$88,BD148+BC149-BL148)))</f>
        <v>321.83974358974308</v>
      </c>
      <c r="BE149" s="13">
        <f>BD149*VLOOKUP('Données projet'!$B$11,Paramètres!$A$1:$I$89,3,0)*VLOOKUP('Données projet'!$B$11,Paramètres!$A$1:$I$89,5,0)</f>
        <v>326.3454999999995</v>
      </c>
      <c r="BF149" s="13">
        <f t="shared" si="145"/>
        <v>76.672145723949669</v>
      </c>
      <c r="BG149" s="20">
        <f t="shared" si="115"/>
        <v>701.92239963587815</v>
      </c>
      <c r="BH149" s="59">
        <f t="shared" si="116"/>
        <v>995.25573296921152</v>
      </c>
      <c r="BI149" s="59">
        <f ca="1">AVERAGE(OFFSET($BH$3,0,0,'Données projet'!$E$11+1,1))-AVERAGE(OFFSET($H$3,0,0,'Données projet'!$E$11+1,1))</f>
        <v>496.71433459306451</v>
      </c>
      <c r="BJ149" s="59">
        <f t="shared" si="146"/>
        <v>206.75063396134982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62.157627907728781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62.157627907728781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355.09162485318728</v>
      </c>
      <c r="T150" s="59">
        <f t="shared" si="142"/>
        <v>320.06572891923685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43.709589008592737</v>
      </c>
      <c r="AA150" s="21">
        <f>EXP(-LN(2)/25)*AA149+(1-EXP(-LN(2)/25))/(LN(2)/25)*Calculateur!V150*Calculateur!X150*VLOOKUP('Données projet'!$B$9,Paramètres!$A$1:$I$89,3,0)*0.475*44/12</f>
        <v>5.922283896336852</v>
      </c>
      <c r="AB150" s="21">
        <f>EXP(-LN(2)/2)*AB149+(1-EXP(-LN(2)/2))/(LN(2)/2)*V150*Y150*VLOOKUP('Données projet'!$B$9,Paramètres!$A$1:$I$89,3,0)*0.475*44/12</f>
        <v>9.60860389157171E-10</v>
      </c>
      <c r="AC150" s="22">
        <f t="shared" si="111"/>
        <v>49.631872905890447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6.2499999999999947</v>
      </c>
      <c r="AI150" s="13">
        <f>IF('Données projet'!$A$62&gt;35,AI149+AH150-AQ149,IF(A150&lt;'Données projet'!$A$62,$AF$205^A150,IF(A150='Données projet'!$A$62,'Données projet'!$B$62,AI149+AH150-AQ149)))</f>
        <v>328.08974358974308</v>
      </c>
      <c r="AJ150" s="13">
        <f>AI150*VLOOKUP('Données projet'!$B$10,Paramètres!$A$1:$I$89,3,0)*VLOOKUP('Données projet'!$B$10,Paramètres!$A$1:$I$89,5,0)</f>
        <v>296.85559999999953</v>
      </c>
      <c r="AK150" s="13">
        <f t="shared" si="143"/>
        <v>70.516872767727662</v>
      </c>
      <c r="AL150" s="20">
        <f t="shared" si="112"/>
        <v>639.84039007045806</v>
      </c>
      <c r="AM150" s="59">
        <f t="shared" si="113"/>
        <v>933.17372340379143</v>
      </c>
      <c r="AN150" s="59">
        <f ca="1">AVERAGE(OFFSET($AM$3,0,0,'Données projet'!$E$10+1,1))-AVERAGE(OFFSET($H$3,0,0,'Données projet'!$E$10+1,1))</f>
        <v>447.91110718952615</v>
      </c>
      <c r="AO150" s="59">
        <f t="shared" si="144"/>
        <v>188.87492758536894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54.37611961135886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54.37611961135886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6.2499999999999947</v>
      </c>
      <c r="BD150" s="12">
        <f>IF('Données projet'!$A$88&gt;35,BD149+BC150-BL149,IF(A150&lt;'Données projet'!$A$88,$BA$205^A150,IF(A150='Données projet'!$A$88,'Données projet'!$B$88,BD149+BC150-BL149)))</f>
        <v>328.08974358974308</v>
      </c>
      <c r="BE150" s="13">
        <f>BD150*VLOOKUP('Données projet'!$B$11,Paramètres!$A$1:$I$89,3,0)*VLOOKUP('Données projet'!$B$11,Paramètres!$A$1:$I$89,5,0)</f>
        <v>332.68299999999954</v>
      </c>
      <c r="BF150" s="13">
        <f t="shared" si="145"/>
        <v>77.986299106726008</v>
      </c>
      <c r="BG150" s="20">
        <f t="shared" si="115"/>
        <v>715.24902927754692</v>
      </c>
      <c r="BH150" s="59">
        <f t="shared" si="116"/>
        <v>1008.5823626108802</v>
      </c>
      <c r="BI150" s="59">
        <f ca="1">AVERAGE(OFFSET($BH$3,0,0,'Données projet'!$E$11+1,1))-AVERAGE(OFFSET($H$3,0,0,'Données projet'!$E$11+1,1))</f>
        <v>496.71433459306451</v>
      </c>
      <c r="BJ150" s="59">
        <f t="shared" si="146"/>
        <v>206.75063396134982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60.938754736867701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60.938754736867701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355.09162485318728</v>
      </c>
      <c r="T151" s="59">
        <f t="shared" si="142"/>
        <v>320.06572891923685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42.85247062835105</v>
      </c>
      <c r="AA151" s="21">
        <f>EXP(-LN(2)/25)*AA150+(1-EXP(-LN(2)/25))/(LN(2)/25)*Calculateur!V151*Calculateur!X151*VLOOKUP('Données projet'!$B$9,Paramètres!$A$1:$I$89,3,0)*0.475*44/12</f>
        <v>5.7603387317521459</v>
      </c>
      <c r="AB151" s="21">
        <f>EXP(-LN(2)/2)*AB150+(1-EXP(-LN(2)/2))/(LN(2)/2)*V151*Y151*VLOOKUP('Données projet'!$B$9,Paramètres!$A$1:$I$89,3,0)*0.475*44/12</f>
        <v>6.7943089694658062E-10</v>
      </c>
      <c r="AC151" s="22">
        <f t="shared" si="111"/>
        <v>48.612809360782627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6.2499999999999947</v>
      </c>
      <c r="AI151" s="13">
        <f>IF('Données projet'!$A$62&gt;35,AI150+AH151-AQ150,IF(A151&lt;'Données projet'!$A$62,$AF$205^A151,IF(A151='Données projet'!$A$62,'Données projet'!$B$62,AI150+AH151-AQ150)))</f>
        <v>334.33974358974308</v>
      </c>
      <c r="AJ151" s="13">
        <f>AI151*VLOOKUP('Données projet'!$B$10,Paramètres!$A$1:$I$89,3,0)*VLOOKUP('Données projet'!$B$10,Paramètres!$A$1:$I$89,5,0)</f>
        <v>302.51059999999956</v>
      </c>
      <c r="AK151" s="13">
        <f t="shared" si="143"/>
        <v>71.702526117067052</v>
      </c>
      <c r="AL151" s="20">
        <f t="shared" si="112"/>
        <v>651.75452798722438</v>
      </c>
      <c r="AM151" s="59">
        <f t="shared" si="113"/>
        <v>945.08786132055775</v>
      </c>
      <c r="AN151" s="59">
        <f ca="1">AVERAGE(OFFSET($AM$3,0,0,'Données projet'!$E$10+1,1))-AVERAGE(OFFSET($H$3,0,0,'Données projet'!$E$10+1,1))</f>
        <v>447.91110718952615</v>
      </c>
      <c r="AO151" s="59">
        <f t="shared" si="144"/>
        <v>188.87492758536894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53.30983707193819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53.30983707193819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6.2499999999999947</v>
      </c>
      <c r="BD151" s="12">
        <f>IF('Données projet'!$A$88&gt;35,BD150+BC151-BL150,IF(A151&lt;'Données projet'!$A$88,$BA$205^A151,IF(A151='Données projet'!$A$88,'Données projet'!$B$88,BD150+BC151-BL150)))</f>
        <v>334.33974358974308</v>
      </c>
      <c r="BE151" s="13">
        <f>BD151*VLOOKUP('Données projet'!$B$11,Paramètres!$A$1:$I$89,3,0)*VLOOKUP('Données projet'!$B$11,Paramètres!$A$1:$I$89,5,0)</f>
        <v>339.02049999999952</v>
      </c>
      <c r="BF151" s="13">
        <f t="shared" si="145"/>
        <v>79.297541552814593</v>
      </c>
      <c r="BG151" s="20">
        <f t="shared" si="115"/>
        <v>728.57058903781797</v>
      </c>
      <c r="BH151" s="59">
        <f t="shared" si="116"/>
        <v>1021.9039223711513</v>
      </c>
      <c r="BI151" s="59">
        <f ca="1">AVERAGE(OFFSET($BH$3,0,0,'Données projet'!$E$11+1,1))-AVERAGE(OFFSET($H$3,0,0,'Données projet'!$E$11+1,1))</f>
        <v>496.71433459306451</v>
      </c>
      <c r="BJ151" s="59">
        <f t="shared" si="146"/>
        <v>206.75063396134982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59.743782925447981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59.743782925447981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355.09162485318728</v>
      </c>
      <c r="T152" s="59">
        <f t="shared" si="142"/>
        <v>320.06572891923685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42.012159816755315</v>
      </c>
      <c r="AA152" s="21">
        <f>EXP(-LN(2)/25)*AA151+(1-EXP(-LN(2)/25))/(LN(2)/25)*Calculateur!V152*Calculateur!X152*VLOOKUP('Données projet'!$B$9,Paramètres!$A$1:$I$89,3,0)*0.475*44/12</f>
        <v>5.6028219662093353</v>
      </c>
      <c r="AB152" s="21">
        <f>EXP(-LN(2)/2)*AB151+(1-EXP(-LN(2)/2))/(LN(2)/2)*V152*Y152*VLOOKUP('Données projet'!$B$9,Paramètres!$A$1:$I$89,3,0)*0.475*44/12</f>
        <v>4.804301945785855E-10</v>
      </c>
      <c r="AC152" s="22">
        <f t="shared" si="111"/>
        <v>47.614981783445081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6.2499999999999947</v>
      </c>
      <c r="AI152" s="13">
        <f>IF('Données projet'!$A$62&gt;35,AI151+AH152-AQ151,IF(A152&lt;'Données projet'!$A$62,$AF$205^A152,IF(A152='Données projet'!$A$62,'Données projet'!$B$62,AI151+AH152-AQ151)))</f>
        <v>340.58974358974308</v>
      </c>
      <c r="AJ152" s="13">
        <f>AI152*VLOOKUP('Données projet'!$B$10,Paramètres!$A$1:$I$89,3,0)*VLOOKUP('Données projet'!$B$10,Paramètres!$A$1:$I$89,5,0)</f>
        <v>308.16559999999953</v>
      </c>
      <c r="AK152" s="13">
        <f t="shared" si="143"/>
        <v>72.885602213408205</v>
      </c>
      <c r="AL152" s="20">
        <f t="shared" si="112"/>
        <v>663.6641771883518</v>
      </c>
      <c r="AM152" s="59">
        <f t="shared" si="113"/>
        <v>956.99751052168517</v>
      </c>
      <c r="AN152" s="59">
        <f ca="1">AVERAGE(OFFSET($AM$3,0,0,'Données projet'!$E$10+1,1))-AVERAGE(OFFSET($H$3,0,0,'Données projet'!$E$10+1,1))</f>
        <v>447.91110718952615</v>
      </c>
      <c r="AO152" s="59">
        <f t="shared" si="144"/>
        <v>188.87492758536894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52.264463682747426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52.264463682747426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6.2499999999999947</v>
      </c>
      <c r="BD152" s="12">
        <f>IF('Données projet'!$A$88&gt;35,BD151+BC152-BL151,IF(A152&lt;'Données projet'!$A$88,$BA$205^A152,IF(A152='Données projet'!$A$88,'Données projet'!$B$88,BD151+BC152-BL151)))</f>
        <v>340.58974358974308</v>
      </c>
      <c r="BE152" s="13">
        <f>BD152*VLOOKUP('Données projet'!$B$11,Paramètres!$A$1:$I$89,3,0)*VLOOKUP('Données projet'!$B$11,Paramètres!$A$1:$I$89,5,0)</f>
        <v>345.35799999999949</v>
      </c>
      <c r="BF152" s="13">
        <f t="shared" si="145"/>
        <v>80.605933753064065</v>
      </c>
      <c r="BG152" s="20">
        <f t="shared" si="115"/>
        <v>741.88718461991891</v>
      </c>
      <c r="BH152" s="59">
        <f t="shared" si="116"/>
        <v>1035.2205179532523</v>
      </c>
      <c r="BI152" s="59">
        <f ca="1">AVERAGE(OFFSET($BH$3,0,0,'Données projet'!$E$11+1,1))-AVERAGE(OFFSET($H$3,0,0,'Données projet'!$E$11+1,1))</f>
        <v>496.71433459306451</v>
      </c>
      <c r="BJ152" s="59">
        <f t="shared" si="146"/>
        <v>206.75063396134982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58.572243782389371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58.572243782389371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355.09162485318728</v>
      </c>
      <c r="T153" s="59">
        <f t="shared" si="142"/>
        <v>320.06572891923685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41.188326987635982</v>
      </c>
      <c r="AA153" s="21">
        <f>EXP(-LN(2)/25)*AA152+(1-EXP(-LN(2)/25))/(LN(2)/25)*Calculateur!V153*Calculateur!X153*VLOOKUP('Données projet'!$B$9,Paramètres!$A$1:$I$89,3,0)*0.475*44/12</f>
        <v>5.4496125049037394</v>
      </c>
      <c r="AB153" s="21">
        <f>EXP(-LN(2)/2)*AB152+(1-EXP(-LN(2)/2))/(LN(2)/2)*V153*Y153*VLOOKUP('Données projet'!$B$9,Paramètres!$A$1:$I$89,3,0)*0.475*44/12</f>
        <v>3.3971544847329031E-10</v>
      </c>
      <c r="AC153" s="22">
        <f t="shared" si="111"/>
        <v>46.63793949287944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6.2499999999999947</v>
      </c>
      <c r="AI153" s="13">
        <f>IF('Données projet'!$A$62&gt;35,AI152+AH153-AQ152,IF(A153&lt;'Données projet'!$A$62,$AF$205^A153,IF(A153='Données projet'!$A$62,'Données projet'!$B$62,AI152+AH153-AQ152)))</f>
        <v>346.83974358974308</v>
      </c>
      <c r="AJ153" s="13">
        <f>AI153*VLOOKUP('Données projet'!$B$10,Paramètres!$A$1:$I$89,3,0)*VLOOKUP('Données projet'!$B$10,Paramètres!$A$1:$I$89,5,0)</f>
        <v>313.82059999999956</v>
      </c>
      <c r="AK153" s="13">
        <f t="shared" si="143"/>
        <v>74.066153805327986</v>
      </c>
      <c r="AL153" s="20">
        <f t="shared" si="112"/>
        <v>675.56942954427871</v>
      </c>
      <c r="AM153" s="59">
        <f t="shared" si="113"/>
        <v>968.90276287761208</v>
      </c>
      <c r="AN153" s="59">
        <f ca="1">AVERAGE(OFFSET($AM$3,0,0,'Données projet'!$E$10+1,1))-AVERAGE(OFFSET($H$3,0,0,'Données projet'!$E$10+1,1))</f>
        <v>447.91110718952615</v>
      </c>
      <c r="AO153" s="59">
        <f t="shared" si="144"/>
        <v>188.87492758536894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51.239589428103884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51.239589428103884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6.2499999999999947</v>
      </c>
      <c r="BD153" s="12">
        <f>IF('Données projet'!$A$88&gt;35,BD152+BC153-BL152,IF(A153&lt;'Données projet'!$A$88,$BA$205^A153,IF(A153='Données projet'!$A$88,'Données projet'!$B$88,BD152+BC153-BL152)))</f>
        <v>346.83974358974308</v>
      </c>
      <c r="BE153" s="13">
        <f>BD153*VLOOKUP('Données projet'!$B$11,Paramètres!$A$1:$I$89,3,0)*VLOOKUP('Données projet'!$B$11,Paramètres!$A$1:$I$89,5,0)</f>
        <v>351.69549999999953</v>
      </c>
      <c r="BF153" s="13">
        <f t="shared" si="145"/>
        <v>81.911534043389366</v>
      </c>
      <c r="BG153" s="20">
        <f t="shared" si="115"/>
        <v>755.19891762556892</v>
      </c>
      <c r="BH153" s="59">
        <f t="shared" si="116"/>
        <v>1048.5322509589023</v>
      </c>
      <c r="BI153" s="59">
        <f ca="1">AVERAGE(OFFSET($BH$3,0,0,'Données projet'!$E$11+1,1))-AVERAGE(OFFSET($H$3,0,0,'Données projet'!$E$11+1,1))</f>
        <v>496.71433459306451</v>
      </c>
      <c r="BJ153" s="59">
        <f t="shared" si="146"/>
        <v>206.75063396134982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57.423677807357819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57.423677807357819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355.09162485318728</v>
      </c>
      <c r="T154" s="59">
        <f t="shared" si="142"/>
        <v>320.06572891923685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40.380649017807272</v>
      </c>
      <c r="AA154" s="21">
        <f>EXP(-LN(2)/25)*AA153+(1-EXP(-LN(2)/25))/(LN(2)/25)*Calculateur!V154*Calculateur!X154*VLOOKUP('Données projet'!$B$9,Paramètres!$A$1:$I$89,3,0)*0.475*44/12</f>
        <v>5.3005925643744805</v>
      </c>
      <c r="AB154" s="21">
        <f>EXP(-LN(2)/2)*AB153+(1-EXP(-LN(2)/2))/(LN(2)/2)*V154*Y154*VLOOKUP('Données projet'!$B$9,Paramètres!$A$1:$I$89,3,0)*0.475*44/12</f>
        <v>2.4021509728929275E-10</v>
      </c>
      <c r="AC154" s="22">
        <f t="shared" ref="AC154:AC203" si="163">SUM(Z154:AB154)</f>
        <v>45.681241582421968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6.2499999999999947</v>
      </c>
      <c r="AI154" s="13">
        <f>IF('Données projet'!$A$62&gt;35,AI153+AH154-AQ153,IF(A154&lt;'Données projet'!$A$62,$AF$205^A154,IF(A154='Données projet'!$A$62,'Données projet'!$B$62,AI153+AH154-AQ153)))</f>
        <v>353.08974358974308</v>
      </c>
      <c r="AJ154" s="13">
        <f>AI154*VLOOKUP('Données projet'!$B$10,Paramètres!$A$1:$I$89,3,0)*VLOOKUP('Données projet'!$B$10,Paramètres!$A$1:$I$89,5,0)</f>
        <v>319.47559999999953</v>
      </c>
      <c r="AK154" s="13">
        <f t="shared" ref="AK154:AK203" si="164">EXP(-1.0587+0.8836*LN(AJ154)+0.284)</f>
        <v>75.244231631502288</v>
      </c>
      <c r="AL154" s="20">
        <f t="shared" ref="AL154:AL203" si="165">(AJ154+AK154)*0.475*44/12</f>
        <v>687.47037342486567</v>
      </c>
      <c r="AM154" s="59">
        <f t="shared" si="113"/>
        <v>980.80370675819904</v>
      </c>
      <c r="AN154" s="59">
        <f ca="1">AVERAGE(OFFSET($AM$3,0,0,'Données projet'!$E$10+1,1))-AVERAGE(OFFSET($H$3,0,0,'Données projet'!$E$10+1,1))</f>
        <v>447.91110718952615</v>
      </c>
      <c r="AO154" s="59">
        <f t="shared" si="144"/>
        <v>188.87492758536894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50.234812332482335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50.234812332482335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6.2499999999999947</v>
      </c>
      <c r="BD154" s="12">
        <f>IF('Données projet'!$A$88&gt;35,BD153+BC154-BL153,IF(A154&lt;'Données projet'!$A$88,$BA$205^A154,IF(A154='Données projet'!$A$88,'Données projet'!$B$88,BD153+BC154-BL153)))</f>
        <v>353.08974358974308</v>
      </c>
      <c r="BE154" s="13">
        <f>BD154*VLOOKUP('Données projet'!$B$11,Paramètres!$A$1:$I$89,3,0)*VLOOKUP('Données projet'!$B$11,Paramètres!$A$1:$I$89,5,0)</f>
        <v>358.0329999999995</v>
      </c>
      <c r="BF154" s="13">
        <f t="shared" ref="BF154:BF203" si="167">EXP(-1.0587+0.8836*LN(BE154)+0.284)</f>
        <v>83.214398536907893</v>
      </c>
      <c r="BG154" s="20">
        <f t="shared" ref="BG154:BG203" si="168">(BE154+BF154)*0.475*44/12</f>
        <v>768.50588578511361</v>
      </c>
      <c r="BH154" s="59">
        <f t="shared" si="116"/>
        <v>1061.8392191184469</v>
      </c>
      <c r="BI154" s="59">
        <f ca="1">AVERAGE(OFFSET($BH$3,0,0,'Données projet'!$E$11+1,1))-AVERAGE(OFFSET($H$3,0,0,'Données projet'!$E$11+1,1))</f>
        <v>496.71433459306451</v>
      </c>
      <c r="BJ154" s="59">
        <f t="shared" si="146"/>
        <v>206.75063396134982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56.297634510540568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56.297634510540568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355.09162485318728</v>
      </c>
      <c r="T155" s="59">
        <f t="shared" si="142"/>
        <v>320.06572891923685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39.588809120331987</v>
      </c>
      <c r="AA155" s="21">
        <f>EXP(-LN(2)/25)*AA154+(1-EXP(-LN(2)/25))/(LN(2)/25)*Calculateur!V155*Calculateur!X155*VLOOKUP('Données projet'!$B$9,Paramètres!$A$1:$I$89,3,0)*0.475*44/12</f>
        <v>5.1556475819556118</v>
      </c>
      <c r="AB155" s="21">
        <f>EXP(-LN(2)/2)*AB154+(1-EXP(-LN(2)/2))/(LN(2)/2)*V155*Y155*VLOOKUP('Données projet'!$B$9,Paramètres!$A$1:$I$89,3,0)*0.475*44/12</f>
        <v>1.6985772423664515E-10</v>
      </c>
      <c r="AC155" s="22">
        <f t="shared" si="163"/>
        <v>44.744456702457455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6.2499999999999947</v>
      </c>
      <c r="AI155" s="13">
        <f>IF('Données projet'!$A$62&gt;35,AI154+AH155-AQ154,IF(A155&lt;'Données projet'!$A$62,$AF$205^A155,IF(A155='Données projet'!$A$62,'Données projet'!$B$62,AI154+AH155-AQ154)))</f>
        <v>359.33974358974308</v>
      </c>
      <c r="AJ155" s="13">
        <f>AI155*VLOOKUP('Données projet'!$B$10,Paramètres!$A$1:$I$89,3,0)*VLOOKUP('Données projet'!$B$10,Paramètres!$A$1:$I$89,5,0)</f>
        <v>325.13059999999956</v>
      </c>
      <c r="AK155" s="13">
        <f t="shared" si="164"/>
        <v>76.419884531487469</v>
      </c>
      <c r="AL155" s="20">
        <f t="shared" si="165"/>
        <v>699.36709389233977</v>
      </c>
      <c r="AM155" s="59">
        <f t="shared" si="113"/>
        <v>992.70042722567314</v>
      </c>
      <c r="AN155" s="59">
        <f ca="1">AVERAGE(OFFSET($AM$3,0,0,'Données projet'!$E$10+1,1))-AVERAGE(OFFSET($H$3,0,0,'Données projet'!$E$10+1,1))</f>
        <v>447.91110718952615</v>
      </c>
      <c r="AO155" s="59">
        <f t="shared" si="144"/>
        <v>188.87492758536894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49.249738302852407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49.249738302852407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6.2499999999999947</v>
      </c>
      <c r="BD155" s="12">
        <f>IF('Données projet'!$A$88&gt;35,BD154+BC155-BL154,IF(A155&lt;'Données projet'!$A$88,$BA$205^A155,IF(A155='Données projet'!$A$88,'Données projet'!$B$88,BD154+BC155-BL154)))</f>
        <v>359.33974358974308</v>
      </c>
      <c r="BE155" s="13">
        <f>BD155*VLOOKUP('Données projet'!$B$11,Paramètres!$A$1:$I$89,3,0)*VLOOKUP('Données projet'!$B$11,Paramètres!$A$1:$I$89,5,0)</f>
        <v>364.37049999999954</v>
      </c>
      <c r="BF155" s="13">
        <f t="shared" si="167"/>
        <v>84.514581246454938</v>
      </c>
      <c r="BG155" s="20">
        <f t="shared" si="168"/>
        <v>781.80818317090825</v>
      </c>
      <c r="BH155" s="59">
        <f t="shared" si="116"/>
        <v>1075.1415165042415</v>
      </c>
      <c r="BI155" s="59">
        <f ca="1">AVERAGE(OFFSET($BH$3,0,0,'Données projet'!$E$11+1,1))-AVERAGE(OFFSET($H$3,0,0,'Données projet'!$E$11+1,1))</f>
        <v>496.71433459306451</v>
      </c>
      <c r="BJ155" s="59">
        <f t="shared" si="146"/>
        <v>206.75063396134982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55.193672235955304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55.193672235955304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355.09162485318728</v>
      </c>
      <c r="T156" s="59">
        <f t="shared" si="142"/>
        <v>320.06572891923685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38.81249672027154</v>
      </c>
      <c r="AA156" s="21">
        <f>EXP(-LN(2)/25)*AA155+(1-EXP(-LN(2)/25))/(LN(2)/25)*Calculateur!V156*Calculateur!X156*VLOOKUP('Données projet'!$B$9,Paramètres!$A$1:$I$89,3,0)*0.475*44/12</f>
        <v>5.0146661277033129</v>
      </c>
      <c r="AB156" s="21">
        <f>EXP(-LN(2)/2)*AB155+(1-EXP(-LN(2)/2))/(LN(2)/2)*V156*Y156*VLOOKUP('Données projet'!$B$9,Paramètres!$A$1:$I$89,3,0)*0.475*44/12</f>
        <v>1.2010754864464638E-10</v>
      </c>
      <c r="AC156" s="22">
        <f t="shared" si="163"/>
        <v>43.827162848094964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6.2499999999999947</v>
      </c>
      <c r="AI156" s="13">
        <f>IF('Données projet'!$A$62&gt;35,AI155+AH156-AQ155,IF(A156&lt;'Données projet'!$A$62,$AF$205^A156,IF(A156='Données projet'!$A$62,'Données projet'!$B$62,AI155+AH156-AQ155)))</f>
        <v>365.58974358974308</v>
      </c>
      <c r="AJ156" s="13">
        <f>AI156*VLOOKUP('Données projet'!$B$10,Paramètres!$A$1:$I$89,3,0)*VLOOKUP('Données projet'!$B$10,Paramètres!$A$1:$I$89,5,0)</f>
        <v>330.78559999999953</v>
      </c>
      <c r="AK156" s="13">
        <f t="shared" si="164"/>
        <v>77.593159548575656</v>
      </c>
      <c r="AL156" s="20">
        <f t="shared" si="165"/>
        <v>711.25967288043512</v>
      </c>
      <c r="AM156" s="59">
        <f t="shared" si="113"/>
        <v>1004.5930062137684</v>
      </c>
      <c r="AN156" s="59">
        <f ca="1">AVERAGE(OFFSET($AM$3,0,0,'Données projet'!$E$10+1,1))-AVERAGE(OFFSET($H$3,0,0,'Données projet'!$E$10+1,1))</f>
        <v>447.91110718952615</v>
      </c>
      <c r="AO156" s="59">
        <f t="shared" si="144"/>
        <v>188.87492758536894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48.283980974107692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48.283980974107692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6.2499999999999947</v>
      </c>
      <c r="BD156" s="12">
        <f>IF('Données projet'!$A$88&gt;35,BD155+BC156-BL155,IF(A156&lt;'Données projet'!$A$88,$BA$205^A156,IF(A156='Données projet'!$A$88,'Données projet'!$B$88,BD155+BC156-BL155)))</f>
        <v>365.58974358974308</v>
      </c>
      <c r="BE156" s="13">
        <f>BD156*VLOOKUP('Données projet'!$B$11,Paramètres!$A$1:$I$89,3,0)*VLOOKUP('Données projet'!$B$11,Paramètres!$A$1:$I$89,5,0)</f>
        <v>370.70799999999952</v>
      </c>
      <c r="BF156" s="13">
        <f t="shared" si="167"/>
        <v>85.812134198334689</v>
      </c>
      <c r="BG156" s="20">
        <f t="shared" si="168"/>
        <v>795.10590039543195</v>
      </c>
      <c r="BH156" s="59">
        <f t="shared" si="116"/>
        <v>1088.4392337287652</v>
      </c>
      <c r="BI156" s="59">
        <f ca="1">AVERAGE(OFFSET($BH$3,0,0,'Données projet'!$E$11+1,1))-AVERAGE(OFFSET($H$3,0,0,'Données projet'!$E$11+1,1))</f>
        <v>496.71433459306451</v>
      </c>
      <c r="BJ156" s="59">
        <f t="shared" si="146"/>
        <v>206.75063396134982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54.111357988224164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54.111357988224164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355.09162485318728</v>
      </c>
      <c r="T157" s="59">
        <f t="shared" si="142"/>
        <v>320.06572891923685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38.051407332872472</v>
      </c>
      <c r="AA157" s="21">
        <f>EXP(-LN(2)/25)*AA156+(1-EXP(-LN(2)/25))/(LN(2)/25)*Calculateur!V157*Calculateur!X157*VLOOKUP('Données projet'!$B$9,Paramètres!$A$1:$I$89,3,0)*0.475*44/12</f>
        <v>4.8775398187314352</v>
      </c>
      <c r="AB157" s="21">
        <f>EXP(-LN(2)/2)*AB156+(1-EXP(-LN(2)/2))/(LN(2)/2)*V157*Y157*VLOOKUP('Données projet'!$B$9,Paramètres!$A$1:$I$89,3,0)*0.475*44/12</f>
        <v>8.4928862118322577E-11</v>
      </c>
      <c r="AC157" s="22">
        <f t="shared" si="163"/>
        <v>42.928947151688838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371.83974358974359</v>
      </c>
      <c r="AG157" s="12">
        <f>VLOOKUP(A157,'Données projet'!$A$61:$I$81,9,0)</f>
        <v>6.2499999999999947</v>
      </c>
      <c r="AH157" s="12">
        <f t="array" ref="AH157">INDEX(AG:AG,MIN(IF(ISNUMBER(AG157:AG353),ROW(AG157:AG353),"")))</f>
        <v>6.2499999999999947</v>
      </c>
      <c r="AI157" s="13">
        <f>IF('Données projet'!$A$62&gt;35,AI156+AH157-AQ156,IF(A157&lt;'Données projet'!$A$62,$AF$205^A157,IF(A157='Données projet'!$A$62,'Données projet'!$B$62,AI156+AH157-AQ156)))</f>
        <v>371.83974358974308</v>
      </c>
      <c r="AJ157" s="13">
        <f>AI157*VLOOKUP('Données projet'!$B$10,Paramètres!$A$1:$I$89,3,0)*VLOOKUP('Données projet'!$B$10,Paramètres!$A$1:$I$89,5,0)</f>
        <v>336.44059999999956</v>
      </c>
      <c r="AK157" s="13">
        <f t="shared" si="164"/>
        <v>78.764102025417841</v>
      </c>
      <c r="AL157" s="20">
        <f t="shared" si="165"/>
        <v>723.14818936093525</v>
      </c>
      <c r="AM157" s="59">
        <f t="shared" si="113"/>
        <v>1016.4815226942685</v>
      </c>
      <c r="AN157" s="59">
        <f ca="1">AVERAGE(OFFSET($AM$3,0,0,'Données projet'!$E$10+1,1))-AVERAGE(OFFSET($H$3,0,0,'Données projet'!$E$10+1,1))</f>
        <v>447.91110718952615</v>
      </c>
      <c r="AO157" s="59">
        <f t="shared" si="144"/>
        <v>188.87492758536894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41.557692307692307</v>
      </c>
      <c r="AR157" s="16">
        <f>IF(ISNA(VLOOKUP(A157,'Données projet'!$A$61:$I$81,5,0)),0%,VLOOKUP(A157,'Données projet'!$A$61:$I$81,5,0)*VLOOKUP('Données projet'!$B$10,Paramètres!$A$1:$I$89,7,0))</f>
        <v>0.38700000000000001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63.423681088037355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63.423681088037355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371.83974358974359</v>
      </c>
      <c r="BB157" s="12">
        <f>VLOOKUP(A157,'Données projet'!$A$87:$I$107,9,0)</f>
        <v>6.2499999999999947</v>
      </c>
      <c r="BC157" s="12">
        <f t="array" ref="BC157">INDEX(BB:BB,MIN(IF(ISNUMBER(BB157:BB353),ROW(BB157:BB353),"")))</f>
        <v>6.2499999999999947</v>
      </c>
      <c r="BD157" s="12">
        <f>IF('Données projet'!$A$88&gt;35,BD156+BC157-BL156,IF(A157&lt;'Données projet'!$A$88,$BA$205^A157,IF(A157='Données projet'!$A$88,'Données projet'!$B$88,BD156+BC157-BL156)))</f>
        <v>371.83974358974308</v>
      </c>
      <c r="BE157" s="13">
        <f>BD157*VLOOKUP('Données projet'!$B$11,Paramètres!$A$1:$I$89,3,0)*VLOOKUP('Données projet'!$B$11,Paramètres!$A$1:$I$89,5,0)</f>
        <v>377.04549999999949</v>
      </c>
      <c r="BF157" s="13">
        <f t="shared" si="167"/>
        <v>87.107107538070935</v>
      </c>
      <c r="BG157" s="20">
        <f t="shared" si="168"/>
        <v>808.39912479547263</v>
      </c>
      <c r="BH157" s="59">
        <f t="shared" si="116"/>
        <v>1101.732458128806</v>
      </c>
      <c r="BI157" s="59">
        <f ca="1">AVERAGE(OFFSET($BH$3,0,0,'Données projet'!$E$11+1,1))-AVERAGE(OFFSET($H$3,0,0,'Données projet'!$E$11+1,1))</f>
        <v>496.71433459306451</v>
      </c>
      <c r="BJ157" s="59">
        <f t="shared" si="146"/>
        <v>206.75063396134982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41.557692307692307</v>
      </c>
      <c r="BM157" s="16">
        <f>IF(ISNA(VLOOKUP(A157,'Données projet'!$A$87:$I$107,5,0)),0%,VLOOKUP(A157,'Données projet'!$A$87:$I$107,5,0)*VLOOKUP('Données projet'!$B$11,Paramètres!$A$1:$I$89,7,0))</f>
        <v>0.38700000000000001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71.078263288317743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71.078263288317743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355.09162485318728</v>
      </c>
      <c r="T158" s="59">
        <f t="shared" si="142"/>
        <v>320.06572891923685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37.305242444141612</v>
      </c>
      <c r="AA158" s="21">
        <f>EXP(-LN(2)/25)*AA157+(1-EXP(-LN(2)/25))/(LN(2)/25)*Calculateur!V158*Calculateur!X158*VLOOKUP('Données projet'!$B$9,Paramètres!$A$1:$I$89,3,0)*0.475*44/12</f>
        <v>4.7441632358895527</v>
      </c>
      <c r="AB158" s="21">
        <f>EXP(-LN(2)/2)*AB157+(1-EXP(-LN(2)/2))/(LN(2)/2)*V158*Y158*VLOOKUP('Données projet'!$B$9,Paramètres!$A$1:$I$89,3,0)*0.475*44/12</f>
        <v>6.0053774322323188E-11</v>
      </c>
      <c r="AC158" s="22">
        <f t="shared" si="163"/>
        <v>42.049405680091219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6.3403846153846128</v>
      </c>
      <c r="AI158" s="13">
        <f>IF('Données projet'!$A$62&gt;35,AI157+AH158-AQ157,IF(A158&lt;'Données projet'!$A$62,$AF$205^A158,IF(A158='Données projet'!$A$62,'Données projet'!$B$62,AI157+AH158-AQ157)))</f>
        <v>336.62243589743537</v>
      </c>
      <c r="AJ158" s="13">
        <f>AI158*VLOOKUP('Données projet'!$B$10,Paramètres!$A$1:$I$89,3,0)*VLOOKUP('Données projet'!$B$10,Paramètres!$A$1:$I$89,5,0)</f>
        <v>304.5759799999995</v>
      </c>
      <c r="AK158" s="13">
        <f t="shared" si="164"/>
        <v>72.134917834185984</v>
      </c>
      <c r="AL158" s="20">
        <f t="shared" si="165"/>
        <v>656.10481372787308</v>
      </c>
      <c r="AM158" s="59">
        <f t="shared" si="113"/>
        <v>949.43814706120634</v>
      </c>
      <c r="AN158" s="59">
        <f ca="1">AVERAGE(OFFSET($AM$3,0,0,'Données projet'!$E$10+1,1))-AVERAGE(OFFSET($H$3,0,0,'Données projet'!$E$10+1,1))</f>
        <v>447.91110718952615</v>
      </c>
      <c r="AO158" s="59">
        <f t="shared" si="144"/>
        <v>188.87492758536894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62.17998138652662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62.17998138652662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6.3403846153846128</v>
      </c>
      <c r="BD158" s="12">
        <f>IF('Données projet'!$A$88&gt;35,BD157+BC158-BL157,IF(A158&lt;'Données projet'!$A$88,$BA$205^A158,IF(A158='Données projet'!$A$88,'Données projet'!$B$88,BD157+BC158-BL157)))</f>
        <v>336.62243589743537</v>
      </c>
      <c r="BE158" s="13">
        <f>BD158*VLOOKUP('Données projet'!$B$11,Paramètres!$A$1:$I$89,3,0)*VLOOKUP('Données projet'!$B$11,Paramètres!$A$1:$I$89,5,0)</f>
        <v>341.33514999999949</v>
      </c>
      <c r="BF158" s="13">
        <f t="shared" si="167"/>
        <v>79.775733912444451</v>
      </c>
      <c r="BG158" s="20">
        <f t="shared" si="168"/>
        <v>733.43478948083975</v>
      </c>
      <c r="BH158" s="59">
        <f t="shared" si="116"/>
        <v>1026.768122814173</v>
      </c>
      <c r="BI158" s="59">
        <f ca="1">AVERAGE(OFFSET($BH$3,0,0,'Données projet'!$E$11+1,1))-AVERAGE(OFFSET($H$3,0,0,'Données projet'!$E$11+1,1))</f>
        <v>496.71433459306451</v>
      </c>
      <c r="BJ158" s="59">
        <f t="shared" si="146"/>
        <v>206.75063396134982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69.684461898693641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69.684461898693641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355.09162485318728</v>
      </c>
      <c r="T159" s="59">
        <f t="shared" si="142"/>
        <v>320.06572891923685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36.573709393763117</v>
      </c>
      <c r="AA159" s="21">
        <f>EXP(-LN(2)/25)*AA158+(1-EXP(-LN(2)/25))/(LN(2)/25)*Calculateur!V159*Calculateur!X159*VLOOKUP('Données projet'!$B$9,Paramètres!$A$1:$I$89,3,0)*0.475*44/12</f>
        <v>4.6144338427194516</v>
      </c>
      <c r="AB159" s="21">
        <f>EXP(-LN(2)/2)*AB158+(1-EXP(-LN(2)/2))/(LN(2)/2)*V159*Y159*VLOOKUP('Données projet'!$B$9,Paramètres!$A$1:$I$89,3,0)*0.475*44/12</f>
        <v>4.2464431059161289E-11</v>
      </c>
      <c r="AC159" s="22">
        <f t="shared" si="163"/>
        <v>41.188143236525029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6.3403846153846128</v>
      </c>
      <c r="AI159" s="13">
        <f>IF('Données projet'!$A$62&gt;35,AI158+AH159-AQ158,IF(A159&lt;'Données projet'!$A$62,$AF$205^A159,IF(A159='Données projet'!$A$62,'Données projet'!$B$62,AI158+AH159-AQ158)))</f>
        <v>342.96282051281997</v>
      </c>
      <c r="AJ159" s="13">
        <f>AI159*VLOOKUP('Données projet'!$B$10,Paramètres!$A$1:$I$89,3,0)*VLOOKUP('Données projet'!$B$10,Paramètres!$A$1:$I$89,5,0)</f>
        <v>310.31275999999946</v>
      </c>
      <c r="AK159" s="13">
        <f t="shared" si="164"/>
        <v>73.334143074131603</v>
      </c>
      <c r="AL159" s="20">
        <f t="shared" si="165"/>
        <v>668.18502285411148</v>
      </c>
      <c r="AM159" s="59">
        <f t="shared" si="113"/>
        <v>961.51835618744485</v>
      </c>
      <c r="AN159" s="59">
        <f ca="1">AVERAGE(OFFSET($AM$3,0,0,'Données projet'!$E$10+1,1))-AVERAGE(OFFSET($H$3,0,0,'Données projet'!$E$10+1,1))</f>
        <v>447.91110718952615</v>
      </c>
      <c r="AO159" s="59">
        <f t="shared" si="144"/>
        <v>188.87492758536894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60.960669877580592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60.960669877580592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6.3403846153846128</v>
      </c>
      <c r="BD159" s="12">
        <f>IF('Données projet'!$A$88&gt;35,BD158+BC159-BL158,IF(A159&lt;'Données projet'!$A$88,$BA$205^A159,IF(A159='Données projet'!$A$88,'Données projet'!$B$88,BD158+BC159-BL158)))</f>
        <v>342.96282051281997</v>
      </c>
      <c r="BE159" s="13">
        <f>BD159*VLOOKUP('Données projet'!$B$11,Paramètres!$A$1:$I$89,3,0)*VLOOKUP('Données projet'!$B$11,Paramètres!$A$1:$I$89,5,0)</f>
        <v>347.76429999999948</v>
      </c>
      <c r="BF159" s="13">
        <f t="shared" si="167"/>
        <v>81.101985837523088</v>
      </c>
      <c r="BG159" s="20">
        <f t="shared" si="168"/>
        <v>746.94211450035175</v>
      </c>
      <c r="BH159" s="59">
        <f t="shared" si="116"/>
        <v>1040.2754478336851</v>
      </c>
      <c r="BI159" s="59">
        <f ca="1">AVERAGE(OFFSET($BH$3,0,0,'Données projet'!$E$11+1,1))-AVERAGE(OFFSET($H$3,0,0,'Données projet'!$E$11+1,1))</f>
        <v>496.71433459306451</v>
      </c>
      <c r="BJ159" s="59">
        <f t="shared" si="146"/>
        <v>206.75063396134982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68.317992104185166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68.317992104185166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355.09162485318728</v>
      </c>
      <c r="T160" s="59">
        <f t="shared" si="142"/>
        <v>320.06572891923685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35.856521260311446</v>
      </c>
      <c r="AA160" s="21">
        <f>EXP(-LN(2)/25)*AA159+(1-EXP(-LN(2)/25))/(LN(2)/25)*Calculateur!V160*Calculateur!X160*VLOOKUP('Données projet'!$B$9,Paramètres!$A$1:$I$89,3,0)*0.475*44/12</f>
        <v>4.4882519066277586</v>
      </c>
      <c r="AB160" s="21">
        <f>EXP(-LN(2)/2)*AB159+(1-EXP(-LN(2)/2))/(LN(2)/2)*V160*Y160*VLOOKUP('Données projet'!$B$9,Paramètres!$A$1:$I$89,3,0)*0.475*44/12</f>
        <v>3.0026887161161594E-11</v>
      </c>
      <c r="AC160" s="22">
        <f t="shared" si="163"/>
        <v>40.344773166969233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6.3403846153846128</v>
      </c>
      <c r="AI160" s="13">
        <f>IF('Données projet'!$A$62&gt;35,AI159+AH160-AQ159,IF(A160&lt;'Données projet'!$A$62,$AF$205^A160,IF(A160='Données projet'!$A$62,'Données projet'!$B$62,AI159+AH160-AQ159)))</f>
        <v>349.30320512820458</v>
      </c>
      <c r="AJ160" s="13">
        <f>AI160*VLOOKUP('Données projet'!$B$10,Paramètres!$A$1:$I$89,3,0)*VLOOKUP('Données projet'!$B$10,Paramètres!$A$1:$I$89,5,0)</f>
        <v>316.04953999999947</v>
      </c>
      <c r="AK160" s="13">
        <f t="shared" si="164"/>
        <v>74.530790323887828</v>
      </c>
      <c r="AL160" s="20">
        <f t="shared" si="165"/>
        <v>680.26074198077038</v>
      </c>
      <c r="AM160" s="59">
        <f t="shared" si="113"/>
        <v>973.59407531410375</v>
      </c>
      <c r="AN160" s="59">
        <f ca="1">AVERAGE(OFFSET($AM$3,0,0,'Données projet'!$E$10+1,1))-AVERAGE(OFFSET($H$3,0,0,'Données projet'!$E$10+1,1))</f>
        <v>447.91110718952615</v>
      </c>
      <c r="AO160" s="59">
        <f t="shared" si="144"/>
        <v>188.87492758536894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59.765268323618415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59.765268323618415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6.3403846153846128</v>
      </c>
      <c r="BD160" s="12">
        <f>IF('Données projet'!$A$88&gt;35,BD159+BC160-BL159,IF(A160&lt;'Données projet'!$A$88,$BA$205^A160,IF(A160='Données projet'!$A$88,'Données projet'!$B$88,BD159+BC160-BL159)))</f>
        <v>349.30320512820458</v>
      </c>
      <c r="BE160" s="13">
        <f>BD160*VLOOKUP('Données projet'!$B$11,Paramètres!$A$1:$I$89,3,0)*VLOOKUP('Données projet'!$B$11,Paramètres!$A$1:$I$89,5,0)</f>
        <v>354.19344999999947</v>
      </c>
      <c r="BF160" s="13">
        <f t="shared" si="167"/>
        <v>82.425386701485451</v>
      </c>
      <c r="BG160" s="20">
        <f t="shared" si="168"/>
        <v>760.44447392175289</v>
      </c>
      <c r="BH160" s="59">
        <f t="shared" si="116"/>
        <v>1053.7778072550861</v>
      </c>
      <c r="BI160" s="59">
        <f ca="1">AVERAGE(OFFSET($BH$3,0,0,'Données projet'!$E$11+1,1))-AVERAGE(OFFSET($H$3,0,0,'Données projet'!$E$11+1,1))</f>
        <v>496.71433459306451</v>
      </c>
      <c r="BJ160" s="59">
        <f t="shared" si="146"/>
        <v>206.75063396134982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66.978317948882719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66.978317948882719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355.09162485318728</v>
      </c>
      <c r="T161" s="59">
        <f t="shared" si="142"/>
        <v>320.06572891923685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35.153396748715195</v>
      </c>
      <c r="AA161" s="21">
        <f>EXP(-LN(2)/25)*AA160+(1-EXP(-LN(2)/25))/(LN(2)/25)*Calculateur!V161*Calculateur!X161*VLOOKUP('Données projet'!$B$9,Paramètres!$A$1:$I$89,3,0)*0.475*44/12</f>
        <v>4.3655204222141126</v>
      </c>
      <c r="AB161" s="21">
        <f>EXP(-LN(2)/2)*AB160+(1-EXP(-LN(2)/2))/(LN(2)/2)*V161*Y161*VLOOKUP('Données projet'!$B$9,Paramètres!$A$1:$I$89,3,0)*0.475*44/12</f>
        <v>2.1232215529580644E-11</v>
      </c>
      <c r="AC161" s="22">
        <f t="shared" si="163"/>
        <v>39.518917170950537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6.3403846153846128</v>
      </c>
      <c r="AI161" s="13">
        <f>IF('Données projet'!$A$62&gt;35,AI160+AH161-AQ160,IF(A161&lt;'Données projet'!$A$62,$AF$205^A161,IF(A161='Données projet'!$A$62,'Données projet'!$B$62,AI160+AH161-AQ160)))</f>
        <v>355.64358974358919</v>
      </c>
      <c r="AJ161" s="13">
        <f>AI161*VLOOKUP('Données projet'!$B$10,Paramètres!$A$1:$I$89,3,0)*VLOOKUP('Données projet'!$B$10,Paramètres!$A$1:$I$89,5,0)</f>
        <v>321.78631999999948</v>
      </c>
      <c r="AK161" s="13">
        <f t="shared" si="164"/>
        <v>75.724911775401807</v>
      </c>
      <c r="AL161" s="20">
        <f t="shared" si="165"/>
        <v>692.33206200882375</v>
      </c>
      <c r="AM161" s="59">
        <f t="shared" si="113"/>
        <v>985.66539534215713</v>
      </c>
      <c r="AN161" s="59">
        <f ca="1">AVERAGE(OFFSET($AM$3,0,0,'Données projet'!$E$10+1,1))-AVERAGE(OFFSET($H$3,0,0,'Données projet'!$E$10+1,1))</f>
        <v>447.91110718952615</v>
      </c>
      <c r="AO161" s="59">
        <f t="shared" si="144"/>
        <v>188.87492758536894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58.59330786500648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58.59330786500648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6.3403846153846128</v>
      </c>
      <c r="BD161" s="12">
        <f>IF('Données projet'!$A$88&gt;35,BD160+BC161-BL160,IF(A161&lt;'Données projet'!$A$88,$BA$205^A161,IF(A161='Données projet'!$A$88,'Données projet'!$B$88,BD160+BC161-BL160)))</f>
        <v>355.64358974358919</v>
      </c>
      <c r="BE161" s="13">
        <f>BD161*VLOOKUP('Données projet'!$B$11,Paramètres!$A$1:$I$89,3,0)*VLOOKUP('Données projet'!$B$11,Paramètres!$A$1:$I$89,5,0)</f>
        <v>360.62259999999947</v>
      </c>
      <c r="BF161" s="13">
        <f t="shared" si="167"/>
        <v>83.745994224656016</v>
      </c>
      <c r="BG161" s="20">
        <f t="shared" si="168"/>
        <v>773.94196827460826</v>
      </c>
      <c r="BH161" s="59">
        <f t="shared" si="116"/>
        <v>1067.2753016079416</v>
      </c>
      <c r="BI161" s="59">
        <f ca="1">AVERAGE(OFFSET($BH$3,0,0,'Données projet'!$E$11+1,1))-AVERAGE(OFFSET($H$3,0,0,'Données projet'!$E$11+1,1))</f>
        <v>496.71433459306451</v>
      </c>
      <c r="BJ161" s="59">
        <f t="shared" si="146"/>
        <v>206.75063396134982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65.664913986645203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65.664913986645203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355.09162485318728</v>
      </c>
      <c r="T162" s="59">
        <f t="shared" si="142"/>
        <v>320.06572891923685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34.464060079927741</v>
      </c>
      <c r="AA162" s="21">
        <f>EXP(-LN(2)/25)*AA161+(1-EXP(-LN(2)/25))/(LN(2)/25)*Calculateur!V162*Calculateur!X162*VLOOKUP('Données projet'!$B$9,Paramètres!$A$1:$I$89,3,0)*0.475*44/12</f>
        <v>4.2461450366959266</v>
      </c>
      <c r="AB162" s="21">
        <f>EXP(-LN(2)/2)*AB161+(1-EXP(-LN(2)/2))/(LN(2)/2)*V162*Y162*VLOOKUP('Données projet'!$B$9,Paramètres!$A$1:$I$89,3,0)*0.475*44/12</f>
        <v>1.5013443580580797E-11</v>
      </c>
      <c r="AC162" s="22">
        <f t="shared" si="163"/>
        <v>38.710205116638683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6.3403846153846128</v>
      </c>
      <c r="AI162" s="13">
        <f>IF('Données projet'!$A$62&gt;35,AI161+AH162-AQ161,IF(A162&lt;'Données projet'!$A$62,$AF$205^A162,IF(A162='Données projet'!$A$62,'Données projet'!$B$62,AI161+AH162-AQ161)))</f>
        <v>361.9839743589738</v>
      </c>
      <c r="AJ162" s="13">
        <f>AI162*VLOOKUP('Données projet'!$B$10,Paramètres!$A$1:$I$89,3,0)*VLOOKUP('Données projet'!$B$10,Paramètres!$A$1:$I$89,5,0)</f>
        <v>327.52309999999949</v>
      </c>
      <c r="AK162" s="13">
        <f t="shared" si="164"/>
        <v>76.916557653095737</v>
      </c>
      <c r="AL162" s="20">
        <f t="shared" si="165"/>
        <v>704.39907041247409</v>
      </c>
      <c r="AM162" s="59">
        <f t="shared" si="113"/>
        <v>997.73240374580746</v>
      </c>
      <c r="AN162" s="59">
        <f ca="1">AVERAGE(OFFSET($AM$3,0,0,'Données projet'!$E$10+1,1))-AVERAGE(OFFSET($H$3,0,0,'Données projet'!$E$10+1,1))</f>
        <v>447.91110718952615</v>
      </c>
      <c r="AO162" s="59">
        <f t="shared" si="144"/>
        <v>188.87492758536894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57.444328836162626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57.444328836162626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6.3403846153846128</v>
      </c>
      <c r="BD162" s="12">
        <f>IF('Données projet'!$A$88&gt;35,BD161+BC162-BL161,IF(A162&lt;'Données projet'!$A$88,$BA$205^A162,IF(A162='Données projet'!$A$88,'Données projet'!$B$88,BD161+BC162-BL161)))</f>
        <v>361.9839743589738</v>
      </c>
      <c r="BE162" s="13">
        <f>BD162*VLOOKUP('Données projet'!$B$11,Paramètres!$A$1:$I$89,3,0)*VLOOKUP('Données projet'!$B$11,Paramètres!$A$1:$I$89,5,0)</f>
        <v>367.05174999999946</v>
      </c>
      <c r="BF162" s="13">
        <f t="shared" si="167"/>
        <v>85.063863951426882</v>
      </c>
      <c r="BG162" s="20">
        <f t="shared" si="168"/>
        <v>787.43469429873414</v>
      </c>
      <c r="BH162" s="59">
        <f t="shared" si="116"/>
        <v>1080.7680276320675</v>
      </c>
      <c r="BI162" s="59">
        <f ca="1">AVERAGE(OFFSET($BH$3,0,0,'Données projet'!$E$11+1,1))-AVERAGE(OFFSET($H$3,0,0,'Données projet'!$E$11+1,1))</f>
        <v>496.71433459306451</v>
      </c>
      <c r="BJ162" s="59">
        <f t="shared" si="146"/>
        <v>206.75063396134982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64.377265075009845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64.377265075009845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355.09162485318728</v>
      </c>
      <c r="T163" s="59">
        <f t="shared" si="142"/>
        <v>320.06572891923685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33.788240882761357</v>
      </c>
      <c r="AA163" s="21">
        <f>EXP(-LN(2)/25)*AA162+(1-EXP(-LN(2)/25))/(LN(2)/25)*Calculateur!V163*Calculateur!X163*VLOOKUP('Données projet'!$B$9,Paramètres!$A$1:$I$89,3,0)*0.475*44/12</f>
        <v>4.1300339773724133</v>
      </c>
      <c r="AB163" s="21">
        <f>EXP(-LN(2)/2)*AB162+(1-EXP(-LN(2)/2))/(LN(2)/2)*V163*Y163*VLOOKUP('Données projet'!$B$9,Paramètres!$A$1:$I$89,3,0)*0.475*44/12</f>
        <v>1.0616107764790322E-11</v>
      </c>
      <c r="AC163" s="22">
        <f t="shared" si="163"/>
        <v>37.918274860144386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6.3403846153846128</v>
      </c>
      <c r="AI163" s="13">
        <f>IF('Données projet'!$A$62&gt;35,AI162+AH163-AQ162,IF(A163&lt;'Données projet'!$A$62,$AF$205^A163,IF(A163='Données projet'!$A$62,'Données projet'!$B$62,AI162+AH163-AQ162)))</f>
        <v>368.3243589743584</v>
      </c>
      <c r="AJ163" s="13">
        <f>AI163*VLOOKUP('Données projet'!$B$10,Paramètres!$A$1:$I$89,3,0)*VLOOKUP('Données projet'!$B$10,Paramètres!$A$1:$I$89,5,0)</f>
        <v>333.2598799999995</v>
      </c>
      <c r="AK163" s="13">
        <f t="shared" si="164"/>
        <v>78.105776321178652</v>
      </c>
      <c r="AL163" s="20">
        <f t="shared" si="165"/>
        <v>716.46185142605191</v>
      </c>
      <c r="AM163" s="59">
        <f t="shared" si="113"/>
        <v>1009.7951847593852</v>
      </c>
      <c r="AN163" s="59">
        <f ca="1">AVERAGE(OFFSET($AM$3,0,0,'Données projet'!$E$10+1,1))-AVERAGE(OFFSET($H$3,0,0,'Données projet'!$E$10+1,1))</f>
        <v>447.91110718952615</v>
      </c>
      <c r="AO163" s="59">
        <f t="shared" si="144"/>
        <v>188.87492758536894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56.317880585266394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56.317880585266394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6.3403846153846128</v>
      </c>
      <c r="BD163" s="12">
        <f>IF('Données projet'!$A$88&gt;35,BD162+BC163-BL162,IF(A163&lt;'Données projet'!$A$88,$BA$205^A163,IF(A163='Données projet'!$A$88,'Données projet'!$B$88,BD162+BC163-BL162)))</f>
        <v>368.3243589743584</v>
      </c>
      <c r="BE163" s="13">
        <f>BD163*VLOOKUP('Données projet'!$B$11,Paramètres!$A$1:$I$89,3,0)*VLOOKUP('Données projet'!$B$11,Paramètres!$A$1:$I$89,5,0)</f>
        <v>373.48089999999945</v>
      </c>
      <c r="BF163" s="13">
        <f t="shared" si="167"/>
        <v>86.379049368935284</v>
      </c>
      <c r="BG163" s="20">
        <f t="shared" si="168"/>
        <v>800.92274515089468</v>
      </c>
      <c r="BH163" s="59">
        <f t="shared" si="116"/>
        <v>1094.2560784842281</v>
      </c>
      <c r="BI163" s="59">
        <f ca="1">AVERAGE(OFFSET($BH$3,0,0,'Données projet'!$E$11+1,1))-AVERAGE(OFFSET($H$3,0,0,'Données projet'!$E$11+1,1))</f>
        <v>496.71433459306451</v>
      </c>
      <c r="BJ163" s="59">
        <f t="shared" si="146"/>
        <v>206.75063396134982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63.114866173143376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63.114866173143376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355.09162485318728</v>
      </c>
      <c r="T164" s="59">
        <f t="shared" si="142"/>
        <v>320.06572891923685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33.125674087842398</v>
      </c>
      <c r="AA164" s="21">
        <f>EXP(-LN(2)/25)*AA163+(1-EXP(-LN(2)/25))/(LN(2)/25)*Calculateur!V164*Calculateur!X164*VLOOKUP('Données projet'!$B$9,Paramètres!$A$1:$I$89,3,0)*0.475*44/12</f>
        <v>4.0170979810721175</v>
      </c>
      <c r="AB164" s="21">
        <f>EXP(-LN(2)/2)*AB163+(1-EXP(-LN(2)/2))/(LN(2)/2)*V164*Y164*VLOOKUP('Données projet'!$B$9,Paramètres!$A$1:$I$89,3,0)*0.475*44/12</f>
        <v>7.5067217902903984E-12</v>
      </c>
      <c r="AC164" s="22">
        <f t="shared" si="163"/>
        <v>37.142772068922021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6.3403846153846128</v>
      </c>
      <c r="AI164" s="13">
        <f>IF('Données projet'!$A$62&gt;35,AI163+AH164-AQ163,IF(A164&lt;'Données projet'!$A$62,$AF$205^A164,IF(A164='Données projet'!$A$62,'Données projet'!$B$62,AI163+AH164-AQ163)))</f>
        <v>374.66474358974301</v>
      </c>
      <c r="AJ164" s="13">
        <f>AI164*VLOOKUP('Données projet'!$B$10,Paramètres!$A$1:$I$89,3,0)*VLOOKUP('Données projet'!$B$10,Paramètres!$A$1:$I$89,5,0)</f>
        <v>338.99665999999951</v>
      </c>
      <c r="AK164" s="13">
        <f t="shared" si="164"/>
        <v>79.292614383358782</v>
      </c>
      <c r="AL164" s="20">
        <f t="shared" si="165"/>
        <v>728.52048621768233</v>
      </c>
      <c r="AM164" s="59">
        <f t="shared" si="113"/>
        <v>1021.8538195510157</v>
      </c>
      <c r="AN164" s="59">
        <f ca="1">AVERAGE(OFFSET($AM$3,0,0,'Données projet'!$E$10+1,1))-AVERAGE(OFFSET($H$3,0,0,'Données projet'!$E$10+1,1))</f>
        <v>447.91110718952615</v>
      </c>
      <c r="AO164" s="59">
        <f t="shared" si="144"/>
        <v>188.87492758536894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55.213521297504649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55.213521297504649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6.3403846153846128</v>
      </c>
      <c r="BD164" s="12">
        <f>IF('Données projet'!$A$88&gt;35,BD163+BC164-BL163,IF(A164&lt;'Données projet'!$A$88,$BA$205^A164,IF(A164='Données projet'!$A$88,'Données projet'!$B$88,BD163+BC164-BL163)))</f>
        <v>374.66474358974301</v>
      </c>
      <c r="BE164" s="13">
        <f>BD164*VLOOKUP('Données projet'!$B$11,Paramètres!$A$1:$I$89,3,0)*VLOOKUP('Données projet'!$B$11,Paramètres!$A$1:$I$89,5,0)</f>
        <v>379.91004999999944</v>
      </c>
      <c r="BF164" s="13">
        <f t="shared" si="167"/>
        <v>87.691602017339051</v>
      </c>
      <c r="BG164" s="20">
        <f t="shared" si="168"/>
        <v>814.40621059686453</v>
      </c>
      <c r="BH164" s="59">
        <f t="shared" si="116"/>
        <v>1107.7395439301979</v>
      </c>
      <c r="BI164" s="59">
        <f ca="1">AVERAGE(OFFSET($BH$3,0,0,'Données projet'!$E$11+1,1))-AVERAGE(OFFSET($H$3,0,0,'Données projet'!$E$11+1,1))</f>
        <v>496.71433459306451</v>
      </c>
      <c r="BJ164" s="59">
        <f t="shared" si="146"/>
        <v>206.75063396134982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61.877222143755212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61.877222143755212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355.09162485318728</v>
      </c>
      <c r="T165" s="59">
        <f t="shared" si="142"/>
        <v>320.06572891923685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32.47609982364596</v>
      </c>
      <c r="AA165" s="21">
        <f>EXP(-LN(2)/25)*AA164+(1-EXP(-LN(2)/25))/(LN(2)/25)*Calculateur!V165*Calculateur!X165*VLOOKUP('Données projet'!$B$9,Paramètres!$A$1:$I$89,3,0)*0.475*44/12</f>
        <v>3.9072502255296988</v>
      </c>
      <c r="AB165" s="21">
        <f>EXP(-LN(2)/2)*AB164+(1-EXP(-LN(2)/2))/(LN(2)/2)*V165*Y165*VLOOKUP('Données projet'!$B$9,Paramètres!$A$1:$I$89,3,0)*0.475*44/12</f>
        <v>5.3080538823951611E-12</v>
      </c>
      <c r="AC165" s="22">
        <f t="shared" si="163"/>
        <v>36.383350049180969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6.3403846153846128</v>
      </c>
      <c r="AI165" s="13">
        <f>IF('Données projet'!$A$62&gt;35,AI164+AH165-AQ164,IF(A165&lt;'Données projet'!$A$62,$AF$205^A165,IF(A165='Données projet'!$A$62,'Données projet'!$B$62,AI164+AH165-AQ164)))</f>
        <v>381.00512820512762</v>
      </c>
      <c r="AJ165" s="13">
        <f>AI165*VLOOKUP('Données projet'!$B$10,Paramètres!$A$1:$I$89,3,0)*VLOOKUP('Données projet'!$B$10,Paramètres!$A$1:$I$89,5,0)</f>
        <v>344.73343999999946</v>
      </c>
      <c r="AK165" s="13">
        <f t="shared" si="164"/>
        <v>80.477116775616508</v>
      </c>
      <c r="AL165" s="20">
        <f t="shared" si="165"/>
        <v>740.57505305086443</v>
      </c>
      <c r="AM165" s="59">
        <f t="shared" si="113"/>
        <v>1033.9083863841977</v>
      </c>
      <c r="AN165" s="59">
        <f ca="1">AVERAGE(OFFSET($AM$3,0,0,'Données projet'!$E$10+1,1))-AVERAGE(OFFSET($H$3,0,0,'Données projet'!$E$10+1,1))</f>
        <v>447.91110718952615</v>
      </c>
      <c r="AO165" s="59">
        <f t="shared" si="144"/>
        <v>188.87492758536894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54.130817821783253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54.130817821783253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6.3403846153846128</v>
      </c>
      <c r="BD165" s="12">
        <f>IF('Données projet'!$A$88&gt;35,BD164+BC165-BL164,IF(A165&lt;'Données projet'!$A$88,$BA$205^A165,IF(A165='Données projet'!$A$88,'Données projet'!$B$88,BD164+BC165-BL164)))</f>
        <v>381.00512820512762</v>
      </c>
      <c r="BE165" s="13">
        <f>BD165*VLOOKUP('Données projet'!$B$11,Paramètres!$A$1:$I$89,3,0)*VLOOKUP('Données projet'!$B$11,Paramètres!$A$1:$I$89,5,0)</f>
        <v>386.33919999999944</v>
      </c>
      <c r="BF165" s="13">
        <f t="shared" si="167"/>
        <v>89.001571592415175</v>
      </c>
      <c r="BG165" s="20">
        <f t="shared" si="168"/>
        <v>827.88517719012214</v>
      </c>
      <c r="BH165" s="59">
        <f t="shared" si="116"/>
        <v>1121.2185105234555</v>
      </c>
      <c r="BI165" s="59">
        <f ca="1">AVERAGE(OFFSET($BH$3,0,0,'Données projet'!$E$11+1,1))-AVERAGE(OFFSET($H$3,0,0,'Données projet'!$E$11+1,1))</f>
        <v>496.71433459306451</v>
      </c>
      <c r="BJ165" s="59">
        <f t="shared" si="146"/>
        <v>206.75063396134982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60.663847558895029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60.663847558895029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355.09162485318728</v>
      </c>
      <c r="T166" s="59">
        <f t="shared" si="142"/>
        <v>320.06572891923685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31.83926331456923</v>
      </c>
      <c r="AA166" s="21">
        <f>EXP(-LN(2)/25)*AA165+(1-EXP(-LN(2)/25))/(LN(2)/25)*Calculateur!V166*Calculateur!X166*VLOOKUP('Données projet'!$B$9,Paramètres!$A$1:$I$89,3,0)*0.475*44/12</f>
        <v>3.8004062626392301</v>
      </c>
      <c r="AB166" s="21">
        <f>EXP(-LN(2)/2)*AB165+(1-EXP(-LN(2)/2))/(LN(2)/2)*V166*Y166*VLOOKUP('Données projet'!$B$9,Paramètres!$A$1:$I$89,3,0)*0.475*44/12</f>
        <v>3.7533608951451992E-12</v>
      </c>
      <c r="AC166" s="22">
        <f t="shared" si="163"/>
        <v>35.63966957721221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6.3403846153846128</v>
      </c>
      <c r="AI166" s="13">
        <f>IF('Données projet'!$A$62&gt;35,AI165+AH166-AQ165,IF(A166&lt;'Données projet'!$A$62,$AF$205^A166,IF(A166='Données projet'!$A$62,'Données projet'!$B$62,AI165+AH166-AQ165)))</f>
        <v>387.34551282051223</v>
      </c>
      <c r="AJ166" s="13">
        <f>AI166*VLOOKUP('Données projet'!$B$10,Paramètres!$A$1:$I$89,3,0)*VLOOKUP('Données projet'!$B$10,Paramètres!$A$1:$I$89,5,0)</f>
        <v>350.47021999999941</v>
      </c>
      <c r="AK166" s="13">
        <f t="shared" si="164"/>
        <v>81.659326852624957</v>
      </c>
      <c r="AL166" s="20">
        <f t="shared" si="165"/>
        <v>752.62562743498745</v>
      </c>
      <c r="AM166" s="59">
        <f t="shared" si="113"/>
        <v>1045.9589607683208</v>
      </c>
      <c r="AN166" s="59">
        <f ca="1">AVERAGE(OFFSET($AM$3,0,0,'Données projet'!$E$10+1,1))-AVERAGE(OFFSET($H$3,0,0,'Données projet'!$E$10+1,1))</f>
        <v>447.91110718952615</v>
      </c>
      <c r="AO166" s="59">
        <f t="shared" si="144"/>
        <v>188.87492758536894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53.069345500836846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53.069345500836846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6.3403846153846128</v>
      </c>
      <c r="BD166" s="12">
        <f>IF('Données projet'!$A$88&gt;35,BD165+BC166-BL165,IF(A166&lt;'Données projet'!$A$88,$BA$205^A166,IF(A166='Données projet'!$A$88,'Données projet'!$B$88,BD165+BC166-BL165)))</f>
        <v>387.34551282051223</v>
      </c>
      <c r="BE166" s="13">
        <f>BD166*VLOOKUP('Données projet'!$B$11,Paramètres!$A$1:$I$89,3,0)*VLOOKUP('Données projet'!$B$11,Paramètres!$A$1:$I$89,5,0)</f>
        <v>392.76834999999943</v>
      </c>
      <c r="BF166" s="13">
        <f t="shared" si="167"/>
        <v>90.309006041135746</v>
      </c>
      <c r="BG166" s="20">
        <f t="shared" si="168"/>
        <v>841.35972843831041</v>
      </c>
      <c r="BH166" s="59">
        <f t="shared" si="116"/>
        <v>1134.6930617716437</v>
      </c>
      <c r="BI166" s="59">
        <f ca="1">AVERAGE(OFFSET($BH$3,0,0,'Données projet'!$E$11+1,1))-AVERAGE(OFFSET($H$3,0,0,'Données projet'!$E$11+1,1))</f>
        <v>496.71433459306451</v>
      </c>
      <c r="BJ166" s="59">
        <f t="shared" si="146"/>
        <v>206.75063396134982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59.474266509558532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59.474266509558532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355.09162485318728</v>
      </c>
      <c r="T167" s="59">
        <f t="shared" si="142"/>
        <v>320.06572891923685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31.214914781003582</v>
      </c>
      <c r="AA167" s="21">
        <f>EXP(-LN(2)/25)*AA166+(1-EXP(-LN(2)/25))/(LN(2)/25)*Calculateur!V167*Calculateur!X167*VLOOKUP('Données projet'!$B$9,Paramètres!$A$1:$I$89,3,0)*0.475*44/12</f>
        <v>3.696483953532681</v>
      </c>
      <c r="AB167" s="21">
        <f>EXP(-LN(2)/2)*AB166+(1-EXP(-LN(2)/2))/(LN(2)/2)*V167*Y167*VLOOKUP('Données projet'!$B$9,Paramètres!$A$1:$I$89,3,0)*0.475*44/12</f>
        <v>2.6540269411975805E-12</v>
      </c>
      <c r="AC167" s="22">
        <f t="shared" si="163"/>
        <v>34.911398734538921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393.6858974358974</v>
      </c>
      <c r="AG167" s="12">
        <f>VLOOKUP(A167,'Données projet'!$A$61:$I$81,9,0)</f>
        <v>6.3403846153846128</v>
      </c>
      <c r="AH167" s="12">
        <f t="array" ref="AH167">INDEX(AG:AG,MIN(IF(ISNUMBER(AG167:AG363),ROW(AG167:AG363),"")))</f>
        <v>6.3403846153846128</v>
      </c>
      <c r="AI167" s="13">
        <f>IF('Données projet'!$A$62&gt;35,AI166+AH167-AQ166,IF(A167&lt;'Données projet'!$A$62,$AF$205^A167,IF(A167='Données projet'!$A$62,'Données projet'!$B$62,AI166+AH167-AQ166)))</f>
        <v>393.68589743589683</v>
      </c>
      <c r="AJ167" s="13">
        <f>AI167*VLOOKUP('Données projet'!$B$10,Paramètres!$A$1:$I$89,3,0)*VLOOKUP('Données projet'!$B$10,Paramètres!$A$1:$I$89,5,0)</f>
        <v>356.20699999999943</v>
      </c>
      <c r="AK167" s="13">
        <f t="shared" si="164"/>
        <v>82.839286468353521</v>
      </c>
      <c r="AL167" s="20">
        <f t="shared" si="165"/>
        <v>764.67228226571467</v>
      </c>
      <c r="AM167" s="59">
        <f t="shared" si="113"/>
        <v>1058.005615599048</v>
      </c>
      <c r="AN167" s="59">
        <f ca="1">AVERAGE(OFFSET($AM$3,0,0,'Données projet'!$E$10+1,1))-AVERAGE(OFFSET($H$3,0,0,'Données projet'!$E$10+1,1))</f>
        <v>447.91110718952615</v>
      </c>
      <c r="AO167" s="59">
        <f t="shared" si="144"/>
        <v>188.87492758536894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44.814102564102562</v>
      </c>
      <c r="AR167" s="16">
        <f>IF(ISNA(VLOOKUP(A167,'Données projet'!$A$61:$I$81,5,0)),0%,VLOOKUP(A167,'Données projet'!$A$61:$I$81,5,0)*VLOOKUP('Données projet'!$B$10,Paramètres!$A$1:$I$89,7,0))</f>
        <v>0.38700000000000001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69.375727652642539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69.375727652642539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393.6858974358974</v>
      </c>
      <c r="BB167" s="12">
        <f>VLOOKUP(A167,'Données projet'!$A$87:$I$107,9,0)</f>
        <v>6.3403846153846128</v>
      </c>
      <c r="BC167" s="12">
        <f t="array" ref="BC167">INDEX(BB:BB,MIN(IF(ISNUMBER(BB167:BB363),ROW(BB167:BB363),"")))</f>
        <v>6.3403846153846128</v>
      </c>
      <c r="BD167" s="12">
        <f>IF('Données projet'!$A$88&gt;35,BD166+BC167-BL166,IF(A167&lt;'Données projet'!$A$88,$BA$205^A167,IF(A167='Données projet'!$A$88,'Données projet'!$B$88,BD166+BC167-BL166)))</f>
        <v>393.68589743589683</v>
      </c>
      <c r="BE167" s="13">
        <f>BD167*VLOOKUP('Données projet'!$B$11,Paramètres!$A$1:$I$89,3,0)*VLOOKUP('Données projet'!$B$11,Paramètres!$A$1:$I$89,5,0)</f>
        <v>399.19749999999942</v>
      </c>
      <c r="BF167" s="13">
        <f t="shared" si="167"/>
        <v>91.613951650807948</v>
      </c>
      <c r="BG167" s="20">
        <f t="shared" si="168"/>
        <v>854.82994495848959</v>
      </c>
      <c r="BH167" s="59">
        <f t="shared" si="116"/>
        <v>1148.163278291823</v>
      </c>
      <c r="BI167" s="59">
        <f ca="1">AVERAGE(OFFSET($BH$3,0,0,'Données projet'!$E$11+1,1))-AVERAGE(OFFSET($H$3,0,0,'Données projet'!$E$11+1,1))</f>
        <v>496.71433459306451</v>
      </c>
      <c r="BJ167" s="59">
        <f t="shared" si="146"/>
        <v>206.75063396134982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44.814102564102562</v>
      </c>
      <c r="BM167" s="16">
        <f>IF(ISNA(VLOOKUP(A167,'Données projet'!$A$87:$I$107,5,0)),0%,VLOOKUP(A167,'Données projet'!$A$87:$I$107,5,0)*VLOOKUP('Données projet'!$B$11,Paramètres!$A$1:$I$89,7,0))</f>
        <v>0.38700000000000001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77.748660300375249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77.748660300375249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355.09162485318728</v>
      </c>
      <c r="T168" s="59">
        <f t="shared" si="142"/>
        <v>320.06572891923685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30.60280934136615</v>
      </c>
      <c r="AA168" s="21">
        <f>EXP(-LN(2)/25)*AA167+(1-EXP(-LN(2)/25))/(LN(2)/25)*Calculateur!V168*Calculateur!X168*VLOOKUP('Données projet'!$B$9,Paramètres!$A$1:$I$89,3,0)*0.475*44/12</f>
        <v>3.5954034054336872</v>
      </c>
      <c r="AB168" s="21">
        <f>EXP(-LN(2)/2)*AB167+(1-EXP(-LN(2)/2))/(LN(2)/2)*V168*Y168*VLOOKUP('Données projet'!$B$9,Paramètres!$A$1:$I$89,3,0)*0.475*44/12</f>
        <v>1.8766804475725996E-12</v>
      </c>
      <c r="AC168" s="22">
        <f t="shared" si="163"/>
        <v>34.198212746801715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6.4179487179487182</v>
      </c>
      <c r="AI168" s="13">
        <f>IF('Données projet'!$A$62&gt;35,AI167+AH168-AQ167,IF(A168&lt;'Données projet'!$A$62,$AF$205^A168,IF(A168='Données projet'!$A$62,'Données projet'!$B$62,AI167+AH168-AQ167)))</f>
        <v>355.28974358974301</v>
      </c>
      <c r="AJ168" s="13">
        <f>AI168*VLOOKUP('Données projet'!$B$10,Paramètres!$A$1:$I$89,3,0)*VLOOKUP('Données projet'!$B$10,Paramètres!$A$1:$I$89,5,0)</f>
        <v>321.46615999999949</v>
      </c>
      <c r="AK168" s="13">
        <f t="shared" si="164"/>
        <v>75.658335555310842</v>
      </c>
      <c r="AL168" s="20">
        <f t="shared" si="165"/>
        <v>691.65849642549881</v>
      </c>
      <c r="AM168" s="59">
        <f t="shared" si="113"/>
        <v>984.99182975883218</v>
      </c>
      <c r="AN168" s="59">
        <f ca="1">AVERAGE(OFFSET($AM$3,0,0,'Données projet'!$E$10+1,1))-AVERAGE(OFFSET($H$3,0,0,'Données projet'!$E$10+1,1))</f>
        <v>447.91110718952615</v>
      </c>
      <c r="AO168" s="59">
        <f t="shared" si="144"/>
        <v>188.87492758536894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68.015311948389822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68.015311948389822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6.4179487179487182</v>
      </c>
      <c r="BD168" s="12">
        <f>IF('Données projet'!$A$88&gt;35,BD167+BC168-BL167,IF(A168&lt;'Données projet'!$A$88,$BA$205^A168,IF(A168='Données projet'!$A$88,'Données projet'!$B$88,BD167+BC168-BL167)))</f>
        <v>355.28974358974301</v>
      </c>
      <c r="BE168" s="13">
        <f>BD168*VLOOKUP('Données projet'!$B$11,Paramètres!$A$1:$I$89,3,0)*VLOOKUP('Données projet'!$B$11,Paramètres!$A$1:$I$89,5,0)</f>
        <v>360.26379999999943</v>
      </c>
      <c r="BF168" s="13">
        <f t="shared" si="167"/>
        <v>83.672365987758567</v>
      </c>
      <c r="BG168" s="20">
        <f t="shared" si="168"/>
        <v>773.18882242867858</v>
      </c>
      <c r="BH168" s="59">
        <f t="shared" si="116"/>
        <v>1066.5221557620118</v>
      </c>
      <c r="BI168" s="59">
        <f ca="1">AVERAGE(OFFSET($BH$3,0,0,'Données projet'!$E$11+1,1))-AVERAGE(OFFSET($H$3,0,0,'Données projet'!$E$11+1,1))</f>
        <v>496.71433459306451</v>
      </c>
      <c r="BJ168" s="59">
        <f t="shared" si="146"/>
        <v>206.75063396134982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76.224056493885143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76.224056493885143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355.09162485318728</v>
      </c>
      <c r="T169" s="59">
        <f t="shared" si="142"/>
        <v>320.06572891923685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30.002706916052556</v>
      </c>
      <c r="AA169" s="21">
        <f>EXP(-LN(2)/25)*AA168+(1-EXP(-LN(2)/25))/(LN(2)/25)*Calculateur!V169*Calculateur!X169*VLOOKUP('Données projet'!$B$9,Paramètres!$A$1:$I$89,3,0)*0.475*44/12</f>
        <v>3.4970869102380555</v>
      </c>
      <c r="AB169" s="21">
        <f>EXP(-LN(2)/2)*AB168+(1-EXP(-LN(2)/2))/(LN(2)/2)*V169*Y169*VLOOKUP('Données projet'!$B$9,Paramètres!$A$1:$I$89,3,0)*0.475*44/12</f>
        <v>1.3270134705987903E-12</v>
      </c>
      <c r="AC169" s="22">
        <f t="shared" si="163"/>
        <v>33.499793826291942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6.4179487179487182</v>
      </c>
      <c r="AI169" s="13">
        <f>IF('Données projet'!$A$62&gt;35,AI168+AH169-AQ168,IF(A169&lt;'Données projet'!$A$62,$AF$205^A169,IF(A169='Données projet'!$A$62,'Données projet'!$B$62,AI168+AH169-AQ168)))</f>
        <v>361.70769230769173</v>
      </c>
      <c r="AJ169" s="13">
        <f>AI169*VLOOKUP('Données projet'!$B$10,Paramètres!$A$1:$I$89,3,0)*VLOOKUP('Données projet'!$B$10,Paramètres!$A$1:$I$89,5,0)</f>
        <v>327.27311999999944</v>
      </c>
      <c r="AK169" s="13">
        <f t="shared" si="164"/>
        <v>76.864682645751117</v>
      </c>
      <c r="AL169" s="20">
        <f t="shared" si="165"/>
        <v>703.8733396080155</v>
      </c>
      <c r="AM169" s="59">
        <f t="shared" si="113"/>
        <v>997.20667294134887</v>
      </c>
      <c r="AN169" s="59">
        <f ca="1">AVERAGE(OFFSET($AM$3,0,0,'Données projet'!$E$10+1,1))-AVERAGE(OFFSET($H$3,0,0,'Données projet'!$E$10+1,1))</f>
        <v>447.91110718952615</v>
      </c>
      <c r="AO169" s="59">
        <f t="shared" si="144"/>
        <v>188.87492758536894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66.681573166325862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66.681573166325862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6.4179487179487182</v>
      </c>
      <c r="BD169" s="12">
        <f>IF('Données projet'!$A$88&gt;35,BD168+BC169-BL168,IF(A169&lt;'Données projet'!$A$88,$BA$205^A169,IF(A169='Données projet'!$A$88,'Données projet'!$B$88,BD168+BC169-BL168)))</f>
        <v>361.70769230769173</v>
      </c>
      <c r="BE169" s="13">
        <f>BD169*VLOOKUP('Données projet'!$B$11,Paramètres!$A$1:$I$89,3,0)*VLOOKUP('Données projet'!$B$11,Paramètres!$A$1:$I$89,5,0)</f>
        <v>366.77159999999947</v>
      </c>
      <c r="BF169" s="13">
        <f t="shared" si="167"/>
        <v>85.006494137931782</v>
      </c>
      <c r="BG169" s="20">
        <f t="shared" si="168"/>
        <v>786.84684729023013</v>
      </c>
      <c r="BH169" s="59">
        <f t="shared" si="116"/>
        <v>1080.1801806235635</v>
      </c>
      <c r="BI169" s="59">
        <f ca="1">AVERAGE(OFFSET($BH$3,0,0,'Données projet'!$E$11+1,1))-AVERAGE(OFFSET($H$3,0,0,'Données projet'!$E$11+1,1))</f>
        <v>496.71433459306451</v>
      </c>
      <c r="BJ169" s="59">
        <f t="shared" si="146"/>
        <v>206.75063396134982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74.729349238123802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74.729349238123802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355.09162485318728</v>
      </c>
      <c r="T170" s="59">
        <f t="shared" si="142"/>
        <v>320.06572891923685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29.414372133273027</v>
      </c>
      <c r="AA170" s="21">
        <f>EXP(-LN(2)/25)*AA169+(1-EXP(-LN(2)/25))/(LN(2)/25)*Calculateur!V170*Calculateur!X170*VLOOKUP('Données projet'!$B$9,Paramètres!$A$1:$I$89,3,0)*0.475*44/12</f>
        <v>3.4014588847737879</v>
      </c>
      <c r="AB170" s="21">
        <f>EXP(-LN(2)/2)*AB169+(1-EXP(-LN(2)/2))/(LN(2)/2)*V170*Y170*VLOOKUP('Données projet'!$B$9,Paramètres!$A$1:$I$89,3,0)*0.475*44/12</f>
        <v>9.3834022378629981E-13</v>
      </c>
      <c r="AC170" s="22">
        <f t="shared" si="163"/>
        <v>32.815831018047753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6.4179487179487182</v>
      </c>
      <c r="AI170" s="13">
        <f>IF('Données projet'!$A$62&gt;35,AI169+AH170-AQ169,IF(A170&lt;'Données projet'!$A$62,$AF$205^A170,IF(A170='Données projet'!$A$62,'Données projet'!$B$62,AI169+AH170-AQ169)))</f>
        <v>368.12564102564045</v>
      </c>
      <c r="AJ170" s="13">
        <f>AI170*VLOOKUP('Données projet'!$B$10,Paramètres!$A$1:$I$89,3,0)*VLOOKUP('Données projet'!$B$10,Paramètres!$A$1:$I$89,5,0)</f>
        <v>333.08007999999944</v>
      </c>
      <c r="AK170" s="13">
        <f t="shared" si="164"/>
        <v>78.068540652807755</v>
      </c>
      <c r="AL170" s="20">
        <f t="shared" si="165"/>
        <v>716.08384763697256</v>
      </c>
      <c r="AM170" s="59">
        <f t="shared" si="113"/>
        <v>1009.4171809703059</v>
      </c>
      <c r="AN170" s="59">
        <f ca="1">AVERAGE(OFFSET($AM$3,0,0,'Données projet'!$E$10+1,1))-AVERAGE(OFFSET($H$3,0,0,'Données projet'!$E$10+1,1))</f>
        <v>447.91110718952615</v>
      </c>
      <c r="AO170" s="59">
        <f t="shared" si="144"/>
        <v>188.87492758536894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65.373988188277835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65.373988188277835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6.4179487179487182</v>
      </c>
      <c r="BD170" s="12">
        <f>IF('Données projet'!$A$88&gt;35,BD169+BC170-BL169,IF(A170&lt;'Données projet'!$A$88,$BA$205^A170,IF(A170='Données projet'!$A$88,'Données projet'!$B$88,BD169+BC170-BL169)))</f>
        <v>368.12564102564045</v>
      </c>
      <c r="BE170" s="13">
        <f>BD170*VLOOKUP('Données projet'!$B$11,Paramètres!$A$1:$I$89,3,0)*VLOOKUP('Données projet'!$B$11,Paramètres!$A$1:$I$89,5,0)</f>
        <v>373.27939999999944</v>
      </c>
      <c r="BF170" s="13">
        <f t="shared" si="167"/>
        <v>86.337869551154981</v>
      </c>
      <c r="BG170" s="20">
        <f t="shared" si="168"/>
        <v>800.50007780159387</v>
      </c>
      <c r="BH170" s="59">
        <f t="shared" si="116"/>
        <v>1093.8334111349272</v>
      </c>
      <c r="BI170" s="59">
        <f ca="1">AVERAGE(OFFSET($BH$3,0,0,'Données projet'!$E$11+1,1))-AVERAGE(OFFSET($H$3,0,0,'Données projet'!$E$11+1,1))</f>
        <v>496.71433459306451</v>
      </c>
      <c r="BJ170" s="59">
        <f t="shared" si="146"/>
        <v>206.75063396134982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73.263952279966546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73.263952279966546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355.09162485318728</v>
      </c>
      <c r="T171" s="59">
        <f t="shared" si="142"/>
        <v>320.06572891923685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28.837574236735019</v>
      </c>
      <c r="AA171" s="21">
        <f>EXP(-LN(2)/25)*AA170+(1-EXP(-LN(2)/25))/(LN(2)/25)*Calculateur!V171*Calculateur!X171*VLOOKUP('Données projet'!$B$9,Paramètres!$A$1:$I$89,3,0)*0.475*44/12</f>
        <v>3.3084458126946998</v>
      </c>
      <c r="AB171" s="21">
        <f>EXP(-LN(2)/2)*AB170+(1-EXP(-LN(2)/2))/(LN(2)/2)*V171*Y171*VLOOKUP('Données projet'!$B$9,Paramètres!$A$1:$I$89,3,0)*0.475*44/12</f>
        <v>6.6350673529939514E-13</v>
      </c>
      <c r="AC171" s="22">
        <f t="shared" si="163"/>
        <v>32.146020049430383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6.4179487179487182</v>
      </c>
      <c r="AI171" s="13">
        <f>IF('Données projet'!$A$62&gt;35,AI170+AH171-AQ170,IF(A171&lt;'Données projet'!$A$62,$AF$205^A171,IF(A171='Données projet'!$A$62,'Données projet'!$B$62,AI170+AH171-AQ170)))</f>
        <v>374.54358974358917</v>
      </c>
      <c r="AJ171" s="13">
        <f>AI171*VLOOKUP('Données projet'!$B$10,Paramètres!$A$1:$I$89,3,0)*VLOOKUP('Données projet'!$B$10,Paramètres!$A$1:$I$89,5,0)</f>
        <v>338.88703999999944</v>
      </c>
      <c r="AK171" s="13">
        <f t="shared" si="164"/>
        <v>79.26995797846979</v>
      </c>
      <c r="AL171" s="20">
        <f t="shared" si="165"/>
        <v>728.29010481250054</v>
      </c>
      <c r="AM171" s="59">
        <f t="shared" si="113"/>
        <v>1021.6234381458339</v>
      </c>
      <c r="AN171" s="59">
        <f ca="1">AVERAGE(OFFSET($AM$3,0,0,'Données projet'!$E$10+1,1))-AVERAGE(OFFSET($H$3,0,0,'Données projet'!$E$10+1,1))</f>
        <v>447.91110718952615</v>
      </c>
      <c r="AO171" s="59">
        <f t="shared" si="144"/>
        <v>188.87492758536894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64.092044154101245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64.092044154101245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6.4179487179487182</v>
      </c>
      <c r="BD171" s="12">
        <f>IF('Données projet'!$A$88&gt;35,BD170+BC171-BL170,IF(A171&lt;'Données projet'!$A$88,$BA$205^A171,IF(A171='Données projet'!$A$88,'Données projet'!$B$88,BD170+BC171-BL170)))</f>
        <v>374.54358974358917</v>
      </c>
      <c r="BE171" s="13">
        <f>BD171*VLOOKUP('Données projet'!$B$11,Paramètres!$A$1:$I$89,3,0)*VLOOKUP('Données projet'!$B$11,Paramètres!$A$1:$I$89,5,0)</f>
        <v>379.78719999999947</v>
      </c>
      <c r="BF171" s="13">
        <f t="shared" si="167"/>
        <v>87.666545756347858</v>
      </c>
      <c r="BG171" s="20">
        <f t="shared" si="168"/>
        <v>814.14860719230489</v>
      </c>
      <c r="BH171" s="59">
        <f t="shared" si="116"/>
        <v>1107.4819405256383</v>
      </c>
      <c r="BI171" s="59">
        <f ca="1">AVERAGE(OFFSET($BH$3,0,0,'Données projet'!$E$11+1,1))-AVERAGE(OFFSET($H$3,0,0,'Données projet'!$E$11+1,1))</f>
        <v>496.71433459306451</v>
      </c>
      <c r="BJ171" s="59">
        <f t="shared" si="146"/>
        <v>206.75063396134982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71.827290862354857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71.827290862354857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355.09162485318728</v>
      </c>
      <c r="T172" s="59">
        <f t="shared" si="142"/>
        <v>320.06572891923685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28.272086995136142</v>
      </c>
      <c r="AA172" s="21">
        <f>EXP(-LN(2)/25)*AA171+(1-EXP(-LN(2)/25))/(LN(2)/25)*Calculateur!V172*Calculateur!X172*VLOOKUP('Données projet'!$B$9,Paramètres!$A$1:$I$89,3,0)*0.475*44/12</f>
        <v>3.2179761879629596</v>
      </c>
      <c r="AB172" s="21">
        <f>EXP(-LN(2)/2)*AB171+(1-EXP(-LN(2)/2))/(LN(2)/2)*V172*Y172*VLOOKUP('Données projet'!$B$9,Paramètres!$A$1:$I$89,3,0)*0.475*44/12</f>
        <v>4.691701118931499E-13</v>
      </c>
      <c r="AC172" s="22">
        <f t="shared" si="163"/>
        <v>31.490063183099572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6.4179487179487182</v>
      </c>
      <c r="AI172" s="13">
        <f>IF('Données projet'!$A$62&gt;35,AI171+AH172-AQ171,IF(A172&lt;'Données projet'!$A$62,$AF$205^A172,IF(A172='Données projet'!$A$62,'Données projet'!$B$62,AI171+AH172-AQ171)))</f>
        <v>380.96153846153788</v>
      </c>
      <c r="AJ172" s="13">
        <f>AI172*VLOOKUP('Données projet'!$B$10,Paramètres!$A$1:$I$89,3,0)*VLOOKUP('Données projet'!$B$10,Paramètres!$A$1:$I$89,5,0)</f>
        <v>344.69399999999945</v>
      </c>
      <c r="AK172" s="13">
        <f t="shared" si="164"/>
        <v>80.468981270905161</v>
      </c>
      <c r="AL172" s="20">
        <f t="shared" si="165"/>
        <v>740.49219238015883</v>
      </c>
      <c r="AM172" s="59">
        <f t="shared" si="113"/>
        <v>1033.8255257134922</v>
      </c>
      <c r="AN172" s="59">
        <f ca="1">AVERAGE(OFFSET($AM$3,0,0,'Données projet'!$E$10+1,1))-AVERAGE(OFFSET($H$3,0,0,'Données projet'!$E$10+1,1))</f>
        <v>447.91110718952615</v>
      </c>
      <c r="AO172" s="59">
        <f t="shared" si="144"/>
        <v>188.87492758536894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62.835238260526211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62.835238260526211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6.4179487179487182</v>
      </c>
      <c r="BD172" s="12">
        <f>IF('Données projet'!$A$88&gt;35,BD171+BC172-BL171,IF(A172&lt;'Données projet'!$A$88,$BA$205^A172,IF(A172='Données projet'!$A$88,'Données projet'!$B$88,BD171+BC172-BL171)))</f>
        <v>380.96153846153788</v>
      </c>
      <c r="BE172" s="13">
        <f>BD172*VLOOKUP('Données projet'!$B$11,Paramètres!$A$1:$I$89,3,0)*VLOOKUP('Données projet'!$B$11,Paramètres!$A$1:$I$89,5,0)</f>
        <v>386.29499999999945</v>
      </c>
      <c r="BF172" s="13">
        <f t="shared" si="167"/>
        <v>88.992574342836448</v>
      </c>
      <c r="BG172" s="20">
        <f t="shared" si="168"/>
        <v>827.79252531377244</v>
      </c>
      <c r="BH172" s="59">
        <f t="shared" si="116"/>
        <v>1121.1258586471058</v>
      </c>
      <c r="BI172" s="59">
        <f ca="1">AVERAGE(OFFSET($BH$3,0,0,'Données projet'!$E$11+1,1))-AVERAGE(OFFSET($H$3,0,0,'Données projet'!$E$11+1,1))</f>
        <v>496.71433459306451</v>
      </c>
      <c r="BJ172" s="59">
        <f t="shared" si="146"/>
        <v>206.75063396134982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70.418801498865591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70.418801498865591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355.09162485318728</v>
      </c>
      <c r="T173" s="59">
        <f t="shared" si="142"/>
        <v>320.06572891923685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27.717688613431861</v>
      </c>
      <c r="AA173" s="21">
        <f>EXP(-LN(2)/25)*AA172+(1-EXP(-LN(2)/25))/(LN(2)/25)*Calculateur!V173*Calculateur!X173*VLOOKUP('Données projet'!$B$9,Paramètres!$A$1:$I$89,3,0)*0.475*44/12</f>
        <v>3.1299804598770997</v>
      </c>
      <c r="AB173" s="21">
        <f>EXP(-LN(2)/2)*AB172+(1-EXP(-LN(2)/2))/(LN(2)/2)*V173*Y173*VLOOKUP('Données projet'!$B$9,Paramètres!$A$1:$I$89,3,0)*0.475*44/12</f>
        <v>3.3175336764969757E-13</v>
      </c>
      <c r="AC173" s="22">
        <f t="shared" si="163"/>
        <v>30.847669073309291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6.4179487179487182</v>
      </c>
      <c r="AI173" s="13">
        <f>IF('Données projet'!$A$62&gt;35,AI172+AH173-AQ172,IF(A173&lt;'Données projet'!$A$62,$AF$205^A173,IF(A173='Données projet'!$A$62,'Données projet'!$B$62,AI172+AH173-AQ172)))</f>
        <v>387.3794871794866</v>
      </c>
      <c r="AJ173" s="13">
        <f>AI173*VLOOKUP('Données projet'!$B$10,Paramètres!$A$1:$I$89,3,0)*VLOOKUP('Données projet'!$B$10,Paramètres!$A$1:$I$89,5,0)</f>
        <v>350.50095999999945</v>
      </c>
      <c r="AK173" s="13">
        <f t="shared" si="164"/>
        <v>81.665655516464668</v>
      </c>
      <c r="AL173" s="20">
        <f t="shared" si="165"/>
        <v>752.69018869117497</v>
      </c>
      <c r="AM173" s="59">
        <f t="shared" si="113"/>
        <v>1046.0235220245083</v>
      </c>
      <c r="AN173" s="59">
        <f ca="1">AVERAGE(OFFSET($AM$3,0,0,'Données projet'!$E$10+1,1))-AVERAGE(OFFSET($H$3,0,0,'Données projet'!$E$10+1,1))</f>
        <v>447.91110718952615</v>
      </c>
      <c r="AO173" s="59">
        <f t="shared" si="144"/>
        <v>188.87492758536894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61.603077563948283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61.603077563948283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6.4179487179487182</v>
      </c>
      <c r="BD173" s="12">
        <f>IF('Données projet'!$A$88&gt;35,BD172+BC173-BL172,IF(A173&lt;'Données projet'!$A$88,$BA$205^A173,IF(A173='Données projet'!$A$88,'Données projet'!$B$88,BD172+BC173-BL172)))</f>
        <v>387.3794871794866</v>
      </c>
      <c r="BE173" s="13">
        <f>BD173*VLOOKUP('Données projet'!$B$11,Paramètres!$A$1:$I$89,3,0)*VLOOKUP('Données projet'!$B$11,Paramètres!$A$1:$I$89,5,0)</f>
        <v>392.80279999999948</v>
      </c>
      <c r="BF173" s="13">
        <f t="shared" si="167"/>
        <v>90.316005062104381</v>
      </c>
      <c r="BG173" s="20">
        <f t="shared" si="168"/>
        <v>841.43191881649761</v>
      </c>
      <c r="BH173" s="59">
        <f t="shared" si="116"/>
        <v>1134.765252149831</v>
      </c>
      <c r="BI173" s="59">
        <f ca="1">AVERAGE(OFFSET($BH$3,0,0,'Données projet'!$E$11+1,1))-AVERAGE(OFFSET($H$3,0,0,'Données projet'!$E$11+1,1))</f>
        <v>496.71433459306451</v>
      </c>
      <c r="BJ173" s="59">
        <f t="shared" si="146"/>
        <v>206.75063396134982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69.037931752700672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69.037931752700672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355.09162485318728</v>
      </c>
      <c r="T174" s="59">
        <f t="shared" si="142"/>
        <v>320.06572891923685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27.174161645843174</v>
      </c>
      <c r="AA174" s="21">
        <f>EXP(-LN(2)/25)*AA173+(1-EXP(-LN(2)/25))/(LN(2)/25)*Calculateur!V174*Calculateur!X174*VLOOKUP('Données projet'!$B$9,Paramètres!$A$1:$I$89,3,0)*0.475*44/12</f>
        <v>3.0443909796032416</v>
      </c>
      <c r="AB174" s="21">
        <f>EXP(-LN(2)/2)*AB173+(1-EXP(-LN(2)/2))/(LN(2)/2)*V174*Y174*VLOOKUP('Données projet'!$B$9,Paramètres!$A$1:$I$89,3,0)*0.475*44/12</f>
        <v>2.3458505594657495E-13</v>
      </c>
      <c r="AC174" s="22">
        <f t="shared" si="163"/>
        <v>30.218552625446652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6.4179487179487182</v>
      </c>
      <c r="AI174" s="13">
        <f>IF('Données projet'!$A$62&gt;35,AI173+AH174-AQ173,IF(A174&lt;'Données projet'!$A$62,$AF$205^A174,IF(A174='Données projet'!$A$62,'Données projet'!$B$62,AI173+AH174-AQ173)))</f>
        <v>393.79743589743532</v>
      </c>
      <c r="AJ174" s="13">
        <f>AI174*VLOOKUP('Données projet'!$B$10,Paramètres!$A$1:$I$89,3,0)*VLOOKUP('Données projet'!$B$10,Paramètres!$A$1:$I$89,5,0)</f>
        <v>356.30791999999946</v>
      </c>
      <c r="AK174" s="13">
        <f t="shared" si="164"/>
        <v>82.860024125417155</v>
      </c>
      <c r="AL174" s="20">
        <f t="shared" si="165"/>
        <v>764.88416935176735</v>
      </c>
      <c r="AM174" s="59">
        <f t="shared" si="113"/>
        <v>1058.2175026851007</v>
      </c>
      <c r="AN174" s="59">
        <f ca="1">AVERAGE(OFFSET($AM$3,0,0,'Données projet'!$E$10+1,1))-AVERAGE(OFFSET($H$3,0,0,'Données projet'!$E$10+1,1))</f>
        <v>447.91110718952615</v>
      </c>
      <c r="AO174" s="59">
        <f t="shared" si="144"/>
        <v>188.87492758536894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60.395078787086433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60.395078787086433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6.4179487179487182</v>
      </c>
      <c r="BD174" s="12">
        <f>IF('Données projet'!$A$88&gt;35,BD173+BC174-BL173,IF(A174&lt;'Données projet'!$A$88,$BA$205^A174,IF(A174='Données projet'!$A$88,'Données projet'!$B$88,BD173+BC174-BL173)))</f>
        <v>393.79743589743532</v>
      </c>
      <c r="BE174" s="13">
        <f>BD174*VLOOKUP('Données projet'!$B$11,Paramètres!$A$1:$I$89,3,0)*VLOOKUP('Données projet'!$B$11,Paramètres!$A$1:$I$89,5,0)</f>
        <v>399.31059999999945</v>
      </c>
      <c r="BF174" s="13">
        <f t="shared" si="167"/>
        <v>91.636885922607988</v>
      </c>
      <c r="BG174" s="20">
        <f t="shared" si="168"/>
        <v>855.066871315208</v>
      </c>
      <c r="BH174" s="59">
        <f t="shared" si="116"/>
        <v>1148.4002046485414</v>
      </c>
      <c r="BI174" s="59">
        <f ca="1">AVERAGE(OFFSET($BH$3,0,0,'Données projet'!$E$11+1,1))-AVERAGE(OFFSET($H$3,0,0,'Données projet'!$E$11+1,1))</f>
        <v>496.71433459306451</v>
      </c>
      <c r="BJ174" s="59">
        <f t="shared" si="146"/>
        <v>206.75063396134982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67.684140020010659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67.684140020010659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355.09162485318728</v>
      </c>
      <c r="T175" s="59">
        <f t="shared" si="142"/>
        <v>320.06572891923685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26.641292910570186</v>
      </c>
      <c r="AA175" s="21">
        <f>EXP(-LN(2)/25)*AA174+(1-EXP(-LN(2)/25))/(LN(2)/25)*Calculateur!V175*Calculateur!X175*VLOOKUP('Données projet'!$B$9,Paramètres!$A$1:$I$89,3,0)*0.475*44/12</f>
        <v>2.9611419481684274</v>
      </c>
      <c r="AB175" s="21">
        <f>EXP(-LN(2)/2)*AB174+(1-EXP(-LN(2)/2))/(LN(2)/2)*V175*Y175*VLOOKUP('Données projet'!$B$9,Paramètres!$A$1:$I$89,3,0)*0.475*44/12</f>
        <v>1.6587668382484878E-13</v>
      </c>
      <c r="AC175" s="22">
        <f t="shared" si="163"/>
        <v>29.602434858738782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6.4179487179487182</v>
      </c>
      <c r="AI175" s="13">
        <f>IF('Données projet'!$A$62&gt;35,AI174+AH175-AQ174,IF(A175&lt;'Données projet'!$A$62,$AF$205^A175,IF(A175='Données projet'!$A$62,'Données projet'!$B$62,AI174+AH175-AQ174)))</f>
        <v>400.21538461538404</v>
      </c>
      <c r="AJ175" s="13">
        <f>AI175*VLOOKUP('Données projet'!$B$10,Paramètres!$A$1:$I$89,3,0)*VLOOKUP('Données projet'!$B$10,Paramètres!$A$1:$I$89,5,0)</f>
        <v>362.11487999999946</v>
      </c>
      <c r="AK175" s="13">
        <f t="shared" si="164"/>
        <v>84.052129011936628</v>
      </c>
      <c r="AL175" s="20">
        <f t="shared" si="165"/>
        <v>777.07420736245524</v>
      </c>
      <c r="AM175" s="59">
        <f t="shared" si="113"/>
        <v>1070.4075406957886</v>
      </c>
      <c r="AN175" s="59">
        <f ca="1">AVERAGE(OFFSET($AM$3,0,0,'Données projet'!$E$10+1,1))-AVERAGE(OFFSET($H$3,0,0,'Données projet'!$E$10+1,1))</f>
        <v>447.91110718952615</v>
      </c>
      <c r="AO175" s="59">
        <f t="shared" si="144"/>
        <v>188.87492758536894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59.210768129432338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59.210768129432338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6.4179487179487182</v>
      </c>
      <c r="BD175" s="12">
        <f>IF('Données projet'!$A$88&gt;35,BD174+BC175-BL174,IF(A175&lt;'Données projet'!$A$88,$BA$205^A175,IF(A175='Données projet'!$A$88,'Données projet'!$B$88,BD174+BC175-BL174)))</f>
        <v>400.21538461538404</v>
      </c>
      <c r="BE175" s="13">
        <f>BD175*VLOOKUP('Données projet'!$B$11,Paramètres!$A$1:$I$89,3,0)*VLOOKUP('Données projet'!$B$11,Paramètres!$A$1:$I$89,5,0)</f>
        <v>405.81839999999949</v>
      </c>
      <c r="BF175" s="13">
        <f t="shared" si="167"/>
        <v>92.955263278236245</v>
      </c>
      <c r="BG175" s="20">
        <f t="shared" si="168"/>
        <v>868.69746354292727</v>
      </c>
      <c r="BH175" s="59">
        <f t="shared" si="116"/>
        <v>1162.0307968762606</v>
      </c>
      <c r="BI175" s="59">
        <f ca="1">AVERAGE(OFFSET($BH$3,0,0,'Données projet'!$E$11+1,1))-AVERAGE(OFFSET($H$3,0,0,'Données projet'!$E$11+1,1))</f>
        <v>496.71433459306451</v>
      </c>
      <c r="BJ175" s="59">
        <f t="shared" si="146"/>
        <v>206.75063396134982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66.356895317467277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66.356895317467277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355.09162485318728</v>
      </c>
      <c r="T176" s="59">
        <f t="shared" si="142"/>
        <v>320.06572891923685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26.118873406178068</v>
      </c>
      <c r="AA176" s="21">
        <f>EXP(-LN(2)/25)*AA175+(1-EXP(-LN(2)/25))/(LN(2)/25)*Calculateur!V176*Calculateur!X176*VLOOKUP('Données projet'!$B$9,Paramètres!$A$1:$I$89,3,0)*0.475*44/12</f>
        <v>2.8801693658760743</v>
      </c>
      <c r="AB176" s="21">
        <f>EXP(-LN(2)/2)*AB175+(1-EXP(-LN(2)/2))/(LN(2)/2)*V176*Y176*VLOOKUP('Données projet'!$B$9,Paramètres!$A$1:$I$89,3,0)*0.475*44/12</f>
        <v>1.1729252797328748E-13</v>
      </c>
      <c r="AC176" s="22">
        <f t="shared" si="163"/>
        <v>28.99904277205426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6.4179487179487182</v>
      </c>
      <c r="AI176" s="13">
        <f>IF('Données projet'!$A$62&gt;35,AI175+AH176-AQ175,IF(A176&lt;'Données projet'!$A$62,$AF$205^A176,IF(A176='Données projet'!$A$62,'Données projet'!$B$62,AI175+AH176-AQ175)))</f>
        <v>406.63333333333276</v>
      </c>
      <c r="AJ176" s="13">
        <f>AI176*VLOOKUP('Données projet'!$B$10,Paramètres!$A$1:$I$89,3,0)*VLOOKUP('Données projet'!$B$10,Paramètres!$A$1:$I$89,5,0)</f>
        <v>367.92183999999946</v>
      </c>
      <c r="AK176" s="13">
        <f t="shared" si="164"/>
        <v>85.242010668812711</v>
      </c>
      <c r="AL176" s="20">
        <f t="shared" si="165"/>
        <v>789.26037324818117</v>
      </c>
      <c r="AM176" s="59">
        <f t="shared" si="113"/>
        <v>1082.5937065815144</v>
      </c>
      <c r="AN176" s="59">
        <f ca="1">AVERAGE(OFFSET($AM$3,0,0,'Données projet'!$E$10+1,1))-AVERAGE(OFFSET($H$3,0,0,'Données projet'!$E$10+1,1))</f>
        <v>447.91110718952615</v>
      </c>
      <c r="AO176" s="59">
        <f t="shared" si="144"/>
        <v>188.87492758536894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58.049681081416672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58.049681081416672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6.4179487179487182</v>
      </c>
      <c r="BD176" s="12">
        <f>IF('Données projet'!$A$88&gt;35,BD175+BC176-BL175,IF(A176&lt;'Données projet'!$A$88,$BA$205^A176,IF(A176='Données projet'!$A$88,'Données projet'!$B$88,BD175+BC176-BL175)))</f>
        <v>406.63333333333276</v>
      </c>
      <c r="BE176" s="13">
        <f>BD176*VLOOKUP('Données projet'!$B$11,Paramètres!$A$1:$I$89,3,0)*VLOOKUP('Données projet'!$B$11,Paramètres!$A$1:$I$89,5,0)</f>
        <v>412.32619999999946</v>
      </c>
      <c r="BF176" s="13">
        <f t="shared" si="167"/>
        <v>94.271181910935638</v>
      </c>
      <c r="BG176" s="20">
        <f t="shared" si="168"/>
        <v>882.32377349487854</v>
      </c>
      <c r="BH176" s="59">
        <f t="shared" si="116"/>
        <v>1175.6571068282119</v>
      </c>
      <c r="BI176" s="59">
        <f ca="1">AVERAGE(OFFSET($BH$3,0,0,'Données projet'!$E$11+1,1))-AVERAGE(OFFSET($H$3,0,0,'Données projet'!$E$11+1,1))</f>
        <v>496.71433459306451</v>
      </c>
      <c r="BJ176" s="59">
        <f t="shared" si="146"/>
        <v>206.75063396134982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65.055677074001437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65.055677074001437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355.09162485318728</v>
      </c>
      <c r="T177" s="59">
        <f t="shared" si="142"/>
        <v>320.06572891923685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25.606698229622644</v>
      </c>
      <c r="AA177" s="21">
        <f>EXP(-LN(2)/25)*AA176+(1-EXP(-LN(2)/25))/(LN(2)/25)*Calculateur!V177*Calculateur!X177*VLOOKUP('Données projet'!$B$9,Paramètres!$A$1:$I$89,3,0)*0.475*44/12</f>
        <v>2.801410983104669</v>
      </c>
      <c r="AB177" s="21">
        <f>EXP(-LN(2)/2)*AB176+(1-EXP(-LN(2)/2))/(LN(2)/2)*V177*Y177*VLOOKUP('Données projet'!$B$9,Paramètres!$A$1:$I$89,3,0)*0.475*44/12</f>
        <v>8.2938341912424392E-14</v>
      </c>
      <c r="AC177" s="22">
        <f t="shared" si="163"/>
        <v>28.408109212727396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413.05128205128204</v>
      </c>
      <c r="AG177" s="12">
        <f>VLOOKUP(A177,'Données projet'!$A$61:$I$81,9,0)</f>
        <v>6.4179487179487182</v>
      </c>
      <c r="AH177" s="12">
        <f t="array" ref="AH177">INDEX(AG:AG,MIN(IF(ISNUMBER(AG177:AG373),ROW(AG177:AG373),"")))</f>
        <v>6.4179487179487182</v>
      </c>
      <c r="AI177" s="13">
        <f>IF('Données projet'!$A$62&gt;35,AI176+AH177-AQ176,IF(A177&lt;'Données projet'!$A$62,$AF$205^A177,IF(A177='Données projet'!$A$62,'Données projet'!$B$62,AI176+AH177-AQ176)))</f>
        <v>413.05128205128148</v>
      </c>
      <c r="AJ177" s="13">
        <f>AI177*VLOOKUP('Données projet'!$B$10,Paramètres!$A$1:$I$89,3,0)*VLOOKUP('Données projet'!$B$10,Paramètres!$A$1:$I$89,5,0)</f>
        <v>373.72879999999947</v>
      </c>
      <c r="AK177" s="13">
        <f t="shared" si="164"/>
        <v>86.429708237311118</v>
      </c>
      <c r="AL177" s="20">
        <f t="shared" si="165"/>
        <v>801.44273517998261</v>
      </c>
      <c r="AM177" s="59">
        <f t="shared" si="113"/>
        <v>1094.776068513316</v>
      </c>
      <c r="AN177" s="59">
        <f ca="1">AVERAGE(OFFSET($AM$3,0,0,'Données projet'!$E$10+1,1))-AVERAGE(OFFSET($H$3,0,0,'Données projet'!$E$10+1,1))</f>
        <v>447.91110718952615</v>
      </c>
      <c r="AO177" s="59">
        <f t="shared" si="144"/>
        <v>188.87492758536894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162.38461538461539</v>
      </c>
      <c r="AR177" s="16">
        <f>IF(ISNA(VLOOKUP(A177,'Données projet'!$A$61:$I$81,5,0)),0%,VLOOKUP(A177,'Données projet'!$A$61:$I$81,5,0)*VLOOKUP('Données projet'!$B$10,Paramètres!$A$1:$I$89,7,0))</f>
        <v>0.38700000000000001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119.7686370759256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119.7686370759256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413.05128205128204</v>
      </c>
      <c r="BB177" s="12">
        <f>VLOOKUP(A177,'Données projet'!$A$87:$I$107,9,0)</f>
        <v>6.4179487179487182</v>
      </c>
      <c r="BC177" s="12">
        <f t="array" ref="BC177">INDEX(BB:BB,MIN(IF(ISNUMBER(BB177:BB373),ROW(BB177:BB373),"")))</f>
        <v>6.4179487179487182</v>
      </c>
      <c r="BD177" s="12">
        <f>IF('Données projet'!$A$88&gt;35,BD176+BC177-BL176,IF(A177&lt;'Données projet'!$A$88,$BA$205^A177,IF(A177='Données projet'!$A$88,'Données projet'!$B$88,BD176+BC177-BL176)))</f>
        <v>413.05128205128148</v>
      </c>
      <c r="BE177" s="13">
        <f>BD177*VLOOKUP('Données projet'!$B$11,Paramètres!$A$1:$I$89,3,0)*VLOOKUP('Données projet'!$B$11,Paramètres!$A$1:$I$89,5,0)</f>
        <v>418.83399999999943</v>
      </c>
      <c r="BF177" s="13">
        <f t="shared" si="167"/>
        <v>95.584685107969605</v>
      </c>
      <c r="BG177" s="20">
        <f t="shared" si="168"/>
        <v>895.945876563046</v>
      </c>
      <c r="BH177" s="59">
        <f t="shared" si="116"/>
        <v>1189.2792098963794</v>
      </c>
      <c r="BI177" s="59">
        <f ca="1">AVERAGE(OFFSET($BH$3,0,0,'Données projet'!$E$11+1,1))-AVERAGE(OFFSET($H$3,0,0,'Données projet'!$E$11+1,1))</f>
        <v>496.71433459306451</v>
      </c>
      <c r="BJ177" s="59">
        <f t="shared" si="146"/>
        <v>206.75063396134982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162.38461538461539</v>
      </c>
      <c r="BM177" s="16">
        <f>IF(ISNA(VLOOKUP(A177,'Données projet'!$A$87:$I$107,5,0)),0%,VLOOKUP(A177,'Données projet'!$A$87:$I$107,5,0)*VLOOKUP('Données projet'!$B$11,Paramètres!$A$1:$I$89,7,0))</f>
        <v>0.38700000000000001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134.22347258508904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134.22347258508904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355.09162485318728</v>
      </c>
      <c r="T178" s="59">
        <f t="shared" si="142"/>
        <v>320.06572891923685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25.104566495883461</v>
      </c>
      <c r="AA178" s="21">
        <f>EXP(-LN(2)/25)*AA177+(1-EXP(-LN(2)/25))/(LN(2)/25)*Calculateur!V178*Calculateur!X178*VLOOKUP('Données projet'!$B$9,Paramètres!$A$1:$I$89,3,0)*0.475*44/12</f>
        <v>2.724806252451871</v>
      </c>
      <c r="AB178" s="21">
        <f>EXP(-LN(2)/2)*AB177+(1-EXP(-LN(2)/2))/(LN(2)/2)*V178*Y178*VLOOKUP('Données projet'!$B$9,Paramètres!$A$1:$I$89,3,0)*0.475*44/12</f>
        <v>5.8646263986643738E-14</v>
      </c>
      <c r="AC178" s="22">
        <f t="shared" si="163"/>
        <v>27.829372748335391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4.0982905982905988</v>
      </c>
      <c r="AI178" s="13">
        <f>IF('Données projet'!$A$62&gt;35,AI177+AH178-AQ177,IF(A178&lt;'Données projet'!$A$62,$AF$205^A178,IF(A178='Données projet'!$A$62,'Données projet'!$B$62,AI177+AH178-AQ177)))</f>
        <v>254.76495726495668</v>
      </c>
      <c r="AJ178" s="13">
        <f>AI178*VLOOKUP('Données projet'!$B$10,Paramètres!$A$1:$I$89,3,0)*VLOOKUP('Données projet'!$B$10,Paramètres!$A$1:$I$89,5,0)</f>
        <v>230.5113333333328</v>
      </c>
      <c r="AK178" s="13">
        <f t="shared" si="164"/>
        <v>56.393229459006619</v>
      </c>
      <c r="AL178" s="20">
        <f t="shared" si="165"/>
        <v>499.6921135299911</v>
      </c>
      <c r="AM178" s="59">
        <f t="shared" si="113"/>
        <v>793.02544686332442</v>
      </c>
      <c r="AN178" s="59">
        <f ca="1">AVERAGE(OFFSET($AM$3,0,0,'Données projet'!$E$10+1,1))-AVERAGE(OFFSET($H$3,0,0,'Données projet'!$E$10+1,1))</f>
        <v>447.91110718952615</v>
      </c>
      <c r="AO178" s="59">
        <f t="shared" si="144"/>
        <v>188.87492758536894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117.42004715452207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117.42004715452207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4.0982905982905988</v>
      </c>
      <c r="BD178" s="12">
        <f>IF('Données projet'!$A$88&gt;35,BD177+BC178-BL177,IF(A178&lt;'Données projet'!$A$88,$BA$205^A178,IF(A178='Données projet'!$A$88,'Données projet'!$B$88,BD177+BC178-BL177)))</f>
        <v>254.76495726495668</v>
      </c>
      <c r="BE178" s="13">
        <f>BD178*VLOOKUP('Données projet'!$B$11,Paramètres!$A$1:$I$89,3,0)*VLOOKUP('Données projet'!$B$11,Paramètres!$A$1:$I$89,5,0)</f>
        <v>258.33166666666608</v>
      </c>
      <c r="BF178" s="13">
        <f t="shared" si="167"/>
        <v>62.36662358341335</v>
      </c>
      <c r="BG178" s="20">
        <f t="shared" si="168"/>
        <v>558.54952218555502</v>
      </c>
      <c r="BH178" s="59">
        <f t="shared" si="116"/>
        <v>851.88285551888839</v>
      </c>
      <c r="BI178" s="59">
        <f ca="1">AVERAGE(OFFSET($BH$3,0,0,'Données projet'!$E$11+1,1))-AVERAGE(OFFSET($H$3,0,0,'Données projet'!$E$11+1,1))</f>
        <v>496.71433459306451</v>
      </c>
      <c r="BJ178" s="59">
        <f t="shared" si="146"/>
        <v>206.75063396134982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131.59143215592991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131.59143215592991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355.09162485318728</v>
      </c>
      <c r="T179" s="59">
        <f t="shared" si="142"/>
        <v>320.06572891923685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24.612281259172786</v>
      </c>
      <c r="AA179" s="21">
        <f>EXP(-LN(2)/25)*AA178+(1-EXP(-LN(2)/25))/(LN(2)/25)*Calculateur!V179*Calculateur!X179*VLOOKUP('Données projet'!$B$9,Paramètres!$A$1:$I$89,3,0)*0.475*44/12</f>
        <v>2.6502962821872416</v>
      </c>
      <c r="AB179" s="21">
        <f>EXP(-LN(2)/2)*AB178+(1-EXP(-LN(2)/2))/(LN(2)/2)*V179*Y179*VLOOKUP('Données projet'!$B$9,Paramètres!$A$1:$I$89,3,0)*0.475*44/12</f>
        <v>4.1469170956212196E-14</v>
      </c>
      <c r="AC179" s="22">
        <f t="shared" si="163"/>
        <v>27.26257754136007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4.0982905982905988</v>
      </c>
      <c r="AI179" s="13">
        <f>IF('Données projet'!$A$62&gt;35,AI178+AH179-AQ178,IF(A179&lt;'Données projet'!$A$62,$AF$205^A179,IF(A179='Données projet'!$A$62,'Données projet'!$B$62,AI178+AH179-AQ178)))</f>
        <v>258.8632478632473</v>
      </c>
      <c r="AJ179" s="13">
        <f>AI179*VLOOKUP('Données projet'!$B$10,Paramètres!$A$1:$I$89,3,0)*VLOOKUP('Données projet'!$B$10,Paramètres!$A$1:$I$89,5,0)</f>
        <v>234.21946666666616</v>
      </c>
      <c r="AK179" s="13">
        <f t="shared" si="164"/>
        <v>57.194061341064028</v>
      </c>
      <c r="AL179" s="20">
        <f t="shared" si="165"/>
        <v>507.54522794679673</v>
      </c>
      <c r="AM179" s="59">
        <f t="shared" si="113"/>
        <v>800.87856128013004</v>
      </c>
      <c r="AN179" s="59">
        <f ca="1">AVERAGE(OFFSET($AM$3,0,0,'Données projet'!$E$10+1,1))-AVERAGE(OFFSET($H$3,0,0,'Données projet'!$E$10+1,1))</f>
        <v>447.91110718952615</v>
      </c>
      <c r="AO179" s="59">
        <f t="shared" si="144"/>
        <v>188.87492758536894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115.11751164897885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115.11751164897885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4.0982905982905988</v>
      </c>
      <c r="BD179" s="12">
        <f>IF('Données projet'!$A$88&gt;35,BD178+BC179-BL178,IF(A179&lt;'Données projet'!$A$88,$BA$205^A179,IF(A179='Données projet'!$A$88,'Données projet'!$B$88,BD178+BC179-BL178)))</f>
        <v>258.8632478632473</v>
      </c>
      <c r="BE179" s="13">
        <f>BD179*VLOOKUP('Données projet'!$B$11,Paramètres!$A$1:$I$89,3,0)*VLOOKUP('Données projet'!$B$11,Paramètres!$A$1:$I$89,5,0)</f>
        <v>262.4873333333328</v>
      </c>
      <c r="BF179" s="13">
        <f t="shared" si="167"/>
        <v>63.252282748902005</v>
      </c>
      <c r="BG179" s="20">
        <f t="shared" si="168"/>
        <v>567.32983134322569</v>
      </c>
      <c r="BH179" s="59">
        <f t="shared" si="116"/>
        <v>860.66316467655906</v>
      </c>
      <c r="BI179" s="59">
        <f ca="1">AVERAGE(OFFSET($BH$3,0,0,'Données projet'!$E$11+1,1))-AVERAGE(OFFSET($H$3,0,0,'Données projet'!$E$11+1,1))</f>
        <v>496.71433459306451</v>
      </c>
      <c r="BJ179" s="59">
        <f t="shared" si="146"/>
        <v>206.75063396134982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129.01100443420043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129.01100443420043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355.09162485318728</v>
      </c>
      <c r="T180" s="59">
        <f t="shared" si="142"/>
        <v>320.06572891923685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24.129649435689664</v>
      </c>
      <c r="AA180" s="21">
        <f>EXP(-LN(2)/25)*AA179+(1-EXP(-LN(2)/25))/(LN(2)/25)*Calculateur!V180*Calculateur!X180*VLOOKUP('Données projet'!$B$9,Paramètres!$A$1:$I$89,3,0)*0.475*44/12</f>
        <v>2.5778237909778072</v>
      </c>
      <c r="AB180" s="21">
        <f>EXP(-LN(2)/2)*AB179+(1-EXP(-LN(2)/2))/(LN(2)/2)*V180*Y180*VLOOKUP('Données projet'!$B$9,Paramètres!$A$1:$I$89,3,0)*0.475*44/12</f>
        <v>2.9323131993321869E-14</v>
      </c>
      <c r="AC180" s="22">
        <f t="shared" si="163"/>
        <v>26.707473226667499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262.96153846153845</v>
      </c>
      <c r="AG180" s="12">
        <f>VLOOKUP(A180,'Données projet'!$A$61:$I$81,9,0)</f>
        <v>4.0982905982905988</v>
      </c>
      <c r="AH180" s="12">
        <f t="array" ref="AH180">INDEX(AG:AG,MIN(IF(ISNUMBER(AG180:AG376),ROW(AG180:AG376),"")))</f>
        <v>4.0982905982905988</v>
      </c>
      <c r="AI180" s="13">
        <f>IF('Données projet'!$A$62&gt;35,AI179+AH180-AQ179,IF(A180&lt;'Données projet'!$A$62,$AF$205^A180,IF(A180='Données projet'!$A$62,'Données projet'!$B$62,AI179+AH180-AQ179)))</f>
        <v>262.96153846153788</v>
      </c>
      <c r="AJ180" s="13">
        <f>AI180*VLOOKUP('Données projet'!$B$10,Paramètres!$A$1:$I$89,3,0)*VLOOKUP('Données projet'!$B$10,Paramètres!$A$1:$I$89,5,0)</f>
        <v>237.92759999999947</v>
      </c>
      <c r="AK180" s="13">
        <f t="shared" si="164"/>
        <v>57.993418719759447</v>
      </c>
      <c r="AL180" s="20">
        <f t="shared" si="165"/>
        <v>515.39577427024676</v>
      </c>
      <c r="AM180" s="59">
        <f t="shared" si="113"/>
        <v>808.72910760358013</v>
      </c>
      <c r="AN180" s="59">
        <f ca="1">AVERAGE(OFFSET($AM$3,0,0,'Données projet'!$E$10+1,1))-AVERAGE(OFFSET($H$3,0,0,'Données projet'!$E$10+1,1))</f>
        <v>447.91110718952615</v>
      </c>
      <c r="AO180" s="59">
        <f t="shared" si="144"/>
        <v>188.87492758536894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87</v>
      </c>
      <c r="AR180" s="16">
        <f>IF(ISNA(VLOOKUP(A180,'Données projet'!$A$61:$I$81,5,0)),0%,VLOOKUP(A180,'Données projet'!$A$61:$I$81,5,0)*VLOOKUP('Données projet'!$B$10,Paramètres!$A$1:$I$89,7,0))</f>
        <v>0.38700000000000001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146.53685784253753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146.53685784253753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262.96153846153845</v>
      </c>
      <c r="BB180" s="12">
        <f>VLOOKUP(A180,'Données projet'!$A$87:$I$107,9,0)</f>
        <v>4.0982905982905988</v>
      </c>
      <c r="BC180" s="12">
        <f t="array" ref="BC180">INDEX(BB:BB,MIN(IF(ISNUMBER(BB180:BB376),ROW(BB180:BB376),"")))</f>
        <v>4.0982905982905988</v>
      </c>
      <c r="BD180" s="12">
        <f>IF('Données projet'!$A$88&gt;35,BD179+BC180-BL179,IF(A180&lt;'Données projet'!$A$88,$BA$205^A180,IF(A180='Données projet'!$A$88,'Données projet'!$B$88,BD179+BC180-BL179)))</f>
        <v>262.96153846153788</v>
      </c>
      <c r="BE180" s="13">
        <f>BD180*VLOOKUP('Données projet'!$B$11,Paramètres!$A$1:$I$89,3,0)*VLOOKUP('Données projet'!$B$11,Paramètres!$A$1:$I$89,5,0)</f>
        <v>266.64299999999946</v>
      </c>
      <c r="BF180" s="13">
        <f t="shared" si="167"/>
        <v>64.136311225794913</v>
      </c>
      <c r="BG180" s="20">
        <f t="shared" si="168"/>
        <v>576.10730038492511</v>
      </c>
      <c r="BH180" s="59">
        <f t="shared" si="116"/>
        <v>869.44063371825837</v>
      </c>
      <c r="BI180" s="59">
        <f ca="1">AVERAGE(OFFSET($BH$3,0,0,'Données projet'!$E$11+1,1))-AVERAGE(OFFSET($H$3,0,0,'Données projet'!$E$11+1,1))</f>
        <v>496.71433459306451</v>
      </c>
      <c r="BJ180" s="59">
        <f t="shared" si="146"/>
        <v>206.75063396134982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87</v>
      </c>
      <c r="BM180" s="16">
        <f>IF(ISNA(VLOOKUP(A180,'Données projet'!$A$87:$I$107,5,0)),0%,VLOOKUP(A180,'Données projet'!$A$87:$I$107,5,0)*VLOOKUP('Données projet'!$B$11,Paramètres!$A$1:$I$89,7,0))</f>
        <v>0.38700000000000001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164.2223406856024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164.2223406856024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355.09162485318728</v>
      </c>
      <c r="T181" s="59">
        <f t="shared" si="142"/>
        <v>320.06572891923685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23.6564817278887</v>
      </c>
      <c r="AA181" s="21">
        <f>EXP(-LN(2)/25)*AA180+(1-EXP(-LN(2)/25))/(LN(2)/25)*Calculateur!V181*Calculateur!X181*VLOOKUP('Données projet'!$B$9,Paramètres!$A$1:$I$89,3,0)*0.475*44/12</f>
        <v>2.5073330638516578</v>
      </c>
      <c r="AB181" s="21">
        <f>EXP(-LN(2)/2)*AB180+(1-EXP(-LN(2)/2))/(LN(2)/2)*V181*Y181*VLOOKUP('Données projet'!$B$9,Paramètres!$A$1:$I$89,3,0)*0.475*44/12</f>
        <v>2.0734585478106098E-14</v>
      </c>
      <c r="AC181" s="22">
        <f t="shared" si="163"/>
        <v>26.163814791740378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2.5149572649572653</v>
      </c>
      <c r="AI181" s="13">
        <f>IF('Données projet'!$A$62&gt;35,AI180+AH181-AQ180,IF(A181&lt;'Données projet'!$A$62,$AF$205^A181,IF(A181='Données projet'!$A$62,'Données projet'!$B$62,AI180+AH181-AQ180)))</f>
        <v>178.47649572649516</v>
      </c>
      <c r="AJ181" s="13">
        <f>AI181*VLOOKUP('Données projet'!$B$10,Paramètres!$A$1:$I$89,3,0)*VLOOKUP('Données projet'!$B$10,Paramètres!$A$1:$I$89,5,0)</f>
        <v>161.48553333333282</v>
      </c>
      <c r="AK181" s="13">
        <f t="shared" si="164"/>
        <v>41.17740116187629</v>
      </c>
      <c r="AL181" s="20">
        <f t="shared" si="165"/>
        <v>352.97127757915587</v>
      </c>
      <c r="AM181" s="59">
        <f t="shared" si="113"/>
        <v>646.30461091248912</v>
      </c>
      <c r="AN181" s="59">
        <f ca="1">AVERAGE(OFFSET($AM$3,0,0,'Données projet'!$E$10+1,1))-AVERAGE(OFFSET($H$3,0,0,'Données projet'!$E$10+1,1))</f>
        <v>447.91110718952615</v>
      </c>
      <c r="AO181" s="59">
        <f t="shared" si="144"/>
        <v>188.87492758536894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143.66335943890326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143.66335943890326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2.5149572649572653</v>
      </c>
      <c r="BD181" s="12">
        <f>IF('Données projet'!$A$88&gt;35,BD180+BC181-BL180,IF(A181&lt;'Données projet'!$A$88,$BA$205^A181,IF(A181='Données projet'!$A$88,'Données projet'!$B$88,BD180+BC181-BL180)))</f>
        <v>178.47649572649516</v>
      </c>
      <c r="BE181" s="13">
        <f>BD181*VLOOKUP('Données projet'!$B$11,Paramètres!$A$1:$I$89,3,0)*VLOOKUP('Données projet'!$B$11,Paramètres!$A$1:$I$89,5,0)</f>
        <v>180.9751666666661</v>
      </c>
      <c r="BF181" s="13">
        <f t="shared" si="167"/>
        <v>45.539074513772022</v>
      </c>
      <c r="BG181" s="20">
        <f t="shared" si="168"/>
        <v>394.51230338926302</v>
      </c>
      <c r="BH181" s="59">
        <f t="shared" si="116"/>
        <v>687.84563672259628</v>
      </c>
      <c r="BI181" s="59">
        <f ca="1">AVERAGE(OFFSET($BH$3,0,0,'Données projet'!$E$11+1,1))-AVERAGE(OFFSET($H$3,0,0,'Données projet'!$E$11+1,1))</f>
        <v>496.71433459306451</v>
      </c>
      <c r="BJ181" s="59">
        <f t="shared" si="146"/>
        <v>206.75063396134982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161.00204075049501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161.00204075049501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355.09162485318728</v>
      </c>
      <c r="T182" s="59">
        <f t="shared" si="142"/>
        <v>320.06572891923685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23.192592550233908</v>
      </c>
      <c r="AA182" s="21">
        <f>EXP(-LN(2)/25)*AA181+(1-EXP(-LN(2)/25))/(LN(2)/25)*Calculateur!V182*Calculateur!X182*VLOOKUP('Données projet'!$B$9,Paramètres!$A$1:$I$89,3,0)*0.475*44/12</f>
        <v>2.4387699093657189</v>
      </c>
      <c r="AB182" s="21">
        <f>EXP(-LN(2)/2)*AB181+(1-EXP(-LN(2)/2))/(LN(2)/2)*V182*Y182*VLOOKUP('Données projet'!$B$9,Paramètres!$A$1:$I$89,3,0)*0.475*44/12</f>
        <v>1.4661565996660934E-14</v>
      </c>
      <c r="AC182" s="22">
        <f t="shared" si="163"/>
        <v>25.631362459599639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2.5149572649572653</v>
      </c>
      <c r="AI182" s="13">
        <f>IF('Données projet'!$A$62&gt;35,AI181+AH182-AQ181,IF(A182&lt;'Données projet'!$A$62,$AF$205^A182,IF(A182='Données projet'!$A$62,'Données projet'!$B$62,AI181+AH182-AQ181)))</f>
        <v>180.99145299145243</v>
      </c>
      <c r="AJ182" s="13">
        <f>AI182*VLOOKUP('Données projet'!$B$10,Paramètres!$A$1:$I$89,3,0)*VLOOKUP('Données projet'!$B$10,Paramètres!$A$1:$I$89,5,0)</f>
        <v>163.76106666666615</v>
      </c>
      <c r="AK182" s="13">
        <f t="shared" si="164"/>
        <v>41.689683944410106</v>
      </c>
      <c r="AL182" s="20">
        <f t="shared" si="165"/>
        <v>357.82672398095787</v>
      </c>
      <c r="AM182" s="59">
        <f t="shared" si="113"/>
        <v>651.16005731429118</v>
      </c>
      <c r="AN182" s="59">
        <f ca="1">AVERAGE(OFFSET($AM$3,0,0,'Données projet'!$E$10+1,1))-AVERAGE(OFFSET($H$3,0,0,'Données projet'!$E$10+1,1))</f>
        <v>447.91110718952615</v>
      </c>
      <c r="AO182" s="59">
        <f t="shared" si="144"/>
        <v>188.87492758536894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140.84620858630328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140.84620858630328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2.5149572649572653</v>
      </c>
      <c r="BD182" s="12">
        <f>IF('Données projet'!$A$88&gt;35,BD181+BC182-BL181,IF(A182&lt;'Données projet'!$A$88,$BA$205^A182,IF(A182='Données projet'!$A$88,'Données projet'!$B$88,BD181+BC182-BL181)))</f>
        <v>180.99145299145243</v>
      </c>
      <c r="BE182" s="13">
        <f>BD182*VLOOKUP('Données projet'!$B$11,Paramètres!$A$1:$I$89,3,0)*VLOOKUP('Données projet'!$B$11,Paramètres!$A$1:$I$89,5,0)</f>
        <v>183.52533333333278</v>
      </c>
      <c r="BF182" s="13">
        <f t="shared" si="167"/>
        <v>46.105620316753161</v>
      </c>
      <c r="BG182" s="20">
        <f t="shared" si="168"/>
        <v>399.94057760723302</v>
      </c>
      <c r="BH182" s="59">
        <f t="shared" si="116"/>
        <v>693.27391094056634</v>
      </c>
      <c r="BI182" s="59">
        <f ca="1">AVERAGE(OFFSET($BH$3,0,0,'Données projet'!$E$11+1,1))-AVERAGE(OFFSET($H$3,0,0,'Données projet'!$E$11+1,1))</f>
        <v>496.71433459306451</v>
      </c>
      <c r="BJ182" s="59">
        <f t="shared" si="146"/>
        <v>206.75063396134982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157.84488893292607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157.84488893292607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355.09162485318728</v>
      </c>
      <c r="T183" s="59">
        <f t="shared" si="142"/>
        <v>320.06572891923685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22.737799956408466</v>
      </c>
      <c r="AA183" s="21">
        <f>EXP(-LN(2)/25)*AA182+(1-EXP(-LN(2)/25))/(LN(2)/25)*Calculateur!V183*Calculateur!X183*VLOOKUP('Données projet'!$B$9,Paramètres!$A$1:$I$89,3,0)*0.475*44/12</f>
        <v>2.3720816179447777</v>
      </c>
      <c r="AB183" s="21">
        <f>EXP(-LN(2)/2)*AB182+(1-EXP(-LN(2)/2))/(LN(2)/2)*V183*Y183*VLOOKUP('Données projet'!$B$9,Paramètres!$A$1:$I$89,3,0)*0.475*44/12</f>
        <v>1.0367292739053049E-14</v>
      </c>
      <c r="AC183" s="22">
        <f t="shared" si="163"/>
        <v>25.109881574353256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183.50641025641025</v>
      </c>
      <c r="AG183" s="12">
        <f>VLOOKUP(A183,'Données projet'!$A$61:$I$81,9,0)</f>
        <v>2.5149572649572653</v>
      </c>
      <c r="AH183" s="12">
        <f t="array" ref="AH183">INDEX(AG:AG,MIN(IF(ISNUMBER(AG183:AG379),ROW(AG183:AG379),"")))</f>
        <v>2.5149572649572653</v>
      </c>
      <c r="AI183" s="13">
        <f>IF('Données projet'!$A$62&gt;35,AI182+AH183-AQ182,IF(A183&lt;'Données projet'!$A$62,$AF$205^A183,IF(A183='Données projet'!$A$62,'Données projet'!$B$62,AI182+AH183-AQ182)))</f>
        <v>183.50641025640971</v>
      </c>
      <c r="AJ183" s="13">
        <f>AI183*VLOOKUP('Données projet'!$B$10,Paramètres!$A$1:$I$89,3,0)*VLOOKUP('Données projet'!$B$10,Paramètres!$A$1:$I$89,5,0)</f>
        <v>166.03659999999951</v>
      </c>
      <c r="AK183" s="13">
        <f t="shared" si="164"/>
        <v>42.201138786899428</v>
      </c>
      <c r="AL183" s="20">
        <f t="shared" si="165"/>
        <v>362.68072838718234</v>
      </c>
      <c r="AM183" s="59">
        <f t="shared" si="113"/>
        <v>656.01406172051566</v>
      </c>
      <c r="AN183" s="59">
        <f ca="1">AVERAGE(OFFSET($AM$3,0,0,'Données projet'!$E$10+1,1))-AVERAGE(OFFSET($H$3,0,0,'Données projet'!$E$10+1,1))</f>
        <v>447.91110718952615</v>
      </c>
      <c r="AO183" s="59">
        <f t="shared" si="144"/>
        <v>188.87492758536894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58.794871794871796</v>
      </c>
      <c r="AR183" s="16">
        <f>IF(ISNA(VLOOKUP(A183,'Données projet'!$A$61:$I$81,5,0)),0%,VLOOKUP(A183,'Données projet'!$A$61:$I$81,5,0)*VLOOKUP('Données projet'!$B$10,Paramètres!$A$1:$I$89,7,0))</f>
        <v>0.38700000000000001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160.8431399447181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160.8431399447181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183.50641025641025</v>
      </c>
      <c r="BB183" s="12">
        <f>VLOOKUP(A183,'Données projet'!$A$87:$I$107,9,0)</f>
        <v>2.5149572649572653</v>
      </c>
      <c r="BC183" s="12">
        <f t="array" ref="BC183">INDEX(BB:BB,MIN(IF(ISNUMBER(BB183:BB379),ROW(BB183:BB379),"")))</f>
        <v>2.5149572649572653</v>
      </c>
      <c r="BD183" s="12">
        <f>IF('Données projet'!$A$88&gt;35,BD182+BC183-BL182,IF(A183&lt;'Données projet'!$A$88,$BA$205^A183,IF(A183='Données projet'!$A$88,'Données projet'!$B$88,BD182+BC183-BL182)))</f>
        <v>183.50641025640971</v>
      </c>
      <c r="BE183" s="13">
        <f>BD183*VLOOKUP('Données projet'!$B$11,Paramètres!$A$1:$I$89,3,0)*VLOOKUP('Données projet'!$B$11,Paramètres!$A$1:$I$89,5,0)</f>
        <v>186.07549999999947</v>
      </c>
      <c r="BF183" s="13">
        <f t="shared" si="167"/>
        <v>46.671250481002403</v>
      </c>
      <c r="BG183" s="20">
        <f t="shared" si="168"/>
        <v>405.36725708774492</v>
      </c>
      <c r="BH183" s="59">
        <f t="shared" si="116"/>
        <v>698.70059042107823</v>
      </c>
      <c r="BI183" s="59">
        <f ca="1">AVERAGE(OFFSET($BH$3,0,0,'Données projet'!$E$11+1,1))-AVERAGE(OFFSET($H$3,0,0,'Données projet'!$E$11+1,1))</f>
        <v>496.71433459306451</v>
      </c>
      <c r="BJ183" s="59">
        <f t="shared" si="146"/>
        <v>206.75063396134982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58.794871794871796</v>
      </c>
      <c r="BM183" s="16">
        <f>IF(ISNA(VLOOKUP(A183,'Données projet'!$A$87:$I$107,5,0)),0%,VLOOKUP(A183,'Données projet'!$A$87:$I$107,5,0)*VLOOKUP('Données projet'!$B$11,Paramètres!$A$1:$I$89,7,0))</f>
        <v>0.38700000000000001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180.25524304149442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180.25524304149442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355.09162485318728</v>
      </c>
      <c r="T184" s="59">
        <f t="shared" si="142"/>
        <v>320.06572891923685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22.29192556795185</v>
      </c>
      <c r="AA184" s="21">
        <f>EXP(-LN(2)/25)*AA183+(1-EXP(-LN(2)/25))/(LN(2)/25)*Calculateur!V184*Calculateur!X184*VLOOKUP('Données projet'!$B$9,Paramètres!$A$1:$I$89,3,0)*0.475*44/12</f>
        <v>2.3072169213597271</v>
      </c>
      <c r="AB184" s="21">
        <f>EXP(-LN(2)/2)*AB183+(1-EXP(-LN(2)/2))/(LN(2)/2)*V184*Y184*VLOOKUP('Données projet'!$B$9,Paramètres!$A$1:$I$89,3,0)*0.475*44/12</f>
        <v>7.3307829983304672E-15</v>
      </c>
      <c r="AC184" s="22">
        <f t="shared" si="163"/>
        <v>24.599142489311586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1.5384615384615377</v>
      </c>
      <c r="AI184" s="13">
        <f>IF('Données projet'!$A$62&gt;35,AI183+AH184-AQ183,IF(A184&lt;'Données projet'!$A$62,$AF$205^A184,IF(A184='Données projet'!$A$62,'Données projet'!$B$62,AI183+AH184-AQ183)))</f>
        <v>126.24999999999946</v>
      </c>
      <c r="AJ184" s="13">
        <f>AI184*VLOOKUP('Données projet'!$B$10,Paramètres!$A$1:$I$89,3,0)*VLOOKUP('Données projet'!$B$10,Paramètres!$A$1:$I$89,5,0)</f>
        <v>114.23099999999951</v>
      </c>
      <c r="AK184" s="13">
        <f t="shared" si="164"/>
        <v>30.325640932877807</v>
      </c>
      <c r="AL184" s="20">
        <f t="shared" si="165"/>
        <v>251.76948295809464</v>
      </c>
      <c r="AM184" s="59">
        <f t="shared" si="113"/>
        <v>545.10281629142798</v>
      </c>
      <c r="AN184" s="59">
        <f ca="1">AVERAGE(OFFSET($AM$3,0,0,'Données projet'!$E$10+1,1))-AVERAGE(OFFSET($H$3,0,0,'Données projet'!$E$10+1,1))</f>
        <v>447.91110718952615</v>
      </c>
      <c r="AO184" s="59">
        <f t="shared" si="144"/>
        <v>188.87492758536894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157.68910407503051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157.68910407503051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1.5384615384615377</v>
      </c>
      <c r="BD184" s="12">
        <f>IF('Données projet'!$A$88&gt;35,BD183+BC184-BL183,IF(A184&lt;'Données projet'!$A$88,$BA$205^A184,IF(A184='Données projet'!$A$88,'Données projet'!$B$88,BD183+BC184-BL183)))</f>
        <v>126.24999999999946</v>
      </c>
      <c r="BE184" s="13">
        <f>BD184*VLOOKUP('Données projet'!$B$11,Paramètres!$A$1:$I$89,3,0)*VLOOKUP('Données projet'!$B$11,Paramètres!$A$1:$I$89,5,0)</f>
        <v>128.01749999999944</v>
      </c>
      <c r="BF184" s="13">
        <f t="shared" si="167"/>
        <v>33.537852879331417</v>
      </c>
      <c r="BG184" s="20">
        <f t="shared" si="168"/>
        <v>281.37557293150121</v>
      </c>
      <c r="BH184" s="59">
        <f t="shared" si="116"/>
        <v>574.70890626483447</v>
      </c>
      <c r="BI184" s="59">
        <f ca="1">AVERAGE(OFFSET($BH$3,0,0,'Données projet'!$E$11+1,1))-AVERAGE(OFFSET($H$3,0,0,'Données projet'!$E$11+1,1))</f>
        <v>496.71433459306451</v>
      </c>
      <c r="BJ184" s="59">
        <f t="shared" si="146"/>
        <v>206.75063396134982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176.72054767029283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176.72054767029283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355.09162485318728</v>
      </c>
      <c r="T185" s="59">
        <f t="shared" si="142"/>
        <v>320.06572891923685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21.854794504296343</v>
      </c>
      <c r="AA185" s="21">
        <f>EXP(-LN(2)/25)*AA184+(1-EXP(-LN(2)/25))/(LN(2)/25)*Calculateur!V185*Calculateur!X185*VLOOKUP('Données projet'!$B$9,Paramètres!$A$1:$I$89,3,0)*0.475*44/12</f>
        <v>2.2441259533138807</v>
      </c>
      <c r="AB185" s="21">
        <f>EXP(-LN(2)/2)*AB184+(1-EXP(-LN(2)/2))/(LN(2)/2)*V185*Y185*VLOOKUP('Données projet'!$B$9,Paramètres!$A$1:$I$89,3,0)*0.475*44/12</f>
        <v>5.1836463695265245E-15</v>
      </c>
      <c r="AC185" s="22">
        <f t="shared" si="163"/>
        <v>24.098920457610227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1.5384615384615377</v>
      </c>
      <c r="AI185" s="13">
        <f>IF('Données projet'!$A$62&gt;35,AI184+AH185-AQ184,IF(A185&lt;'Données projet'!$A$62,$AF$205^A185,IF(A185='Données projet'!$A$62,'Données projet'!$B$62,AI184+AH185-AQ184)))</f>
        <v>127.78846153846099</v>
      </c>
      <c r="AJ185" s="13">
        <f>AI185*VLOOKUP('Données projet'!$B$10,Paramètres!$A$1:$I$89,3,0)*VLOOKUP('Données projet'!$B$10,Paramètres!$A$1:$I$89,5,0)</f>
        <v>115.62299999999951</v>
      </c>
      <c r="AK185" s="13">
        <f t="shared" si="164"/>
        <v>30.651938791248938</v>
      </c>
      <c r="AL185" s="20">
        <f t="shared" si="165"/>
        <v>254.76218506142436</v>
      </c>
      <c r="AM185" s="59">
        <f t="shared" si="113"/>
        <v>548.09551839475762</v>
      </c>
      <c r="AN185" s="59">
        <f ca="1">AVERAGE(OFFSET($AM$3,0,0,'Données projet'!$E$10+1,1))-AVERAGE(OFFSET($H$3,0,0,'Données projet'!$E$10+1,1))</f>
        <v>447.91110718952615</v>
      </c>
      <c r="AO185" s="59">
        <f t="shared" si="144"/>
        <v>188.87492758536894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154.59691692497557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154.59691692497557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1.5384615384615377</v>
      </c>
      <c r="BD185" s="12">
        <f>IF('Données projet'!$A$88&gt;35,BD184+BC185-BL184,IF(A185&lt;'Données projet'!$A$88,$BA$205^A185,IF(A185='Données projet'!$A$88,'Données projet'!$B$88,BD184+BC185-BL184)))</f>
        <v>127.78846153846099</v>
      </c>
      <c r="BE185" s="13">
        <f>BD185*VLOOKUP('Données projet'!$B$11,Paramètres!$A$1:$I$89,3,0)*VLOOKUP('Données projet'!$B$11,Paramètres!$A$1:$I$89,5,0)</f>
        <v>129.57749999999945</v>
      </c>
      <c r="BF185" s="13">
        <f t="shared" si="167"/>
        <v>33.898713498670467</v>
      </c>
      <c r="BG185" s="20">
        <f t="shared" si="168"/>
        <v>284.72107184351677</v>
      </c>
      <c r="BH185" s="59">
        <f t="shared" si="116"/>
        <v>578.05440517685008</v>
      </c>
      <c r="BI185" s="59">
        <f ca="1">AVERAGE(OFFSET($BH$3,0,0,'Données projet'!$E$11+1,1))-AVERAGE(OFFSET($H$3,0,0,'Données projet'!$E$11+1,1))</f>
        <v>496.71433459306451</v>
      </c>
      <c r="BJ185" s="59">
        <f t="shared" si="146"/>
        <v>206.75063396134982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173.2551655193692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173.2551655193692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355.09162485318728</v>
      </c>
      <c r="T186" s="59">
        <f t="shared" si="142"/>
        <v>320.06572891923685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21.4262353141755</v>
      </c>
      <c r="AA186" s="21">
        <f>EXP(-LN(2)/25)*AA185+(1-EXP(-LN(2)/25))/(LN(2)/25)*Calculateur!V186*Calculateur!X186*VLOOKUP('Données projet'!$B$9,Paramètres!$A$1:$I$89,3,0)*0.475*44/12</f>
        <v>2.1827602111070576</v>
      </c>
      <c r="AB186" s="21">
        <f>EXP(-LN(2)/2)*AB185+(1-EXP(-LN(2)/2))/(LN(2)/2)*V186*Y186*VLOOKUP('Données projet'!$B$9,Paramètres!$A$1:$I$89,3,0)*0.475*44/12</f>
        <v>3.6653914991652336E-15</v>
      </c>
      <c r="AC186" s="22">
        <f t="shared" si="163"/>
        <v>23.608995525282563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129.32692307692307</v>
      </c>
      <c r="AG186" s="12">
        <f>VLOOKUP(A186,'Données projet'!$A$61:$I$81,9,0)</f>
        <v>1.5384615384615377</v>
      </c>
      <c r="AH186" s="12">
        <f t="array" ref="AH186">INDEX(AG:AG,MIN(IF(ISNUMBER(AG186:AG382),ROW(AG186:AG382),"")))</f>
        <v>1.5384615384615377</v>
      </c>
      <c r="AI186" s="13">
        <f>IF('Données projet'!$A$62&gt;35,AI185+AH186-AQ185,IF(A186&lt;'Données projet'!$A$62,$AF$205^A186,IF(A186='Données projet'!$A$62,'Données projet'!$B$62,AI185+AH186-AQ185)))</f>
        <v>129.32692307692253</v>
      </c>
      <c r="AJ186" s="13">
        <f>AI186*VLOOKUP('Données projet'!$B$10,Paramètres!$A$1:$I$89,3,0)*VLOOKUP('Données projet'!$B$10,Paramètres!$A$1:$I$89,5,0)</f>
        <v>117.0149999999995</v>
      </c>
      <c r="AK186" s="13">
        <f t="shared" si="164"/>
        <v>30.977779699248124</v>
      </c>
      <c r="AL186" s="20">
        <f t="shared" si="165"/>
        <v>257.75409130952295</v>
      </c>
      <c r="AM186" s="59">
        <f t="shared" si="113"/>
        <v>551.08742464285626</v>
      </c>
      <c r="AN186" s="59">
        <f ca="1">AVERAGE(OFFSET($AM$3,0,0,'Données projet'!$E$10+1,1))-AVERAGE(OFFSET($H$3,0,0,'Données projet'!$E$10+1,1))</f>
        <v>447.91110718952615</v>
      </c>
      <c r="AO186" s="59">
        <f t="shared" si="144"/>
        <v>188.87492758536894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129.32692307692307</v>
      </c>
      <c r="AR186" s="16">
        <f>IF(ISNA(VLOOKUP(A186,'Données projet'!$A$61:$I$81,5,0)),0%,VLOOKUP(A186,'Données projet'!$A$61:$I$81,5,0)*VLOOKUP('Données projet'!$B$10,Paramètres!$A$1:$I$89,7,0))</f>
        <v>0.38700000000000001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201.62637624931091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201.62637624931091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129.32692307692307</v>
      </c>
      <c r="BB186" s="12">
        <f>VLOOKUP(A186,'Données projet'!$A$87:$I$107,9,0)</f>
        <v>1.5384615384615377</v>
      </c>
      <c r="BC186" s="12">
        <f t="array" ref="BC186">INDEX(BB:BB,MIN(IF(ISNUMBER(BB186:BB382),ROW(BB186:BB382),"")))</f>
        <v>1.5384615384615377</v>
      </c>
      <c r="BD186" s="12">
        <f>IF('Données projet'!$A$88&gt;35,BD185+BC186-BL185,IF(A186&lt;'Données projet'!$A$88,$BA$205^A186,IF(A186='Données projet'!$A$88,'Données projet'!$B$88,BD185+BC186-BL185)))</f>
        <v>129.32692307692253</v>
      </c>
      <c r="BE186" s="13">
        <f>BD186*VLOOKUP('Données projet'!$B$11,Paramètres!$A$1:$I$89,3,0)*VLOOKUP('Données projet'!$B$11,Paramètres!$A$1:$I$89,5,0)</f>
        <v>131.13749999999945</v>
      </c>
      <c r="BF186" s="13">
        <f t="shared" si="167"/>
        <v>34.259068765645139</v>
      </c>
      <c r="BG186" s="20">
        <f t="shared" si="168"/>
        <v>288.06569060016426</v>
      </c>
      <c r="BH186" s="59">
        <f t="shared" si="116"/>
        <v>581.39902393349757</v>
      </c>
      <c r="BI186" s="59">
        <f ca="1">AVERAGE(OFFSET($BH$3,0,0,'Données projet'!$E$11+1,1))-AVERAGE(OFFSET($H$3,0,0,'Données projet'!$E$11+1,1))</f>
        <v>496.71433459306451</v>
      </c>
      <c r="BJ186" s="59">
        <f t="shared" si="146"/>
        <v>206.75063396134982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129.32692307692307</v>
      </c>
      <c r="BM186" s="16">
        <f>IF(ISNA(VLOOKUP(A186,'Données projet'!$A$87:$I$107,5,0)),0%,VLOOKUP(A186,'Données projet'!$A$87:$I$107,5,0)*VLOOKUP('Données projet'!$B$11,Paramètres!$A$1:$I$89,7,0))</f>
        <v>0.38700000000000001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225.96059407250365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225.96059407250365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355.09162485318728</v>
      </c>
      <c r="T187" s="59">
        <f t="shared" si="142"/>
        <v>320.06572891923685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21.006079908377632</v>
      </c>
      <c r="AA187" s="21">
        <f>EXP(-LN(2)/25)*AA186+(1-EXP(-LN(2)/25))/(LN(2)/25)*Calculateur!V187*Calculateur!X187*VLOOKUP('Données projet'!$B$9,Paramètres!$A$1:$I$89,3,0)*0.475*44/12</f>
        <v>2.1230725183479646</v>
      </c>
      <c r="AB187" s="21">
        <f>EXP(-LN(2)/2)*AB186+(1-EXP(-LN(2)/2))/(LN(2)/2)*V187*Y187*VLOOKUP('Données projet'!$B$9,Paramètres!$A$1:$I$89,3,0)*0.475*44/12</f>
        <v>2.5918231847632622E-15</v>
      </c>
      <c r="AC187" s="22">
        <f t="shared" si="163"/>
        <v>23.1291524267256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-5.4001247917767614E-13</v>
      </c>
      <c r="AJ187" s="13">
        <f>AI187*VLOOKUP('Données projet'!$B$10,Paramètres!$A$1:$I$89,3,0)*VLOOKUP('Données projet'!$B$10,Paramètres!$A$1:$I$89,5,0)</f>
        <v>-4.8860329115996133E-13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447.91110718952615</v>
      </c>
      <c r="AO187" s="59">
        <f t="shared" si="144"/>
        <v>188.87492758536894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197.67260599100817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197.67260599100817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-5.4001247917767614E-13</v>
      </c>
      <c r="BE187" s="13">
        <f>BD187*VLOOKUP('Données projet'!$B$11,Paramètres!$A$1:$I$89,3,0)*VLOOKUP('Données projet'!$B$11,Paramètres!$A$1:$I$89,5,0)</f>
        <v>-5.4757265388616366E-13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496.71433459306451</v>
      </c>
      <c r="BJ187" s="59">
        <f t="shared" si="146"/>
        <v>206.75063396134982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221.5296446450954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221.5296446450954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355.09162485318728</v>
      </c>
      <c r="T188" s="59">
        <f t="shared" si="142"/>
        <v>320.06572891923685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20.594163493817966</v>
      </c>
      <c r="AA188" s="21">
        <f>EXP(-LN(2)/25)*AA187+(1-EXP(-LN(2)/25))/(LN(2)/25)*Calculateur!V188*Calculateur!X188*VLOOKUP('Données projet'!$B$9,Paramètres!$A$1:$I$89,3,0)*0.475*44/12</f>
        <v>2.065016988686208</v>
      </c>
      <c r="AB188" s="21">
        <f>EXP(-LN(2)/2)*AB187+(1-EXP(-LN(2)/2))/(LN(2)/2)*V188*Y188*VLOOKUP('Données projet'!$B$9,Paramètres!$A$1:$I$89,3,0)*0.475*44/12</f>
        <v>1.8326957495826168E-15</v>
      </c>
      <c r="AC188" s="22">
        <f t="shared" si="163"/>
        <v>22.659180482504176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-5.4001247917767614E-13</v>
      </c>
      <c r="AJ188" s="13">
        <f>AI188*VLOOKUP('Données projet'!$B$10,Paramètres!$A$1:$I$89,3,0)*VLOOKUP('Données projet'!$B$10,Paramètres!$A$1:$I$89,5,0)</f>
        <v>-4.8860329115996133E-13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447.91110718952615</v>
      </c>
      <c r="AO188" s="59">
        <f t="shared" si="144"/>
        <v>188.87492758536894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193.79636675590902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193.79636675590902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-5.4001247917767614E-13</v>
      </c>
      <c r="BE188" s="13">
        <f>BD188*VLOOKUP('Données projet'!$B$11,Paramètres!$A$1:$I$89,3,0)*VLOOKUP('Données projet'!$B$11,Paramètres!$A$1:$I$89,5,0)</f>
        <v>-5.4757265388616366E-13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496.71433459306451</v>
      </c>
      <c r="BJ188" s="59">
        <f t="shared" si="146"/>
        <v>206.75063396134982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217.18558343334635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217.18558343334635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355.09162485318728</v>
      </c>
      <c r="T189" s="59">
        <f t="shared" si="142"/>
        <v>320.06572891923685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20.190324508903611</v>
      </c>
      <c r="AA189" s="21">
        <f>EXP(-LN(2)/25)*AA188+(1-EXP(-LN(2)/25))/(LN(2)/25)*Calculateur!V189*Calculateur!X189*VLOOKUP('Données projet'!$B$9,Paramètres!$A$1:$I$89,3,0)*0.475*44/12</f>
        <v>2.0085489905360601</v>
      </c>
      <c r="AB189" s="21">
        <f>EXP(-LN(2)/2)*AB188+(1-EXP(-LN(2)/2))/(LN(2)/2)*V189*Y189*VLOOKUP('Données projet'!$B$9,Paramètres!$A$1:$I$89,3,0)*0.475*44/12</f>
        <v>1.2959115923816311E-15</v>
      </c>
      <c r="AC189" s="22">
        <f t="shared" si="163"/>
        <v>22.198873499439671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-5.4001247917767614E-13</v>
      </c>
      <c r="AJ189" s="13">
        <f>AI189*VLOOKUP('Données projet'!$B$10,Paramètres!$A$1:$I$89,3,0)*VLOOKUP('Données projet'!$B$10,Paramètres!$A$1:$I$89,5,0)</f>
        <v>-4.8860329115996133E-13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447.91110718952615</v>
      </c>
      <c r="AO189" s="59">
        <f t="shared" si="144"/>
        <v>188.87492758536894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189.99613820793769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189.99613820793769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-5.4001247917767614E-13</v>
      </c>
      <c r="BE189" s="13">
        <f>BD189*VLOOKUP('Données projet'!$B$11,Paramètres!$A$1:$I$89,3,0)*VLOOKUP('Données projet'!$B$11,Paramètres!$A$1:$I$89,5,0)</f>
        <v>-5.4757265388616366E-13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496.71433459306451</v>
      </c>
      <c r="BJ189" s="59">
        <f t="shared" si="146"/>
        <v>206.75063396134982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212.92670661234399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212.92670661234399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355.09162485318728</v>
      </c>
      <c r="T190" s="59">
        <f t="shared" si="142"/>
        <v>320.06572891923685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19.794404560165969</v>
      </c>
      <c r="AA190" s="21">
        <f>EXP(-LN(2)/25)*AA189+(1-EXP(-LN(2)/25))/(LN(2)/25)*Calculateur!V190*Calculateur!X190*VLOOKUP('Données projet'!$B$9,Paramètres!$A$1:$I$89,3,0)*0.475*44/12</f>
        <v>1.9536251127648507</v>
      </c>
      <c r="AB190" s="21">
        <f>EXP(-LN(2)/2)*AB189+(1-EXP(-LN(2)/2))/(LN(2)/2)*V190*Y190*VLOOKUP('Données projet'!$B$9,Paramètres!$A$1:$I$89,3,0)*0.475*44/12</f>
        <v>9.163478747913084E-16</v>
      </c>
      <c r="AC190" s="22">
        <f t="shared" si="163"/>
        <v>21.748029672930819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-5.4001247917767614E-13</v>
      </c>
      <c r="AJ190" s="13">
        <f>AI190*VLOOKUP('Données projet'!$B$10,Paramètres!$A$1:$I$89,3,0)*VLOOKUP('Données projet'!$B$10,Paramètres!$A$1:$I$89,5,0)</f>
        <v>-4.8860329115996133E-13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447.91110718952615</v>
      </c>
      <c r="AO190" s="59">
        <f t="shared" si="144"/>
        <v>188.87492758536894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186.27042982388153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186.27042982388153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-5.4001247917767614E-13</v>
      </c>
      <c r="BE190" s="13">
        <f>BD190*VLOOKUP('Données projet'!$B$11,Paramètres!$A$1:$I$89,3,0)*VLOOKUP('Données projet'!$B$11,Paramètres!$A$1:$I$89,5,0)</f>
        <v>-5.4757265388616366E-13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496.71433459306451</v>
      </c>
      <c r="BJ190" s="59">
        <f t="shared" si="146"/>
        <v>206.75063396134982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208.75134376814313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208.75134376814313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355.09162485318728</v>
      </c>
      <c r="T191" s="59">
        <f t="shared" si="142"/>
        <v>320.06572891923685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19.406248360135748</v>
      </c>
      <c r="AA191" s="21">
        <f>EXP(-LN(2)/25)*AA190+(1-EXP(-LN(2)/25))/(LN(2)/25)*Calculateur!V191*Calculateur!X191*VLOOKUP('Données projet'!$B$9,Paramètres!$A$1:$I$89,3,0)*0.475*44/12</f>
        <v>1.9002031313196164</v>
      </c>
      <c r="AB191" s="21">
        <f>EXP(-LN(2)/2)*AB190+(1-EXP(-LN(2)/2))/(LN(2)/2)*V191*Y191*VLOOKUP('Données projet'!$B$9,Paramètres!$A$1:$I$89,3,0)*0.475*44/12</f>
        <v>6.4795579619081556E-16</v>
      </c>
      <c r="AC191" s="22">
        <f t="shared" si="163"/>
        <v>21.306451491455366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-5.4001247917767614E-13</v>
      </c>
      <c r="AJ191" s="13">
        <f>AI191*VLOOKUP('Données projet'!$B$10,Paramètres!$A$1:$I$89,3,0)*VLOOKUP('Données projet'!$B$10,Paramètres!$A$1:$I$89,5,0)</f>
        <v>-4.8860329115996133E-13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447.91110718952615</v>
      </c>
      <c r="AO191" s="59">
        <f t="shared" si="144"/>
        <v>188.87492758536894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182.61778030877898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182.61778030877898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-5.4001247917767614E-13</v>
      </c>
      <c r="BE191" s="13">
        <f>BD191*VLOOKUP('Données projet'!$B$11,Paramètres!$A$1:$I$89,3,0)*VLOOKUP('Données projet'!$B$11,Paramètres!$A$1:$I$89,5,0)</f>
        <v>-5.4757265388616366E-13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496.71433459306451</v>
      </c>
      <c r="BJ191" s="59">
        <f t="shared" si="146"/>
        <v>206.75063396134982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204.65785724259717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204.65785724259717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355.09162485318728</v>
      </c>
      <c r="T192" s="59">
        <f t="shared" si="142"/>
        <v>320.06572891923685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19.025703666436215</v>
      </c>
      <c r="AA192" s="21">
        <f>EXP(-LN(2)/25)*AA191+(1-EXP(-LN(2)/25))/(LN(2)/25)*Calculateur!V192*Calculateur!X192*VLOOKUP('Données projet'!$B$9,Paramètres!$A$1:$I$89,3,0)*0.475*44/12</f>
        <v>1.8482419767663418</v>
      </c>
      <c r="AB192" s="21">
        <f>EXP(-LN(2)/2)*AB191+(1-EXP(-LN(2)/2))/(LN(2)/2)*V192*Y192*VLOOKUP('Données projet'!$B$9,Paramètres!$A$1:$I$89,3,0)*0.475*44/12</f>
        <v>4.581739373956542E-16</v>
      </c>
      <c r="AC192" s="22">
        <f t="shared" si="163"/>
        <v>20.873945643202557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-5.4001247917767614E-13</v>
      </c>
      <c r="AJ192" s="13">
        <f>AI192*VLOOKUP('Données projet'!$B$10,Paramètres!$A$1:$I$89,3,0)*VLOOKUP('Données projet'!$B$10,Paramètres!$A$1:$I$89,5,0)</f>
        <v>-4.8860329115996133E-13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447.91110718952615</v>
      </c>
      <c r="AO192" s="59">
        <f t="shared" si="144"/>
        <v>188.87492758536894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179.03675702277138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179.03675702277138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-5.4001247917767614E-13</v>
      </c>
      <c r="BE192" s="13">
        <f>BD192*VLOOKUP('Données projet'!$B$11,Paramètres!$A$1:$I$89,3,0)*VLOOKUP('Données projet'!$B$11,Paramètres!$A$1:$I$89,5,0)</f>
        <v>-5.4757265388616366E-13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496.71433459306451</v>
      </c>
      <c r="BJ192" s="59">
        <f t="shared" si="146"/>
        <v>206.75063396134982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200.64464149103694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200.64464149103694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355.09162485318728</v>
      </c>
      <c r="T193" s="59">
        <f t="shared" si="142"/>
        <v>320.06572891923685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18.652621222070785</v>
      </c>
      <c r="AA193" s="21">
        <f>EXP(-LN(2)/25)*AA192+(1-EXP(-LN(2)/25))/(LN(2)/25)*Calculateur!V193*Calculateur!X193*VLOOKUP('Données projet'!$B$9,Paramètres!$A$1:$I$89,3,0)*0.475*44/12</f>
        <v>1.7977017027168449</v>
      </c>
      <c r="AB193" s="21">
        <f>EXP(-LN(2)/2)*AB192+(1-EXP(-LN(2)/2))/(LN(2)/2)*V193*Y193*VLOOKUP('Données projet'!$B$9,Paramètres!$A$1:$I$89,3,0)*0.475*44/12</f>
        <v>3.2397789809540778E-16</v>
      </c>
      <c r="AC193" s="22">
        <f t="shared" si="163"/>
        <v>20.450322924787631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-5.4001247917767614E-13</v>
      </c>
      <c r="AJ193" s="13">
        <f>AI193*VLOOKUP('Données projet'!$B$10,Paramètres!$A$1:$I$89,3,0)*VLOOKUP('Données projet'!$B$10,Paramètres!$A$1:$I$89,5,0)</f>
        <v>-4.8860329115996133E-13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447.91110718952615</v>
      </c>
      <c r="AO193" s="59">
        <f t="shared" si="144"/>
        <v>188.87492758536894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175.52595541919385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175.52595541919385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-5.4001247917767614E-13</v>
      </c>
      <c r="BE193" s="13">
        <f>BD193*VLOOKUP('Données projet'!$B$11,Paramètres!$A$1:$I$89,3,0)*VLOOKUP('Données projet'!$B$11,Paramètres!$A$1:$I$89,5,0)</f>
        <v>-5.4757265388616366E-13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496.71433459306451</v>
      </c>
      <c r="BJ193" s="59">
        <f t="shared" si="146"/>
        <v>206.75063396134982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196.71012245254488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196.71012245254488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355.09162485318728</v>
      </c>
      <c r="T194" s="59">
        <f t="shared" si="142"/>
        <v>320.06572891923685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18.286854696881541</v>
      </c>
      <c r="AA194" s="21">
        <f>EXP(-LN(2)/25)*AA193+(1-EXP(-LN(2)/25))/(LN(2)/25)*Calculateur!V194*Calculateur!X194*VLOOKUP('Données projet'!$B$9,Paramètres!$A$1:$I$89,3,0)*0.475*44/12</f>
        <v>1.7485434551190289</v>
      </c>
      <c r="AB194" s="21">
        <f>EXP(-LN(2)/2)*AB193+(1-EXP(-LN(2)/2))/(LN(2)/2)*V194*Y194*VLOOKUP('Données projet'!$B$9,Paramètres!$A$1:$I$89,3,0)*0.475*44/12</f>
        <v>2.290869686978271E-16</v>
      </c>
      <c r="AC194" s="22">
        <f t="shared" si="163"/>
        <v>20.035398152000571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-5.4001247917767614E-13</v>
      </c>
      <c r="AJ194" s="13">
        <f>AI194*VLOOKUP('Données projet'!$B$10,Paramètres!$A$1:$I$89,3,0)*VLOOKUP('Données projet'!$B$10,Paramètres!$A$1:$I$89,5,0)</f>
        <v>-4.8860329115996133E-13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447.91110718952615</v>
      </c>
      <c r="AO194" s="59">
        <f t="shared" si="144"/>
        <v>188.87492758536894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172.08399849368493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172.08399849368493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-5.4001247917767614E-13</v>
      </c>
      <c r="BE194" s="13">
        <f>BD194*VLOOKUP('Données projet'!$B$11,Paramètres!$A$1:$I$89,3,0)*VLOOKUP('Données projet'!$B$11,Paramètres!$A$1:$I$89,5,0)</f>
        <v>-5.4757265388616366E-13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496.71433459306451</v>
      </c>
      <c r="BJ194" s="59">
        <f t="shared" si="146"/>
        <v>206.75063396134982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192.85275693257799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192.85275693257799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355.09162485318728</v>
      </c>
      <c r="T195" s="59">
        <f t="shared" si="142"/>
        <v>320.06572891923685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17.928260630155705</v>
      </c>
      <c r="AA195" s="21">
        <f>EXP(-LN(2)/25)*AA194+(1-EXP(-LN(2)/25))/(LN(2)/25)*Calculateur!V195*Calculateur!X195*VLOOKUP('Données projet'!$B$9,Paramètres!$A$1:$I$89,3,0)*0.475*44/12</f>
        <v>1.7007294423868951</v>
      </c>
      <c r="AB195" s="21">
        <f>EXP(-LN(2)/2)*AB194+(1-EXP(-LN(2)/2))/(LN(2)/2)*V195*Y195*VLOOKUP('Données projet'!$B$9,Paramètres!$A$1:$I$89,3,0)*0.475*44/12</f>
        <v>1.6198894904770389E-16</v>
      </c>
      <c r="AC195" s="22">
        <f t="shared" si="163"/>
        <v>19.628990072542599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-5.4001247917767614E-13</v>
      </c>
      <c r="AJ195" s="13">
        <f>AI195*VLOOKUP('Données projet'!$B$10,Paramètres!$A$1:$I$89,3,0)*VLOOKUP('Données projet'!$B$10,Paramètres!$A$1:$I$89,5,0)</f>
        <v>-4.8860329115996133E-13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447.91110718952615</v>
      </c>
      <c r="AO195" s="59">
        <f t="shared" si="144"/>
        <v>188.87492758536894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168.70953624409881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168.70953624409881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-5.4001247917767614E-13</v>
      </c>
      <c r="BE195" s="13">
        <f>BD195*VLOOKUP('Données projet'!$B$11,Paramètres!$A$1:$I$89,3,0)*VLOOKUP('Données projet'!$B$11,Paramètres!$A$1:$I$89,5,0)</f>
        <v>-5.4757265388616366E-13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496.71433459306451</v>
      </c>
      <c r="BJ195" s="59">
        <f t="shared" si="146"/>
        <v>206.75063396134982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189.07103199769702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189.07103199769702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355.09162485318728</v>
      </c>
      <c r="T196" s="59">
        <f t="shared" si="142"/>
        <v>320.06572891923685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17.57669837435758</v>
      </c>
      <c r="AA196" s="21">
        <f>EXP(-LN(2)/25)*AA195+(1-EXP(-LN(2)/25))/(LN(2)/25)*Calculateur!V196*Calculateur!X196*VLOOKUP('Données projet'!$B$9,Paramètres!$A$1:$I$89,3,0)*0.475*44/12</f>
        <v>1.654222906347351</v>
      </c>
      <c r="AB196" s="21">
        <f>EXP(-LN(2)/2)*AB195+(1-EXP(-LN(2)/2))/(LN(2)/2)*V196*Y196*VLOOKUP('Données projet'!$B$9,Paramètres!$A$1:$I$89,3,0)*0.475*44/12</f>
        <v>1.1454348434891355E-16</v>
      </c>
      <c r="AC196" s="22">
        <f t="shared" si="163"/>
        <v>19.23092128070493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-5.4001247917767614E-13</v>
      </c>
      <c r="AJ196" s="13">
        <f>AI196*VLOOKUP('Données projet'!$B$10,Paramètres!$A$1:$I$89,3,0)*VLOOKUP('Données projet'!$B$10,Paramètres!$A$1:$I$89,5,0)</f>
        <v>-4.8860329115996133E-13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447.91110718952615</v>
      </c>
      <c r="AO196" s="59">
        <f t="shared" si="144"/>
        <v>188.87492758536894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165.40124514100836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165.40124514100836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-5.4001247917767614E-13</v>
      </c>
      <c r="BE196" s="13">
        <f>BD196*VLOOKUP('Données projet'!$B$11,Paramètres!$A$1:$I$89,3,0)*VLOOKUP('Données projet'!$B$11,Paramètres!$A$1:$I$89,5,0)</f>
        <v>-5.4757265388616366E-13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496.71433459306451</v>
      </c>
      <c r="BJ196" s="59">
        <f t="shared" si="146"/>
        <v>206.75063396134982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185.36346438216461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185.36346438216461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355.09162485318728</v>
      </c>
      <c r="T197" s="59">
        <f t="shared" ref="T197:T203" si="204">$T$3</f>
        <v>320.06572891923685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17.232030039963853</v>
      </c>
      <c r="AA197" s="21">
        <f>EXP(-LN(2)/25)*AA196+(1-EXP(-LN(2)/25))/(LN(2)/25)*Calculateur!V197*Calculateur!X197*VLOOKUP('Données projet'!$B$9,Paramètres!$A$1:$I$89,3,0)*0.475*44/12</f>
        <v>1.6089880939814809</v>
      </c>
      <c r="AB197" s="21">
        <f>EXP(-LN(2)/2)*AB196+(1-EXP(-LN(2)/2))/(LN(2)/2)*V197*Y197*VLOOKUP('Données projet'!$B$9,Paramètres!$A$1:$I$89,3,0)*0.475*44/12</f>
        <v>8.0994474523851945E-17</v>
      </c>
      <c r="AC197" s="22">
        <f t="shared" si="163"/>
        <v>18.841018133945333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-5.4001247917767614E-13</v>
      </c>
      <c r="AJ197" s="13">
        <f>AI197*VLOOKUP('Données projet'!$B$10,Paramètres!$A$1:$I$89,3,0)*VLOOKUP('Données projet'!$B$10,Paramètres!$A$1:$I$89,5,0)</f>
        <v>-4.8860329115996133E-13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447.91110718952615</v>
      </c>
      <c r="AO197" s="59">
        <f t="shared" ref="AO197:AO203" si="205">$AO$3</f>
        <v>188.87492758536894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162.15782760859116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162.15782760859116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-5.4001247917767614E-13</v>
      </c>
      <c r="BE197" s="13">
        <f>BD197*VLOOKUP('Données projet'!$B$11,Paramètres!$A$1:$I$89,3,0)*VLOOKUP('Données projet'!$B$11,Paramètres!$A$1:$I$89,5,0)</f>
        <v>-5.4757265388616366E-13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496.71433459306451</v>
      </c>
      <c r="BJ197" s="59">
        <f t="shared" ref="BJ197:BJ203" si="206">$BJ$3</f>
        <v>206.75063396134982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181.72859990617982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181.72859990617982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355.09162485318728</v>
      </c>
      <c r="T198" s="59">
        <f t="shared" si="204"/>
        <v>320.06572891923685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16.894120441380661</v>
      </c>
      <c r="AA198" s="21">
        <f>EXP(-LN(2)/25)*AA197+(1-EXP(-LN(2)/25))/(LN(2)/25)*Calculateur!V198*Calculateur!X198*VLOOKUP('Données projet'!$B$9,Paramètres!$A$1:$I$89,3,0)*0.475*44/12</f>
        <v>1.5649902299385507</v>
      </c>
      <c r="AB198" s="21">
        <f>EXP(-LN(2)/2)*AB197+(1-EXP(-LN(2)/2))/(LN(2)/2)*V198*Y198*VLOOKUP('Données projet'!$B$9,Paramètres!$A$1:$I$89,3,0)*0.475*44/12</f>
        <v>5.7271742174456775E-17</v>
      </c>
      <c r="AC198" s="22">
        <f t="shared" si="163"/>
        <v>18.459110671319213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-5.4001247917767614E-13</v>
      </c>
      <c r="AJ198" s="13">
        <f>AI198*VLOOKUP('Données projet'!$B$10,Paramètres!$A$1:$I$89,3,0)*VLOOKUP('Données projet'!$B$10,Paramètres!$A$1:$I$89,5,0)</f>
        <v>-4.8860329115996133E-13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447.91110718952615</v>
      </c>
      <c r="AO198" s="59">
        <f t="shared" si="205"/>
        <v>188.87492758536894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158.97801151569533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158.97801151569533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-5.4001247917767614E-13</v>
      </c>
      <c r="BE198" s="13">
        <f>BD198*VLOOKUP('Données projet'!$B$11,Paramètres!$A$1:$I$89,3,0)*VLOOKUP('Données projet'!$B$11,Paramètres!$A$1:$I$89,5,0)</f>
        <v>-5.4757265388616366E-13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496.71433459306451</v>
      </c>
      <c r="BJ198" s="59">
        <f t="shared" si="206"/>
        <v>206.75063396134982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178.16501290552068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178.16501290552068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355.09162485318728</v>
      </c>
      <c r="T199" s="59">
        <f t="shared" si="204"/>
        <v>320.06572891923685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16.562837043921181</v>
      </c>
      <c r="AA199" s="21">
        <f>EXP(-LN(2)/25)*AA198+(1-EXP(-LN(2)/25))/(LN(2)/25)*Calculateur!V199*Calculateur!X199*VLOOKUP('Données projet'!$B$9,Paramètres!$A$1:$I$89,3,0)*0.475*44/12</f>
        <v>1.5221954898016217</v>
      </c>
      <c r="AB199" s="21">
        <f>EXP(-LN(2)/2)*AB198+(1-EXP(-LN(2)/2))/(LN(2)/2)*V199*Y199*VLOOKUP('Données projet'!$B$9,Paramètres!$A$1:$I$89,3,0)*0.475*44/12</f>
        <v>4.0497237261925973E-17</v>
      </c>
      <c r="AC199" s="22">
        <f t="shared" si="163"/>
        <v>18.085032533722803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-5.4001247917767614E-13</v>
      </c>
      <c r="AJ199" s="13">
        <f>AI199*VLOOKUP('Données projet'!$B$10,Paramètres!$A$1:$I$89,3,0)*VLOOKUP('Données projet'!$B$10,Paramètres!$A$1:$I$89,5,0)</f>
        <v>-4.8860329115996133E-13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447.91110718952615</v>
      </c>
      <c r="AO199" s="59">
        <f t="shared" si="205"/>
        <v>188.87492758536894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155.86054967688486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155.86054967688486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-5.4001247917767614E-13</v>
      </c>
      <c r="BE199" s="13">
        <f>BD199*VLOOKUP('Données projet'!$B$11,Paramètres!$A$1:$I$89,3,0)*VLOOKUP('Données projet'!$B$11,Paramètres!$A$1:$I$89,5,0)</f>
        <v>-5.4757265388616366E-13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496.71433459306451</v>
      </c>
      <c r="BJ199" s="59">
        <f t="shared" si="206"/>
        <v>206.75063396134982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174.67130567237103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174.67130567237103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355.09162485318728</v>
      </c>
      <c r="T200" s="59">
        <f t="shared" si="204"/>
        <v>320.06572891923685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16.238049911822962</v>
      </c>
      <c r="AA200" s="21">
        <f>EXP(-LN(2)/25)*AA199+(1-EXP(-LN(2)/25))/(LN(2)/25)*Calculateur!V200*Calculateur!X200*VLOOKUP('Données projet'!$B$9,Paramètres!$A$1:$I$89,3,0)*0.475*44/12</f>
        <v>1.4805709740842146</v>
      </c>
      <c r="AB200" s="21">
        <f>EXP(-LN(2)/2)*AB199+(1-EXP(-LN(2)/2))/(LN(2)/2)*V200*Y200*VLOOKUP('Données projet'!$B$9,Paramètres!$A$1:$I$89,3,0)*0.475*44/12</f>
        <v>2.8635871087228388E-17</v>
      </c>
      <c r="AC200" s="22">
        <f t="shared" si="163"/>
        <v>17.718620885907178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-5.4001247917767614E-13</v>
      </c>
      <c r="AJ200" s="13">
        <f>AI200*VLOOKUP('Données projet'!$B$10,Paramètres!$A$1:$I$89,3,0)*VLOOKUP('Données projet'!$B$10,Paramètres!$A$1:$I$89,5,0)</f>
        <v>-4.8860329115996133E-13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447.91110718952615</v>
      </c>
      <c r="AO200" s="59">
        <f t="shared" si="205"/>
        <v>188.87492758536894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152.80421936326951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152.80421936326951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-5.4001247917767614E-13</v>
      </c>
      <c r="BE200" s="13">
        <f>BD200*VLOOKUP('Données projet'!$B$11,Paramètres!$A$1:$I$89,3,0)*VLOOKUP('Données projet'!$B$11,Paramètres!$A$1:$I$89,5,0)</f>
        <v>-5.4757265388616366E-13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496.71433459306451</v>
      </c>
      <c r="BJ200" s="59">
        <f t="shared" si="206"/>
        <v>206.75063396134982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171.24610790711245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171.24610790711245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355.09162485318728</v>
      </c>
      <c r="T201" s="59">
        <f t="shared" si="204"/>
        <v>320.06572891923685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15.919631657284599</v>
      </c>
      <c r="AA201" s="21">
        <f>EXP(-LN(2)/25)*AA200+(1-EXP(-LN(2)/25))/(LN(2)/25)*Calculateur!V201*Calculateur!X201*VLOOKUP('Données projet'!$B$9,Paramètres!$A$1:$I$89,3,0)*0.475*44/12</f>
        <v>1.440084682938038</v>
      </c>
      <c r="AB201" s="21">
        <f>EXP(-LN(2)/2)*AB200+(1-EXP(-LN(2)/2))/(LN(2)/2)*V201*Y201*VLOOKUP('Données projet'!$B$9,Paramètres!$A$1:$I$89,3,0)*0.475*44/12</f>
        <v>2.0248618630962986E-17</v>
      </c>
      <c r="AC201" s="22">
        <f t="shared" si="163"/>
        <v>17.359716340222636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-5.4001247917767614E-13</v>
      </c>
      <c r="AJ201" s="13">
        <f>AI201*VLOOKUP('Données projet'!$B$10,Paramètres!$A$1:$I$89,3,0)*VLOOKUP('Données projet'!$B$10,Paramètres!$A$1:$I$89,5,0)</f>
        <v>-4.8860329115996133E-13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447.91110718952615</v>
      </c>
      <c r="AO201" s="59">
        <f t="shared" si="205"/>
        <v>188.87492758536894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149.80782182292674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149.80782182292674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-5.4001247917767614E-13</v>
      </c>
      <c r="BE201" s="13">
        <f>BD201*VLOOKUP('Données projet'!$B$11,Paramètres!$A$1:$I$89,3,0)*VLOOKUP('Données projet'!$B$11,Paramètres!$A$1:$I$89,5,0)</f>
        <v>-5.4757265388616366E-13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496.71433459306451</v>
      </c>
      <c r="BJ201" s="59">
        <f t="shared" si="206"/>
        <v>206.75063396134982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167.88807618086622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167.88807618086622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355.09162485318728</v>
      </c>
      <c r="T202" s="59">
        <f t="shared" si="204"/>
        <v>320.06572891923685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15.607457390501775</v>
      </c>
      <c r="AA202" s="21">
        <f>EXP(-LN(2)/25)*AA201+(1-EXP(-LN(2)/25))/(LN(2)/25)*Calculateur!V202*Calculateur!X202*VLOOKUP('Données projet'!$B$9,Paramètres!$A$1:$I$89,3,0)*0.475*44/12</f>
        <v>1.4007054915523354</v>
      </c>
      <c r="AB202" s="21">
        <f>EXP(-LN(2)/2)*AB201+(1-EXP(-LN(2)/2))/(LN(2)/2)*V202*Y202*VLOOKUP('Données projet'!$B$9,Paramètres!$A$1:$I$89,3,0)*0.475*44/12</f>
        <v>1.4317935543614194E-17</v>
      </c>
      <c r="AC202" s="22">
        <f t="shared" si="163"/>
        <v>17.008162882054112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-5.4001247917767614E-13</v>
      </c>
      <c r="AJ202" s="13">
        <f>AI202*VLOOKUP('Données projet'!$B$10,Paramètres!$A$1:$I$89,3,0)*VLOOKUP('Données projet'!$B$10,Paramètres!$A$1:$I$89,5,0)</f>
        <v>-4.8860329115996133E-13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447.91110718952615</v>
      </c>
      <c r="AO202" s="59">
        <f t="shared" si="205"/>
        <v>188.87492758536894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146.87018181072804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146.87018181072804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-5.4001247917767614E-13</v>
      </c>
      <c r="BE202" s="13">
        <f>BD202*VLOOKUP('Données projet'!$B$11,Paramètres!$A$1:$I$89,3,0)*VLOOKUP('Données projet'!$B$11,Paramètres!$A$1:$I$89,5,0)</f>
        <v>-5.4757265388616366E-13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496.71433459306451</v>
      </c>
      <c r="BJ202" s="59">
        <f t="shared" si="206"/>
        <v>206.75063396134982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164.5958934085746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164.5958934085746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355.09162485318728</v>
      </c>
      <c r="T203" s="59">
        <f t="shared" si="204"/>
        <v>320.06572891923685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15.301404670683061</v>
      </c>
      <c r="AA203" s="21">
        <f>EXP(-LN(2)/25)*AA202+(1-EXP(-LN(2)/25))/(LN(2)/25)*Calculateur!V203*Calculateur!X203*VLOOKUP('Données projet'!$B$9,Paramètres!$A$1:$I$89,3,0)*0.475*44/12</f>
        <v>1.3624031262259364</v>
      </c>
      <c r="AB203" s="21">
        <f>EXP(-LN(2)/2)*AB202+(1-EXP(-LN(2)/2))/(LN(2)/2)*V203*Y203*VLOOKUP('Données projet'!$B$9,Paramètres!$A$1:$I$89,3,0)*0.475*44/12</f>
        <v>1.0124309315481493E-17</v>
      </c>
      <c r="AC203" s="22">
        <f t="shared" si="163"/>
        <v>16.663807796908998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-5.4001247917767614E-13</v>
      </c>
      <c r="AJ203" s="13">
        <f>AI203*VLOOKUP('Données projet'!$B$10,Paramètres!$A$1:$I$89,3,0)*VLOOKUP('Données projet'!$B$10,Paramètres!$A$1:$I$89,5,0)</f>
        <v>-4.8860329115996133E-13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447.91110718952615</v>
      </c>
      <c r="AO203" s="59">
        <f t="shared" si="205"/>
        <v>188.87492758536894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143.99014712738509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143.99014712738509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-5.4001247917767614E-13</v>
      </c>
      <c r="BE203" s="13">
        <f>BD203*VLOOKUP('Données projet'!$B$11,Paramètres!$A$1:$I$89,3,0)*VLOOKUP('Données projet'!$B$11,Paramètres!$A$1:$I$89,5,0)</f>
        <v>-5.4757265388616366E-13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496.71433459306451</v>
      </c>
      <c r="BJ203" s="59">
        <f t="shared" si="206"/>
        <v>206.75063396134982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161.36826833241437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161.36826833241437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1.2909310311160476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1.1549646791274306</v>
      </c>
      <c r="BA205" s="82">
        <f>EXP(LN('Données projet'!B88)/'Données projet'!A88)</f>
        <v>1.1549646791274306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" thickBot="1" x14ac:dyDescent="0.4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3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" thickBot="1" x14ac:dyDescent="0.4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5">
      <c r="A93" s="122" t="s">
        <v>68</v>
      </c>
    </row>
    <row r="94" spans="1:14" x14ac:dyDescent="0.35">
      <c r="A94" s="122" t="s">
        <v>69</v>
      </c>
    </row>
    <row r="95" spans="1:14" x14ac:dyDescent="0.3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0" zoomScale="90" zoomScaleNormal="90" workbookViewId="0">
      <selection activeCell="I24" sqref="I24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laricio</v>
      </c>
      <c r="B6" s="146">
        <f>'Données projet'!D9</f>
        <v>1.9</v>
      </c>
      <c r="C6" s="147">
        <f ca="1">IF(OR('Données projet'!B9="",'Données projet'!C9="",'Données projet'!C9=0%),0,Calculateur!S3)</f>
        <v>355.09162485318728</v>
      </c>
      <c r="D6" s="147">
        <f>IF(OR('Données projet'!B9="",'Données projet'!C9="",'Données projet'!C9=0%),0,Calculateur!T3)</f>
        <v>320.06572891923685</v>
      </c>
      <c r="E6" s="147">
        <f ca="1">MIN(C6,D6)</f>
        <v>320.06572891923685</v>
      </c>
      <c r="F6" s="147">
        <f ca="1">E6*B6</f>
        <v>608.12488494654997</v>
      </c>
      <c r="G6" s="147">
        <f ca="1">F6*(100%-'Données projet'!$C$24)*(100%-'Données projet'!$C$25)*(100%-'Données projet'!$C$26)*(100%-'Données projet'!$C$27)</f>
        <v>492.58115680670551</v>
      </c>
      <c r="H6" s="148">
        <f>IF(OR('Données projet'!B9="",'Données projet'!C9="",'Données projet'!C9=0%),0,AVERAGE(Calculateur!$AC$3:$AC$33)*B6)</f>
        <v>15.830411239603986</v>
      </c>
      <c r="I6" s="149">
        <f>H6*(100%-'Données projet'!$C$24)*(100%-'Données projet'!$C$25)*(100%-'Données projet'!$C$26)*(100%-'Données projet'!$C$27)</f>
        <v>12.822633104079229</v>
      </c>
      <c r="J6" s="150">
        <f>IF(OR('Données projet'!B9="",'Données projet'!C9="",'Données projet'!C9=0%),0,SUM(Calculateur!$V$3:$V$33)*VLOOKUP('Données projet'!$B$9,Paramètres!$A$1:$I$89,9,0)*B6)</f>
        <v>116.68645384615382</v>
      </c>
      <c r="K6" s="151">
        <f>J6*(100%-'Données projet'!$C$24)*(100%-'Données projet'!$C$25)*(100%-'Données projet'!$C$26)*(100%-'Données projet'!$C$27)</f>
        <v>94.516027615384601</v>
      </c>
      <c r="L6" s="152">
        <f ca="1">G6+I6+K6</f>
        <v>599.91981752616937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sessile</v>
      </c>
      <c r="B7" s="154">
        <f>'Données projet'!D10</f>
        <v>0.95</v>
      </c>
      <c r="C7" s="147">
        <f ca="1">IF(OR('Données projet'!B10="",'Données projet'!C10="",'Données projet'!C10=0%),0,Calculateur!AN3)</f>
        <v>447.91110718952615</v>
      </c>
      <c r="D7" s="147">
        <f>IF(OR('Données projet'!B10="",'Données projet'!C10="",'Données projet'!C10=0%),0,Calculateur!AO3)</f>
        <v>188.87492758536894</v>
      </c>
      <c r="E7" s="147">
        <f t="shared" ref="E7:E15" ca="1" si="0">MIN(C7,D7)</f>
        <v>188.87492758536894</v>
      </c>
      <c r="F7" s="147">
        <f t="shared" ref="F7:F15" ca="1" si="1">E7*B7</f>
        <v>179.43118120610049</v>
      </c>
      <c r="G7" s="147">
        <f ca="1">F7*(100%-'Données projet'!$C$24)*(100%-'Données projet'!$C$25)*(100%-'Données projet'!$C$26)*(100%-'Données projet'!$C$27)</f>
        <v>145.3392567769414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145.3392567769414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pubescent</v>
      </c>
      <c r="B8" s="154">
        <f>'Données projet'!D11</f>
        <v>0.95</v>
      </c>
      <c r="C8" s="147">
        <f ca="1">IF(OR('Données projet'!B11="",'Données projet'!C11="",'Données projet'!C11=0%),0,Calculateur!BI3)</f>
        <v>496.71433459306451</v>
      </c>
      <c r="D8" s="147">
        <f>IF(OR('Données projet'!B11="",'Données projet'!C11="",'Données projet'!C11=0%),0,Calculateur!BJ3)</f>
        <v>206.75063396134982</v>
      </c>
      <c r="E8" s="147">
        <f t="shared" ca="1" si="0"/>
        <v>206.75063396134982</v>
      </c>
      <c r="F8" s="147">
        <f t="shared" ca="1" si="1"/>
        <v>196.41310226328233</v>
      </c>
      <c r="G8" s="147">
        <f ca="1">F8*(100%-'Données projet'!$C$24)*(100%-'Données projet'!$C$25)*(100%-'Données projet'!$C$26)*(100%-'Données projet'!$C$27)</f>
        <v>159.09461283325871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159.09461283325871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983.96916841593281</v>
      </c>
      <c r="G16" s="166">
        <f t="shared" ca="1" si="3"/>
        <v>797.01502641690558</v>
      </c>
      <c r="H16" s="167">
        <f t="shared" si="3"/>
        <v>15.830411239603986</v>
      </c>
      <c r="I16" s="167">
        <f t="shared" si="3"/>
        <v>12.822633104079229</v>
      </c>
      <c r="J16" s="168">
        <f t="shared" si="3"/>
        <v>116.68645384615382</v>
      </c>
      <c r="K16" s="168">
        <f t="shared" si="3"/>
        <v>94.516027615384601</v>
      </c>
      <c r="L16" s="169">
        <f t="shared" ca="1" si="3"/>
        <v>904.35368713636944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1" zoomScale="80" zoomScaleNormal="80" workbookViewId="0">
      <selection activeCell="I25" sqref="I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1397.6591645824085</v>
      </c>
      <c r="U10" s="178">
        <f>'Données projet'!D9</f>
        <v>1.9</v>
      </c>
      <c r="V10" s="177">
        <f>U10*T10</f>
        <v>2655.552412706576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717.83755277868727</v>
      </c>
      <c r="U11" s="178">
        <f>'Données projet'!D10</f>
        <v>0.95</v>
      </c>
      <c r="V11" s="177">
        <f t="shared" ref="V11" si="0">U11*T11</f>
        <v>681.94567513975289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755.12869153689758</v>
      </c>
      <c r="U12" s="178">
        <f>'Données projet'!D11</f>
        <v>0.95</v>
      </c>
      <c r="V12" s="177">
        <f t="shared" ref="V12:V19" si="1">U12*T12</f>
        <v>717.37225696005271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>
        <v>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89"/>
      <c r="J18" s="202"/>
      <c r="K18" s="208"/>
      <c r="L18" s="259" t="s">
        <v>308</v>
      </c>
      <c r="M18" s="261"/>
      <c r="N18" s="192">
        <v>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89"/>
      <c r="H19" s="212" t="s">
        <v>72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89"/>
      <c r="H20" s="190">
        <v>1</v>
      </c>
      <c r="I20" s="191">
        <v>8440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>
        <v>1</v>
      </c>
      <c r="I21" s="191">
        <v>2760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>
        <v>1</v>
      </c>
      <c r="I22" s="191">
        <v>906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19</v>
      </c>
      <c r="B23" s="181">
        <f>'Données projet'!D36</f>
        <v>46.53846153846154</v>
      </c>
      <c r="C23" s="193">
        <v>10</v>
      </c>
      <c r="D23" s="182">
        <f>B23*C23</f>
        <v>465.38461538461542</v>
      </c>
      <c r="E23" s="193">
        <v>150</v>
      </c>
      <c r="F23" s="230"/>
      <c r="H23" s="190"/>
      <c r="I23" s="191"/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-39966.947837011801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24</v>
      </c>
      <c r="B24" s="181">
        <f>'Données projet'!D37</f>
        <v>40.41538461538461</v>
      </c>
      <c r="C24" s="193">
        <v>10</v>
      </c>
      <c r="D24" s="182">
        <f t="shared" ref="D24:D42" si="2">B24*C24</f>
        <v>404.15384615384608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55.869230769230761</v>
      </c>
      <c r="C25" s="193">
        <v>10</v>
      </c>
      <c r="D25" s="182">
        <f t="shared" si="2"/>
        <v>558.69230769230762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>
        <v>0</v>
      </c>
      <c r="Q25" s="234"/>
      <c r="R25" s="23"/>
      <c r="S25" s="186" t="s">
        <v>319</v>
      </c>
      <c r="T25" s="303">
        <f ca="1">T23-T24</f>
        <v>-39966.947837011801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37</v>
      </c>
      <c r="B26" s="181">
        <f>'Données projet'!D39</f>
        <v>43.623076923076923</v>
      </c>
      <c r="C26" s="193">
        <v>15</v>
      </c>
      <c r="D26" s="182">
        <f t="shared" si="2"/>
        <v>654.34615384615381</v>
      </c>
      <c r="E26" s="193">
        <v>150</v>
      </c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46</v>
      </c>
      <c r="B27" s="181">
        <f>'Données projet'!D40</f>
        <v>72.561538461538461</v>
      </c>
      <c r="C27" s="193">
        <v>25</v>
      </c>
      <c r="D27" s="182">
        <f t="shared" si="2"/>
        <v>1814.0384615384614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56</v>
      </c>
      <c r="B28" s="181">
        <f>'Données projet'!D41</f>
        <v>60.092307692307692</v>
      </c>
      <c r="C28" s="193">
        <v>25</v>
      </c>
      <c r="D28" s="182">
        <f t="shared" si="2"/>
        <v>1502.3076923076924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66</v>
      </c>
      <c r="B29" s="181">
        <f>'Données projet'!D42</f>
        <v>68.146153846153851</v>
      </c>
      <c r="C29" s="193">
        <v>25</v>
      </c>
      <c r="D29" s="182">
        <f t="shared" si="2"/>
        <v>1703.6538461538462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76</v>
      </c>
      <c r="B30" s="181">
        <f>'Données projet'!D43</f>
        <v>520.22307692307686</v>
      </c>
      <c r="C30" s="193">
        <v>30</v>
      </c>
      <c r="D30" s="182">
        <f t="shared" si="2"/>
        <v>15606.692307692305</v>
      </c>
      <c r="E30" s="193">
        <v>150</v>
      </c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17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42</v>
      </c>
      <c r="B55" s="181">
        <f>'Données projet'!D63</f>
        <v>38.685897435897438</v>
      </c>
      <c r="C55" s="191">
        <v>10</v>
      </c>
      <c r="D55" s="179">
        <f t="shared" ref="D55:D73" si="4">B55*C55</f>
        <v>386.85897435897436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50</v>
      </c>
      <c r="B56" s="181">
        <f>'Données projet'!D64</f>
        <v>29.416666666666664</v>
      </c>
      <c r="C56" s="191">
        <v>10</v>
      </c>
      <c r="D56" s="179">
        <f t="shared" si="4"/>
        <v>294.16666666666663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58</v>
      </c>
      <c r="B57" s="181">
        <f>'Données projet'!D65</f>
        <v>35.88461538461538</v>
      </c>
      <c r="C57" s="191">
        <v>50</v>
      </c>
      <c r="D57" s="179">
        <f t="shared" si="4"/>
        <v>1794.2307692307691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66</v>
      </c>
      <c r="B58" s="181">
        <f>'Données projet'!D66</f>
        <v>39.166666666666664</v>
      </c>
      <c r="C58" s="191">
        <v>50</v>
      </c>
      <c r="D58" s="179">
        <f t="shared" si="4"/>
        <v>1958.3333333333333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74</v>
      </c>
      <c r="B59" s="181">
        <f>'Données projet'!D67</f>
        <v>36.865384615384613</v>
      </c>
      <c r="C59" s="191">
        <v>50</v>
      </c>
      <c r="D59" s="179">
        <f t="shared" si="4"/>
        <v>1843.2692307692307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84</v>
      </c>
      <c r="B60" s="181">
        <f>'Données projet'!D68</f>
        <v>47.256410256410255</v>
      </c>
      <c r="C60" s="191">
        <v>100</v>
      </c>
      <c r="D60" s="179">
        <f t="shared" si="4"/>
        <v>4725.6410256410254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94</v>
      </c>
      <c r="B61" s="181">
        <f>'Données projet'!D69</f>
        <v>47.243589743589745</v>
      </c>
      <c r="C61" s="191">
        <v>100</v>
      </c>
      <c r="D61" s="179">
        <f t="shared" si="4"/>
        <v>4724.3589743589746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104</v>
      </c>
      <c r="B62" s="181">
        <f>'Données projet'!D70</f>
        <v>45.987179487179482</v>
      </c>
      <c r="C62" s="191">
        <v>150</v>
      </c>
      <c r="D62" s="179">
        <f t="shared" si="4"/>
        <v>6898.076923076922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114</v>
      </c>
      <c r="B63" s="181">
        <f>'Données projet'!D71</f>
        <v>42.78846153846154</v>
      </c>
      <c r="C63" s="191">
        <v>150</v>
      </c>
      <c r="D63" s="179">
        <f t="shared" si="4"/>
        <v>6418.2692307692314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124</v>
      </c>
      <c r="B64" s="181">
        <f>'Données projet'!D72</f>
        <v>39.820512820512818</v>
      </c>
      <c r="C64" s="191">
        <v>150</v>
      </c>
      <c r="D64" s="179">
        <f t="shared" si="4"/>
        <v>5973.0769230769229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134</v>
      </c>
      <c r="B65" s="181">
        <f>'Données projet'!D73</f>
        <v>41.666666666666664</v>
      </c>
      <c r="C65" s="191">
        <v>200</v>
      </c>
      <c r="D65" s="179">
        <f t="shared" si="4"/>
        <v>8333.3333333333321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144</v>
      </c>
      <c r="B66" s="181">
        <f>'Données projet'!D74</f>
        <v>42.224358974358978</v>
      </c>
      <c r="C66" s="191">
        <v>200</v>
      </c>
      <c r="D66" s="179">
        <f t="shared" si="4"/>
        <v>8444.8717948717949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154</v>
      </c>
      <c r="B67" s="181">
        <f>'Données projet'!D75</f>
        <v>41.557692307692307</v>
      </c>
      <c r="C67" s="191">
        <v>200</v>
      </c>
      <c r="D67" s="179">
        <f t="shared" si="4"/>
        <v>8311.538461538461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164</v>
      </c>
      <c r="B68" s="181">
        <f>'Données projet'!D76</f>
        <v>44.814102564102562</v>
      </c>
      <c r="C68" s="191">
        <v>200</v>
      </c>
      <c r="D68" s="179">
        <f t="shared" si="4"/>
        <v>8962.8205128205118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174</v>
      </c>
      <c r="B69" s="181">
        <f>'Données projet'!D77</f>
        <v>162.38461538461539</v>
      </c>
      <c r="C69" s="191">
        <v>200</v>
      </c>
      <c r="D69" s="179">
        <f t="shared" si="4"/>
        <v>32476.923076923078</v>
      </c>
      <c r="E69" s="193">
        <v>150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177</v>
      </c>
      <c r="B70" s="181">
        <f>'Données projet'!D78</f>
        <v>87</v>
      </c>
      <c r="C70" s="191">
        <v>200</v>
      </c>
      <c r="D70" s="179">
        <f t="shared" si="4"/>
        <v>17400</v>
      </c>
      <c r="E70" s="193">
        <v>150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180</v>
      </c>
      <c r="B71" s="181">
        <f>'Données projet'!D79</f>
        <v>58.794871794871796</v>
      </c>
      <c r="C71" s="191">
        <v>200</v>
      </c>
      <c r="D71" s="179">
        <f t="shared" si="4"/>
        <v>11758.974358974359</v>
      </c>
      <c r="E71" s="193">
        <v>150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183</v>
      </c>
      <c r="B72" s="181">
        <f>'Données projet'!D80</f>
        <v>129.32692307692307</v>
      </c>
      <c r="C72" s="191">
        <v>200</v>
      </c>
      <c r="D72" s="179">
        <f t="shared" si="4"/>
        <v>25865.384615384613</v>
      </c>
      <c r="E72" s="193">
        <v>150</v>
      </c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18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42</v>
      </c>
      <c r="B86" s="181">
        <f>'Données projet'!D89</f>
        <v>38.685897435897438</v>
      </c>
      <c r="C86" s="191">
        <v>10</v>
      </c>
      <c r="D86" s="179">
        <f t="shared" ref="D86:D104" si="6">B86*C86</f>
        <v>386.85897435897436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50</v>
      </c>
      <c r="B87" s="181">
        <f>'Données projet'!D90</f>
        <v>29.416666666666664</v>
      </c>
      <c r="C87" s="191">
        <v>10</v>
      </c>
      <c r="D87" s="179">
        <f t="shared" si="6"/>
        <v>294.16666666666663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58</v>
      </c>
      <c r="B88" s="181">
        <f>'Données projet'!D91</f>
        <v>35.88461538461538</v>
      </c>
      <c r="C88" s="191">
        <v>50</v>
      </c>
      <c r="D88" s="179">
        <f t="shared" si="6"/>
        <v>1794.2307692307691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66</v>
      </c>
      <c r="B89" s="181">
        <f>'Données projet'!D92</f>
        <v>39.166666666666664</v>
      </c>
      <c r="C89" s="191">
        <v>50</v>
      </c>
      <c r="D89" s="179">
        <f t="shared" si="6"/>
        <v>1958.3333333333333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74</v>
      </c>
      <c r="B90" s="181">
        <f>'Données projet'!D93</f>
        <v>36.865384615384613</v>
      </c>
      <c r="C90" s="191">
        <v>50</v>
      </c>
      <c r="D90" s="179">
        <f t="shared" si="6"/>
        <v>1843.2692307692307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84</v>
      </c>
      <c r="B91" s="181">
        <f>'Données projet'!D94</f>
        <v>47.256410256410255</v>
      </c>
      <c r="C91" s="191">
        <v>100</v>
      </c>
      <c r="D91" s="179">
        <f t="shared" si="6"/>
        <v>4725.6410256410254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94</v>
      </c>
      <c r="B92" s="181">
        <f>'Données projet'!D95</f>
        <v>47.243589743589745</v>
      </c>
      <c r="C92" s="191">
        <v>100</v>
      </c>
      <c r="D92" s="179">
        <f t="shared" si="6"/>
        <v>4724.3589743589746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104</v>
      </c>
      <c r="B93" s="181">
        <f>'Données projet'!D96</f>
        <v>45.987179487179482</v>
      </c>
      <c r="C93" s="191">
        <v>150</v>
      </c>
      <c r="D93" s="179">
        <f t="shared" si="6"/>
        <v>6898.076923076922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114</v>
      </c>
      <c r="B94" s="181">
        <f>'Données projet'!D97</f>
        <v>42.78846153846154</v>
      </c>
      <c r="C94" s="191">
        <v>150</v>
      </c>
      <c r="D94" s="179">
        <f t="shared" si="6"/>
        <v>6418.2692307692314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124</v>
      </c>
      <c r="B95" s="181">
        <f>'Données projet'!D98</f>
        <v>39.820512820512818</v>
      </c>
      <c r="C95" s="191">
        <v>150</v>
      </c>
      <c r="D95" s="179">
        <f t="shared" si="6"/>
        <v>5973.0769230769229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134</v>
      </c>
      <c r="B96" s="181">
        <f>'Données projet'!D99</f>
        <v>41.666666666666664</v>
      </c>
      <c r="C96" s="191">
        <v>200</v>
      </c>
      <c r="D96" s="179">
        <f t="shared" si="6"/>
        <v>8333.3333333333321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144</v>
      </c>
      <c r="B97" s="181">
        <f>'Données projet'!D100</f>
        <v>42.224358974358978</v>
      </c>
      <c r="C97" s="191">
        <v>200</v>
      </c>
      <c r="D97" s="179">
        <f t="shared" si="6"/>
        <v>8444.8717948717949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154</v>
      </c>
      <c r="B98" s="181">
        <f>'Données projet'!D101</f>
        <v>41.557692307692307</v>
      </c>
      <c r="C98" s="191">
        <v>200</v>
      </c>
      <c r="D98" s="179">
        <f t="shared" si="6"/>
        <v>8311.538461538461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164</v>
      </c>
      <c r="B99" s="181">
        <f>'Données projet'!D102</f>
        <v>44.814102564102562</v>
      </c>
      <c r="C99" s="191">
        <v>200</v>
      </c>
      <c r="D99" s="179">
        <f t="shared" si="6"/>
        <v>8962.8205128205118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174</v>
      </c>
      <c r="B100" s="181">
        <f>'Données projet'!D103</f>
        <v>162.38461538461539</v>
      </c>
      <c r="C100" s="191">
        <v>200</v>
      </c>
      <c r="D100" s="179">
        <f t="shared" si="6"/>
        <v>32476.923076923078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177</v>
      </c>
      <c r="B101" s="181">
        <f>'Données projet'!D104</f>
        <v>87</v>
      </c>
      <c r="C101" s="191">
        <v>200</v>
      </c>
      <c r="D101" s="179">
        <f t="shared" si="6"/>
        <v>17400</v>
      </c>
      <c r="E101" s="193">
        <v>150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180</v>
      </c>
      <c r="B102" s="181">
        <f>'Données projet'!D105</f>
        <v>58.794871794871796</v>
      </c>
      <c r="C102" s="191">
        <v>200</v>
      </c>
      <c r="D102" s="179">
        <f t="shared" si="6"/>
        <v>11758.974358974359</v>
      </c>
      <c r="E102" s="193">
        <v>150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183</v>
      </c>
      <c r="B103" s="181">
        <f>'Données projet'!D106</f>
        <v>129.32692307692307</v>
      </c>
      <c r="C103" s="191">
        <v>200</v>
      </c>
      <c r="D103" s="179">
        <f t="shared" si="6"/>
        <v>25865.384615384613</v>
      </c>
      <c r="E103" s="193">
        <v>150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19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str">
        <f>IF(O109+1&lt;=MIN('Données projet'!$E$9:$E$18),O109+1,"STOP")</f>
        <v>STOP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01FFAF3E-2974-4ADA-A3A5-AFCC58E99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Mazeau guillaume</cp:lastModifiedBy>
  <cp:revision/>
  <dcterms:created xsi:type="dcterms:W3CDTF">2021-02-01T08:22:39Z</dcterms:created>
  <dcterms:modified xsi:type="dcterms:W3CDTF">2024-07-10T12:24:03Z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