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Deloitte France\53 - Chemazé\"/>
    </mc:Choice>
  </mc:AlternateContent>
  <bookViews>
    <workbookView xWindow="0" yWindow="0" windowWidth="28800" windowHeight="12435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7" i="1" l="1"/>
  <c r="D107" i="1" s="1"/>
  <c r="D106" i="1"/>
  <c r="B106" i="1"/>
  <c r="D105" i="1"/>
  <c r="B105" i="1"/>
  <c r="B104" i="1"/>
  <c r="D103" i="1"/>
  <c r="B103" i="1"/>
  <c r="B102" i="1"/>
  <c r="D101" i="1"/>
  <c r="B101" i="1"/>
  <c r="B100" i="1"/>
  <c r="D99" i="1"/>
  <c r="B99" i="1"/>
  <c r="B98" i="1"/>
  <c r="D97" i="1"/>
  <c r="B97" i="1"/>
  <c r="B96" i="1"/>
  <c r="D95" i="1"/>
  <c r="B95" i="1"/>
  <c r="B94" i="1"/>
  <c r="D93" i="1"/>
  <c r="B93" i="1"/>
  <c r="B92" i="1"/>
  <c r="D91" i="1"/>
  <c r="B91" i="1"/>
  <c r="B90" i="1"/>
  <c r="D89" i="1"/>
  <c r="B89" i="1"/>
  <c r="B88" i="1"/>
  <c r="D69" i="1"/>
  <c r="B69" i="1"/>
  <c r="B68" i="1"/>
  <c r="D67" i="1"/>
  <c r="B67" i="1"/>
  <c r="B66" i="1"/>
  <c r="D65" i="1"/>
  <c r="B65" i="1"/>
  <c r="B64" i="1"/>
  <c r="B63" i="1"/>
  <c r="D199" i="1" l="1"/>
  <c r="B199" i="1"/>
  <c r="B198" i="1"/>
  <c r="D197" i="1"/>
  <c r="B197" i="1"/>
  <c r="B196" i="1"/>
  <c r="D195" i="1"/>
  <c r="B195" i="1"/>
  <c r="B194" i="1"/>
  <c r="B193" i="1"/>
  <c r="D121" i="1"/>
  <c r="B121" i="1"/>
  <c r="B120" i="1"/>
  <c r="D119" i="1"/>
  <c r="B119" i="1"/>
  <c r="B118" i="1"/>
  <c r="D117" i="1"/>
  <c r="B117" i="1"/>
  <c r="B116" i="1"/>
  <c r="B115" i="1"/>
  <c r="D55" i="1"/>
  <c r="B55" i="1"/>
  <c r="D54" i="1"/>
  <c r="B54" i="1"/>
  <c r="D53" i="1"/>
  <c r="B53" i="1"/>
  <c r="B52" i="1"/>
  <c r="D52" i="1"/>
  <c r="D51" i="1"/>
  <c r="B51" i="1"/>
  <c r="B49" i="1"/>
  <c r="B50" i="1"/>
  <c r="D50" i="1"/>
  <c r="D49" i="1"/>
  <c r="B48" i="1"/>
  <c r="B47" i="1"/>
  <c r="B46" i="1"/>
  <c r="B45" i="1"/>
  <c r="B44" i="1"/>
  <c r="B43" i="1"/>
  <c r="B42" i="1"/>
  <c r="B41" i="1"/>
  <c r="B40" i="1"/>
  <c r="D47" i="1"/>
  <c r="D45" i="1"/>
  <c r="D43" i="1"/>
  <c r="D41" i="1"/>
  <c r="D39" i="1"/>
  <c r="B39" i="1"/>
  <c r="B38" i="1"/>
  <c r="B37" i="1" l="1"/>
  <c r="D153" i="1"/>
  <c r="B153" i="1"/>
  <c r="B152" i="1"/>
  <c r="D151" i="1"/>
  <c r="B151" i="1"/>
  <c r="B150" i="1"/>
  <c r="D149" i="1"/>
  <c r="B149" i="1"/>
  <c r="B148" i="1"/>
  <c r="D147" i="1"/>
  <c r="B147" i="1"/>
  <c r="B146" i="1"/>
  <c r="D145" i="1"/>
  <c r="B145" i="1"/>
  <c r="B144" i="1"/>
  <c r="D143" i="1"/>
  <c r="B143" i="1"/>
  <c r="B142" i="1"/>
  <c r="D141" i="1"/>
  <c r="B141" i="1"/>
  <c r="B140" i="1"/>
  <c r="D168" i="1" l="1"/>
  <c r="B168" i="1"/>
  <c r="B167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V18" i="2"/>
  <c r="EX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W20" i="2"/>
  <c r="EV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C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EV33" i="2"/>
  <c r="EB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EA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X38" i="2"/>
  <c r="EW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EX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V61" i="2"/>
  <c r="EW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W78" i="2"/>
  <c r="EC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V105" i="2"/>
  <c r="EA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FS108" i="2"/>
  <c r="EW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X113" i="2"/>
  <c r="EW113" i="2"/>
  <c r="EC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EC118" i="2"/>
  <c r="FS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V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R140" i="2" l="1"/>
  <c r="EX140" i="2"/>
  <c r="EC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EB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X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FS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EV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Y154" i="2"/>
  <c r="EW155" i="2"/>
  <c r="EX155" i="2"/>
  <c r="EA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AB156" i="2" l="1"/>
  <c r="EY155" i="2"/>
  <c r="DH156" i="2"/>
  <c r="ED155" i="2"/>
  <c r="FS156" i="2"/>
  <c r="EX156" i="2"/>
  <c r="E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X157" i="2"/>
  <c r="EB157" i="2"/>
  <c r="EC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V158" i="2"/>
  <c r="EW158" i="2"/>
  <c r="EC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C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FS160" i="2"/>
  <c r="EY159" i="2"/>
  <c r="ED159" i="2"/>
  <c r="EC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X161" i="2"/>
  <c r="ED160" i="2"/>
  <c r="EB161" i="2"/>
  <c r="EA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W162" i="2"/>
  <c r="EY161" i="2"/>
  <c r="EC162" i="2"/>
  <c r="EB162" i="2"/>
  <c r="DI161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D162" i="2"/>
  <c r="EV163" i="2"/>
  <c r="EA163" i="2"/>
  <c r="EB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D163" i="2"/>
  <c r="FS164" i="2"/>
  <c r="FR164" i="2"/>
  <c r="EV164" i="2"/>
  <c r="EX164" i="2"/>
  <c r="EA164" i="2"/>
  <c r="DI163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B165" i="2"/>
  <c r="EA165" i="2"/>
  <c r="ED165" i="2" s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FR167" i="2"/>
  <c r="EX167" i="2"/>
  <c r="EB167" i="2"/>
  <c r="EA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DI167" i="2"/>
  <c r="EB168" i="2"/>
  <c r="EW168" i="2"/>
  <c r="EV168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D171" i="2"/>
  <c r="EV172" i="2"/>
  <c r="EW172" i="2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X173" i="2"/>
  <c r="EW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D174" i="2"/>
  <c r="FS175" i="2"/>
  <c r="EW175" i="2"/>
  <c r="EB175" i="2"/>
  <c r="E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EW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S178" i="2"/>
  <c r="EW178" i="2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DF179" i="2" l="1"/>
  <c r="ED178" i="2"/>
  <c r="EV179" i="2"/>
  <c r="EA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X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Y182" i="2"/>
  <c r="ED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W185" i="2"/>
  <c r="EV185" i="2"/>
  <c r="EB185" i="2"/>
  <c r="EA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FS186" i="2"/>
  <c r="EW186" i="2"/>
  <c r="EB186" i="2"/>
  <c r="EA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Y188" i="2"/>
  <c r="EV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D189" i="2"/>
  <c r="EW190" i="2"/>
  <c r="EV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V192" i="2" l="1"/>
  <c r="EW192" i="2"/>
  <c r="EB192" i="2"/>
  <c r="EC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FQ193" i="2"/>
  <c r="EX193" i="2"/>
  <c r="EA193" i="2"/>
  <c r="EB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CN193" i="2"/>
  <c r="ED193" i="2"/>
  <c r="EB194" i="2"/>
  <c r="EA194" i="2"/>
  <c r="ED194" i="2" s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DH195" i="2" l="1"/>
  <c r="FQ195" i="2"/>
  <c r="EY194" i="2"/>
  <c r="EX195" i="2"/>
  <c r="E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FS197" i="2"/>
  <c r="EW197" i="2"/>
  <c r="EY196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FS199" i="2"/>
  <c r="EV199" i="2"/>
  <c r="EW199" i="2"/>
  <c r="EB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DI200" i="2"/>
  <c r="ED200" i="2"/>
  <c r="FS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Z6" i="2" l="1"/>
  <c r="EX202" i="2"/>
  <c r="EW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32" i="2" a="1"/>
  <c r="FY32" i="2" s="1"/>
  <c r="FY146" i="2" a="1"/>
  <c r="FY146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55" i="2" l="1" a="1"/>
  <c r="BC55" i="2" s="1"/>
  <c r="BC130" i="2" a="1"/>
  <c r="BC130" i="2" s="1"/>
  <c r="BC83" i="2" a="1"/>
  <c r="BC83" i="2" s="1"/>
  <c r="BC151" i="2" a="1"/>
  <c r="BC151" i="2" s="1"/>
  <c r="BC7" i="2" a="1"/>
  <c r="BC7" i="2" s="1"/>
  <c r="BC185" i="2" a="1"/>
  <c r="BC185" i="2" s="1"/>
  <c r="BC143" i="2" a="1"/>
  <c r="BC143" i="2" s="1"/>
  <c r="BC31" i="2" a="1"/>
  <c r="BC31" i="2" s="1"/>
  <c r="BC32" i="2" a="1"/>
  <c r="BC32" i="2" s="1"/>
  <c r="BC38" i="2" a="1"/>
  <c r="BC38" i="2" s="1"/>
  <c r="BC192" i="2" a="1"/>
  <c r="BC192" i="2" s="1"/>
  <c r="BC114" i="2" a="1"/>
  <c r="BC114" i="2" s="1"/>
  <c r="BC164" i="2" a="1"/>
  <c r="BC164" i="2" s="1"/>
  <c r="BC181" i="2" a="1"/>
  <c r="BC181" i="2" s="1"/>
  <c r="BC65" i="2" a="1"/>
  <c r="BC65" i="2" s="1"/>
  <c r="BC82" i="2" a="1"/>
  <c r="BC82" i="2" s="1"/>
  <c r="BC47" i="2" a="1"/>
  <c r="BC47" i="2" s="1"/>
  <c r="BC18" i="2" a="1"/>
  <c r="BC18" i="2" s="1"/>
  <c r="BC84" i="2" a="1"/>
  <c r="BC84" i="2" s="1"/>
  <c r="BC126" i="2" a="1"/>
  <c r="BC126" i="2" s="1"/>
  <c r="BC68" i="2" a="1"/>
  <c r="BC68" i="2" s="1"/>
  <c r="BC117" i="2" a="1"/>
  <c r="BC117" i="2" s="1"/>
  <c r="BC58" i="2" a="1"/>
  <c r="BC58" i="2" s="1"/>
  <c r="FY50" i="2" a="1"/>
  <c r="FY50" i="2" s="1"/>
  <c r="FY47" i="2" a="1"/>
  <c r="FY47" i="2" s="1"/>
  <c r="FY140" i="2" a="1"/>
  <c r="FY140" i="2" s="1"/>
  <c r="FY29" i="2" a="1"/>
  <c r="FY29" i="2" s="1"/>
  <c r="FY35" i="2" a="1"/>
  <c r="FY35" i="2" s="1"/>
  <c r="FY165" i="2" a="1"/>
  <c r="FY165" i="2" s="1"/>
  <c r="EI198" i="2" a="1"/>
  <c r="EI198" i="2" s="1"/>
  <c r="FY57" i="2" a="1"/>
  <c r="FY57" i="2" s="1"/>
  <c r="FY54" i="2" a="1"/>
  <c r="FY54" i="2" s="1"/>
  <c r="FY109" i="2" a="1"/>
  <c r="FY109" i="2" s="1"/>
  <c r="FY79" i="2" a="1"/>
  <c r="FY79" i="2" s="1"/>
  <c r="FY22" i="2" a="1"/>
  <c r="FY22" i="2" s="1"/>
  <c r="FY90" i="2" a="1"/>
  <c r="FY90" i="2" s="1"/>
  <c r="FR203" i="2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FJ155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J105" i="2" l="1"/>
  <c r="FJ103" i="2"/>
  <c r="FJ90" i="2"/>
  <c r="FJ3" i="2"/>
  <c r="C13" i="4" s="1"/>
  <c r="E13" i="4" s="1"/>
  <c r="F13" i="4" s="1"/>
  <c r="G13" i="4" s="1"/>
  <c r="L13" i="4" s="1"/>
  <c r="FJ30" i="2"/>
  <c r="FJ140" i="2"/>
  <c r="FJ128" i="2"/>
  <c r="FJ5" i="2"/>
  <c r="FJ10" i="2"/>
  <c r="FJ29" i="2"/>
  <c r="FJ87" i="2"/>
  <c r="FJ125" i="2"/>
  <c r="FJ184" i="2"/>
  <c r="FJ9" i="2"/>
  <c r="FJ130" i="2"/>
  <c r="FJ178" i="2"/>
  <c r="FJ180" i="2"/>
  <c r="FJ170" i="2"/>
  <c r="FJ127" i="2"/>
  <c r="FJ138" i="2"/>
  <c r="FJ115" i="2"/>
  <c r="FJ175" i="2"/>
  <c r="FJ199" i="2"/>
  <c r="FJ32" i="2"/>
  <c r="FJ158" i="2"/>
  <c r="FJ137" i="2"/>
  <c r="FJ149" i="2"/>
  <c r="FJ53" i="2"/>
  <c r="FJ42" i="2"/>
  <c r="FJ162" i="2"/>
  <c r="FJ13" i="2"/>
  <c r="FJ72" i="2"/>
  <c r="FJ23" i="2"/>
  <c r="FJ84" i="2"/>
  <c r="FJ203" i="2"/>
  <c r="FJ177" i="2"/>
  <c r="FJ163" i="2"/>
  <c r="FJ135" i="2"/>
  <c r="FJ117" i="2"/>
  <c r="FJ143" i="2"/>
  <c r="FJ45" i="2"/>
  <c r="FJ197" i="2"/>
  <c r="FJ109" i="2"/>
  <c r="FJ6" i="2"/>
  <c r="FJ56" i="2"/>
  <c r="FJ102" i="2"/>
  <c r="FJ62" i="2"/>
  <c r="FJ89" i="2"/>
  <c r="FJ21" i="2"/>
  <c r="FJ111" i="2"/>
  <c r="FJ35" i="2"/>
  <c r="FJ73" i="2"/>
  <c r="FJ88" i="2"/>
  <c r="FJ66" i="2"/>
  <c r="FJ43" i="2"/>
  <c r="FJ124" i="2"/>
  <c r="FJ77" i="2"/>
  <c r="FJ159" i="2"/>
  <c r="FJ108" i="2"/>
  <c r="FJ79" i="2"/>
  <c r="FJ83" i="2"/>
  <c r="FJ59" i="2"/>
  <c r="FJ20" i="2"/>
  <c r="FJ80" i="2"/>
  <c r="FJ65" i="2"/>
  <c r="FJ113" i="2"/>
  <c r="FJ96" i="2"/>
  <c r="FJ174" i="2"/>
  <c r="FJ154" i="2"/>
  <c r="FJ57" i="2"/>
  <c r="FJ194" i="2"/>
  <c r="FJ112" i="2"/>
  <c r="FJ186" i="2"/>
  <c r="FJ69" i="2"/>
  <c r="FJ126" i="2"/>
  <c r="FJ37" i="2"/>
  <c r="FJ104" i="2"/>
  <c r="FJ74" i="2"/>
  <c r="FJ191" i="2"/>
  <c r="FJ131" i="2"/>
  <c r="FJ68" i="2"/>
  <c r="FJ160" i="2"/>
  <c r="FJ46" i="2"/>
  <c r="FJ189" i="2"/>
  <c r="FJ97" i="2"/>
  <c r="FJ133" i="2"/>
  <c r="FJ52" i="2"/>
  <c r="FJ60" i="2"/>
  <c r="FJ161" i="2"/>
  <c r="FJ78" i="2"/>
  <c r="FJ81" i="2"/>
  <c r="FJ132" i="2"/>
  <c r="FJ18" i="2"/>
  <c r="FJ166" i="2"/>
  <c r="FJ118" i="2"/>
  <c r="FJ169" i="2"/>
  <c r="FJ193" i="2"/>
  <c r="FJ145" i="2"/>
  <c r="FJ22" i="2"/>
  <c r="FJ55" i="2"/>
  <c r="FJ150" i="2"/>
  <c r="FJ41" i="2"/>
  <c r="FJ156" i="2"/>
  <c r="FJ48" i="2"/>
  <c r="FJ61" i="2"/>
  <c r="FJ187" i="2"/>
  <c r="FJ33" i="2"/>
  <c r="FJ34" i="2"/>
  <c r="FJ47" i="2"/>
  <c r="FJ85" i="2"/>
  <c r="FJ168" i="2"/>
  <c r="FJ116" i="2"/>
  <c r="FJ7" i="2"/>
  <c r="FJ4" i="2"/>
  <c r="FJ185" i="2"/>
  <c r="FJ40" i="2"/>
  <c r="FJ153" i="2"/>
  <c r="FJ19" i="2"/>
  <c r="FJ201" i="2"/>
  <c r="FJ172" i="2"/>
  <c r="FJ63" i="2"/>
  <c r="FJ139" i="2"/>
  <c r="FJ151" i="2"/>
  <c r="FJ183" i="2"/>
  <c r="FJ31" i="2"/>
  <c r="FJ198" i="2"/>
  <c r="FJ100" i="2"/>
  <c r="FJ11" i="2"/>
  <c r="FJ119" i="2"/>
  <c r="FJ99" i="2"/>
  <c r="FJ76" i="2"/>
  <c r="FJ164" i="2"/>
  <c r="FJ142" i="2"/>
  <c r="FJ167" i="2"/>
  <c r="FJ152" i="2"/>
  <c r="FJ106" i="2"/>
  <c r="FJ25" i="2"/>
  <c r="FJ173" i="2"/>
  <c r="FJ179" i="2"/>
  <c r="FJ101" i="2"/>
  <c r="FJ82" i="2"/>
  <c r="FJ67" i="2"/>
  <c r="FJ28" i="2"/>
  <c r="FJ200" i="2"/>
  <c r="FJ121" i="2"/>
  <c r="FJ86" i="2"/>
  <c r="FJ147" i="2"/>
  <c r="FJ181" i="2"/>
  <c r="FJ39" i="2"/>
  <c r="FJ91" i="2"/>
  <c r="FJ64" i="2"/>
  <c r="FJ157" i="2"/>
  <c r="FJ54" i="2"/>
  <c r="FJ114" i="2"/>
  <c r="FJ98" i="2"/>
  <c r="FJ136" i="2"/>
  <c r="FJ190" i="2"/>
  <c r="FJ188" i="2"/>
  <c r="FJ12" i="2"/>
  <c r="FJ16" i="2"/>
  <c r="FJ129" i="2"/>
  <c r="FJ51" i="2"/>
  <c r="FJ75" i="2"/>
  <c r="FJ176" i="2"/>
  <c r="FJ171" i="2"/>
  <c r="FJ17" i="2"/>
  <c r="FJ93" i="2"/>
  <c r="FJ14" i="2"/>
  <c r="FJ58" i="2"/>
  <c r="FJ26" i="2"/>
  <c r="FJ122" i="2"/>
  <c r="FJ120" i="2"/>
  <c r="FJ192" i="2"/>
  <c r="FJ144" i="2"/>
  <c r="FJ49" i="2"/>
  <c r="FJ94" i="2"/>
  <c r="FJ71" i="2"/>
  <c r="FJ38" i="2"/>
  <c r="FJ141" i="2"/>
  <c r="FJ95" i="2"/>
  <c r="FJ110" i="2"/>
  <c r="FJ196" i="2"/>
  <c r="FJ24" i="2"/>
  <c r="FJ92" i="2"/>
  <c r="FJ123" i="2"/>
  <c r="FJ8" i="2"/>
  <c r="FJ50" i="2"/>
  <c r="FJ195" i="2"/>
  <c r="FJ70" i="2"/>
  <c r="FJ148" i="2"/>
  <c r="FJ44" i="2"/>
  <c r="FJ165" i="2"/>
  <c r="FJ107" i="2"/>
  <c r="FJ146" i="2"/>
  <c r="FJ182" i="2"/>
  <c r="FJ134" i="2"/>
  <c r="FJ36" i="2"/>
  <c r="FJ27" i="2"/>
  <c r="FJ202" i="2"/>
  <c r="FJ15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CD154" i="2" l="1"/>
  <c r="CD181" i="2"/>
  <c r="CD24" i="2"/>
  <c r="CD48" i="2"/>
  <c r="CD148" i="2"/>
  <c r="CD165" i="2"/>
  <c r="CD86" i="2"/>
  <c r="CD127" i="2"/>
  <c r="CD188" i="2"/>
  <c r="CD17" i="2"/>
  <c r="CD114" i="2"/>
  <c r="CD194" i="2"/>
  <c r="CD157" i="2"/>
  <c r="CD182" i="2"/>
  <c r="CD72" i="2"/>
  <c r="CD26" i="2"/>
  <c r="CD59" i="2"/>
  <c r="CD141" i="2"/>
  <c r="CD9" i="2"/>
  <c r="CD27" i="2"/>
  <c r="CD96" i="2"/>
  <c r="CD152" i="2"/>
  <c r="CD93" i="2"/>
  <c r="CD123" i="2"/>
  <c r="CD191" i="2"/>
  <c r="CD87" i="2"/>
  <c r="CD104" i="2"/>
  <c r="CD198" i="2"/>
  <c r="CD10" i="2"/>
  <c r="CD180" i="2"/>
  <c r="CD78" i="2"/>
  <c r="CD19" i="2"/>
  <c r="CD126" i="2"/>
  <c r="CD90" i="2"/>
  <c r="CD33" i="2"/>
  <c r="CD46" i="2"/>
  <c r="CD53" i="2"/>
  <c r="CD84" i="2"/>
  <c r="CD153" i="2"/>
  <c r="CD58" i="2"/>
  <c r="CD67" i="2"/>
  <c r="CD174" i="2"/>
  <c r="CD76" i="2"/>
  <c r="CD144" i="2"/>
  <c r="CD158" i="2"/>
  <c r="CD62" i="2"/>
  <c r="CD13" i="2"/>
  <c r="CD173" i="2"/>
  <c r="CD163" i="2"/>
  <c r="CD12" i="2"/>
  <c r="CD195" i="2"/>
  <c r="CD100" i="2"/>
  <c r="CD138" i="2"/>
  <c r="CD162" i="2"/>
  <c r="CD135" i="2"/>
  <c r="CD43" i="2"/>
  <c r="CD125" i="2"/>
  <c r="CD101" i="2"/>
  <c r="CD202" i="2"/>
  <c r="CD4" i="2"/>
  <c r="CD45" i="2"/>
  <c r="CD51" i="2"/>
  <c r="CD49" i="2"/>
  <c r="CD54" i="2"/>
  <c r="CD31" i="2"/>
  <c r="CD74" i="2"/>
  <c r="CD186" i="2"/>
  <c r="CD7" i="2"/>
  <c r="CD115" i="2"/>
  <c r="CD95" i="2"/>
  <c r="CD34" i="2"/>
  <c r="CD164" i="2"/>
  <c r="CD37" i="2"/>
  <c r="CD52" i="2"/>
  <c r="CD99" i="2"/>
  <c r="CD22" i="2"/>
  <c r="CD39" i="2"/>
  <c r="CD145" i="2"/>
  <c r="CD133" i="2"/>
  <c r="CD30" i="2"/>
  <c r="CD190" i="2"/>
  <c r="CD81" i="2"/>
  <c r="CD61" i="2"/>
  <c r="CD28" i="2"/>
  <c r="CD107" i="2"/>
  <c r="CD169" i="2"/>
  <c r="CD146" i="2"/>
  <c r="CD68" i="2"/>
  <c r="CD70" i="2"/>
  <c r="CD92" i="2"/>
  <c r="CD187" i="2"/>
  <c r="CD193" i="2"/>
  <c r="CD73" i="2"/>
  <c r="CD6" i="2"/>
  <c r="CD137" i="2"/>
  <c r="CD41" i="2"/>
  <c r="CD130" i="2"/>
  <c r="CD183" i="2"/>
  <c r="CD80" i="2"/>
  <c r="CD201" i="2"/>
  <c r="CD129" i="2"/>
  <c r="CD57" i="2"/>
  <c r="CD98" i="2"/>
  <c r="CD116" i="2"/>
  <c r="CD192" i="2"/>
  <c r="CD111" i="2"/>
  <c r="CD117" i="2"/>
  <c r="CD203" i="2"/>
  <c r="CD171" i="2"/>
  <c r="CD85" i="2"/>
  <c r="CD139" i="2"/>
  <c r="CD11" i="2"/>
  <c r="CD185" i="2"/>
  <c r="CD50" i="2"/>
  <c r="CD112" i="2"/>
  <c r="CD106" i="2"/>
  <c r="CD150" i="2"/>
  <c r="CD189" i="2"/>
  <c r="CD18" i="2"/>
  <c r="CD42" i="2"/>
  <c r="CD89" i="2"/>
  <c r="CD21" i="2"/>
  <c r="CD63" i="2"/>
  <c r="CD55" i="2"/>
  <c r="CD119" i="2"/>
  <c r="CD134" i="2"/>
  <c r="CD5" i="2"/>
  <c r="CD40" i="2"/>
  <c r="CD156" i="2"/>
  <c r="CD177" i="2"/>
  <c r="CD44" i="2"/>
  <c r="CD128" i="2"/>
  <c r="CD184" i="2"/>
  <c r="CD110" i="2"/>
  <c r="CD83" i="2"/>
  <c r="CD97" i="2"/>
  <c r="CD71" i="2"/>
  <c r="CD118" i="2"/>
  <c r="CD142" i="2"/>
  <c r="CD159" i="2"/>
  <c r="CD132" i="2"/>
  <c r="CD3" i="2"/>
  <c r="C9" i="4" s="1"/>
  <c r="E9" i="4" s="1"/>
  <c r="F9" i="4" s="1"/>
  <c r="G9" i="4" s="1"/>
  <c r="L9" i="4" s="1"/>
  <c r="CD15" i="2"/>
  <c r="CD168" i="2"/>
  <c r="CD103" i="2"/>
  <c r="CD60" i="2"/>
  <c r="CD161" i="2"/>
  <c r="CD23" i="2"/>
  <c r="CD172" i="2"/>
  <c r="CD136" i="2"/>
  <c r="CD65" i="2"/>
  <c r="CD143" i="2"/>
  <c r="CD16" i="2"/>
  <c r="CD29" i="2"/>
  <c r="CD175" i="2"/>
  <c r="CD64" i="2"/>
  <c r="CD35" i="2"/>
  <c r="CD8" i="2"/>
  <c r="CD32" i="2"/>
  <c r="CD82" i="2"/>
  <c r="CD56" i="2"/>
  <c r="CD151" i="2"/>
  <c r="CD79" i="2"/>
  <c r="CD167" i="2"/>
  <c r="CD88" i="2"/>
  <c r="CD66" i="2"/>
  <c r="CD113" i="2"/>
  <c r="CD140" i="2"/>
  <c r="CD155" i="2"/>
  <c r="CD122" i="2"/>
  <c r="CD147" i="2"/>
  <c r="CD14" i="2"/>
  <c r="CD94" i="2"/>
  <c r="CD200" i="2"/>
  <c r="CD105" i="2"/>
  <c r="CD131" i="2"/>
  <c r="CD47" i="2"/>
  <c r="CD199" i="2"/>
  <c r="CD149" i="2"/>
  <c r="CD160" i="2"/>
  <c r="CD121" i="2"/>
  <c r="CD38" i="2"/>
  <c r="CD102" i="2"/>
  <c r="CD109" i="2"/>
  <c r="CD108" i="2"/>
  <c r="CD197" i="2"/>
  <c r="CD20" i="2"/>
  <c r="CD91" i="2"/>
  <c r="CD176" i="2"/>
  <c r="CD178" i="2"/>
  <c r="CD124" i="2"/>
  <c r="CD196" i="2"/>
  <c r="CD120" i="2"/>
  <c r="CD36" i="2"/>
  <c r="CD179" i="2"/>
  <c r="CD75" i="2"/>
  <c r="CD69" i="2"/>
  <c r="CD166" i="2"/>
  <c r="CD25" i="2"/>
  <c r="CD77" i="2"/>
  <c r="CD170" i="2"/>
  <c r="EO44" i="2"/>
  <c r="EO115" i="2"/>
  <c r="EO67" i="2"/>
  <c r="EO187" i="2"/>
  <c r="EO105" i="2"/>
  <c r="EO7" i="2"/>
  <c r="EO96" i="2"/>
  <c r="EO93" i="2"/>
  <c r="EO94" i="2"/>
  <c r="EO133" i="2"/>
  <c r="EO148" i="2"/>
  <c r="EO54" i="2"/>
  <c r="EO59" i="2"/>
  <c r="EO132" i="2"/>
  <c r="EO15" i="2"/>
  <c r="EO14" i="2"/>
  <c r="EO178" i="2"/>
  <c r="EO88" i="2"/>
  <c r="EO129" i="2"/>
  <c r="EO198" i="2"/>
  <c r="EO179" i="2"/>
  <c r="EO201" i="2"/>
  <c r="EO117" i="2"/>
  <c r="EO19" i="2"/>
  <c r="EO146" i="2"/>
  <c r="EO49" i="2"/>
  <c r="EO5" i="2"/>
  <c r="EO41" i="2"/>
  <c r="EO71" i="2"/>
  <c r="EO141" i="2"/>
  <c r="EO89" i="2"/>
  <c r="EO203" i="2"/>
  <c r="EO103" i="2"/>
  <c r="EO55" i="2"/>
  <c r="EO161" i="2"/>
  <c r="EO136" i="2"/>
  <c r="EO76" i="2"/>
  <c r="EO118" i="2"/>
  <c r="EO3" i="2"/>
  <c r="C12" i="4" s="1"/>
  <c r="E12" i="4" s="1"/>
  <c r="F12" i="4" s="1"/>
  <c r="G12" i="4" s="1"/>
  <c r="L12" i="4" s="1"/>
  <c r="EO194" i="2"/>
  <c r="EO125" i="2"/>
  <c r="EO81" i="2"/>
  <c r="EO65" i="2"/>
  <c r="EO184" i="2"/>
  <c r="EO138" i="2"/>
  <c r="EO168" i="2"/>
  <c r="EO58" i="2"/>
  <c r="EO13" i="2"/>
  <c r="EO121" i="2"/>
  <c r="EO130" i="2"/>
  <c r="EO188" i="2"/>
  <c r="EO75" i="2"/>
  <c r="EO172" i="2"/>
  <c r="EO78" i="2"/>
  <c r="EO200" i="2"/>
  <c r="EO29" i="2"/>
  <c r="EO171" i="2"/>
  <c r="EO26" i="2"/>
  <c r="EO106" i="2"/>
  <c r="EO197" i="2"/>
  <c r="EO140" i="2"/>
  <c r="EO192" i="2"/>
  <c r="EO154" i="2"/>
  <c r="EO169" i="2"/>
  <c r="EO131" i="2"/>
  <c r="EO31" i="2"/>
  <c r="EO107" i="2"/>
  <c r="EO180" i="2"/>
  <c r="EO113" i="2"/>
  <c r="EO167" i="2"/>
  <c r="EO21" i="2"/>
  <c r="EO16" i="2"/>
  <c r="EO99" i="2"/>
  <c r="EO66" i="2"/>
  <c r="EO158" i="2"/>
  <c r="EO190" i="2"/>
  <c r="EO177" i="2"/>
  <c r="EO95" i="2"/>
  <c r="EO42" i="2"/>
  <c r="EO28" i="2"/>
  <c r="EO24" i="2"/>
  <c r="EO109" i="2"/>
  <c r="EO163" i="2"/>
  <c r="EO108" i="2"/>
  <c r="EO126" i="2"/>
  <c r="EO40" i="2"/>
  <c r="EO32" i="2"/>
  <c r="EO83" i="2"/>
  <c r="EO52" i="2"/>
  <c r="EO84" i="2"/>
  <c r="EO102" i="2"/>
  <c r="EO112" i="2"/>
  <c r="EO90" i="2"/>
  <c r="EO22" i="2"/>
  <c r="EO199" i="2"/>
  <c r="EO173" i="2"/>
  <c r="EO43" i="2"/>
  <c r="EO8" i="2"/>
  <c r="EO183" i="2"/>
  <c r="EO160" i="2"/>
  <c r="EO166" i="2"/>
  <c r="EO176" i="2"/>
  <c r="EO38" i="2"/>
  <c r="EO124" i="2"/>
  <c r="EO104" i="2"/>
  <c r="EO114" i="2"/>
  <c r="EO196" i="2"/>
  <c r="EO36" i="2"/>
  <c r="EO191" i="2"/>
  <c r="EO77" i="2"/>
  <c r="EO60" i="2"/>
  <c r="EO92" i="2"/>
  <c r="EO127" i="2"/>
  <c r="EO139" i="2"/>
  <c r="EO33" i="2"/>
  <c r="EO73" i="2"/>
  <c r="EO82" i="2"/>
  <c r="EO189" i="2"/>
  <c r="EO123" i="2"/>
  <c r="EO51" i="2"/>
  <c r="EO20" i="2"/>
  <c r="EO64" i="2"/>
  <c r="EO122" i="2"/>
  <c r="EO48" i="2"/>
  <c r="EO162" i="2"/>
  <c r="EO100" i="2"/>
  <c r="EO12" i="2"/>
  <c r="EO165" i="2"/>
  <c r="EO35" i="2"/>
  <c r="EO149" i="2"/>
  <c r="EO86" i="2"/>
  <c r="EO195" i="2"/>
  <c r="EO61" i="2"/>
  <c r="EO193" i="2"/>
  <c r="EO47" i="2"/>
  <c r="EO23" i="2"/>
  <c r="EO34" i="2"/>
  <c r="EO150" i="2"/>
  <c r="EO142" i="2"/>
  <c r="EO25" i="2"/>
  <c r="EO151" i="2"/>
  <c r="EO37" i="2"/>
  <c r="EO10" i="2"/>
  <c r="EO185" i="2"/>
  <c r="EO27" i="2"/>
  <c r="EO4" i="2"/>
  <c r="EO39" i="2"/>
  <c r="EO135" i="2"/>
  <c r="EO144" i="2"/>
  <c r="EO17" i="2"/>
  <c r="EO46" i="2"/>
  <c r="EO147" i="2"/>
  <c r="EO45" i="2"/>
  <c r="EO120" i="2"/>
  <c r="EO70" i="2"/>
  <c r="EO182" i="2"/>
  <c r="EO56" i="2"/>
  <c r="EO155" i="2"/>
  <c r="EO80" i="2"/>
  <c r="EO9" i="2"/>
  <c r="EO53" i="2"/>
  <c r="EO74" i="2"/>
  <c r="EO110" i="2"/>
  <c r="EO79" i="2"/>
  <c r="EO97" i="2"/>
  <c r="EO157" i="2"/>
  <c r="EO30" i="2"/>
  <c r="EO186" i="2"/>
  <c r="EO101" i="2"/>
  <c r="EO170" i="2"/>
  <c r="EO181" i="2"/>
  <c r="EO50" i="2"/>
  <c r="EO156" i="2"/>
  <c r="EO143" i="2"/>
  <c r="EO18" i="2"/>
  <c r="EO6" i="2"/>
  <c r="EO175" i="2"/>
  <c r="EO137" i="2"/>
  <c r="EO62" i="2"/>
  <c r="EO63" i="2"/>
  <c r="EO152" i="2"/>
  <c r="EO119" i="2"/>
  <c r="EO11" i="2"/>
  <c r="EO111" i="2"/>
  <c r="EO98" i="2"/>
  <c r="EO159" i="2"/>
  <c r="EO69" i="2"/>
  <c r="EO164" i="2"/>
  <c r="EO174" i="2"/>
  <c r="EO116" i="2"/>
  <c r="EO91" i="2"/>
  <c r="EO134" i="2"/>
  <c r="EO145" i="2"/>
  <c r="EO85" i="2"/>
  <c r="EO153" i="2"/>
  <c r="EO202" i="2"/>
  <c r="EO57" i="2"/>
  <c r="EO72" i="2"/>
  <c r="EO87" i="2"/>
  <c r="EO128" i="2"/>
  <c r="EO68" i="2"/>
  <c r="GE11" i="2"/>
  <c r="GE122" i="2"/>
  <c r="GE48" i="2"/>
  <c r="GE90" i="2"/>
  <c r="GE145" i="2"/>
  <c r="GE41" i="2"/>
  <c r="GE16" i="2"/>
  <c r="GE162" i="2"/>
  <c r="GE168" i="2"/>
  <c r="GE18" i="2"/>
  <c r="GE189" i="2"/>
  <c r="GE32" i="2"/>
  <c r="GE82" i="2"/>
  <c r="GE167" i="2"/>
  <c r="GE12" i="2"/>
  <c r="GE158" i="2"/>
  <c r="GE111" i="2"/>
  <c r="GE166" i="2"/>
  <c r="GE69" i="2"/>
  <c r="GE78" i="2"/>
  <c r="GE105" i="2"/>
  <c r="GE188" i="2"/>
  <c r="GE172" i="2"/>
  <c r="GE200" i="2"/>
  <c r="GE163" i="2"/>
  <c r="GE81" i="2"/>
  <c r="GE176" i="2"/>
  <c r="GE6" i="2"/>
  <c r="GE171" i="2"/>
  <c r="GE106" i="2"/>
  <c r="GE4" i="2"/>
  <c r="GE190" i="2"/>
  <c r="GE75" i="2"/>
  <c r="GE170" i="2"/>
  <c r="GE13" i="2"/>
  <c r="GE132" i="2"/>
  <c r="GE89" i="2"/>
  <c r="GE165" i="2"/>
  <c r="GE104" i="2"/>
  <c r="GE98" i="2"/>
  <c r="GE24" i="2"/>
  <c r="GE94" i="2"/>
  <c r="GE169" i="2"/>
  <c r="GE40" i="2"/>
  <c r="GE126" i="2"/>
  <c r="GE36" i="2"/>
  <c r="GE44" i="2"/>
  <c r="GE83" i="2"/>
  <c r="GE14" i="2"/>
  <c r="GE187" i="2"/>
  <c r="GE154" i="2"/>
  <c r="GE161" i="2"/>
  <c r="GE173" i="2"/>
  <c r="GE159" i="2"/>
  <c r="GE156" i="2"/>
  <c r="GE201" i="2"/>
  <c r="GE20" i="2"/>
  <c r="GE177" i="2"/>
  <c r="GE129" i="2"/>
  <c r="GE77" i="2"/>
  <c r="GE113" i="2"/>
  <c r="GE102" i="2"/>
  <c r="GE88" i="2"/>
  <c r="GE93" i="2"/>
  <c r="GE3" i="2"/>
  <c r="C14" i="4" s="1"/>
  <c r="E14" i="4" s="1"/>
  <c r="F14" i="4" s="1"/>
  <c r="G14" i="4" s="1"/>
  <c r="L14" i="4" s="1"/>
  <c r="GE149" i="2"/>
  <c r="GE5" i="2"/>
  <c r="GE91" i="2"/>
  <c r="GE35" i="2"/>
  <c r="GE121" i="2"/>
  <c r="GE182" i="2"/>
  <c r="GE9" i="2"/>
  <c r="GE147" i="2"/>
  <c r="GE194" i="2"/>
  <c r="GE140" i="2"/>
  <c r="GE95" i="2"/>
  <c r="GE63" i="2"/>
  <c r="GE59" i="2"/>
  <c r="GE133" i="2"/>
  <c r="GE198" i="2"/>
  <c r="GE80" i="2"/>
  <c r="GE52" i="2"/>
  <c r="GE108" i="2"/>
  <c r="GE65" i="2"/>
  <c r="GE203" i="2"/>
  <c r="GE142" i="2"/>
  <c r="GE58" i="2"/>
  <c r="GE19" i="2"/>
  <c r="GE134" i="2"/>
  <c r="GE185" i="2"/>
  <c r="GE151" i="2"/>
  <c r="GE136" i="2"/>
  <c r="GE135" i="2"/>
  <c r="GE87" i="2"/>
  <c r="GE100" i="2"/>
  <c r="GE72" i="2"/>
  <c r="GE112" i="2"/>
  <c r="GE79" i="2"/>
  <c r="GE118" i="2"/>
  <c r="GE139" i="2"/>
  <c r="GE128" i="2"/>
  <c r="GE76" i="2"/>
  <c r="GE174" i="2"/>
  <c r="GE131" i="2"/>
  <c r="GE43" i="2"/>
  <c r="GE191" i="2"/>
  <c r="GE164" i="2"/>
  <c r="GE46" i="2"/>
  <c r="GE17" i="2"/>
  <c r="GE99" i="2"/>
  <c r="GE175" i="2"/>
  <c r="GE103" i="2"/>
  <c r="GE150" i="2"/>
  <c r="GE123" i="2"/>
  <c r="GE141" i="2"/>
  <c r="GE61" i="2"/>
  <c r="GE101" i="2"/>
  <c r="GE56" i="2"/>
  <c r="GE125" i="2"/>
  <c r="GE124" i="2"/>
  <c r="GE86" i="2"/>
  <c r="GE54" i="2"/>
  <c r="GE27" i="2"/>
  <c r="GE107" i="2"/>
  <c r="GE23" i="2"/>
  <c r="GE179" i="2"/>
  <c r="GE10" i="2"/>
  <c r="GE116" i="2"/>
  <c r="GE49" i="2"/>
  <c r="GE70" i="2"/>
  <c r="GE92" i="2"/>
  <c r="GE127" i="2"/>
  <c r="GE115" i="2"/>
  <c r="GE144" i="2"/>
  <c r="GE137" i="2"/>
  <c r="GE8" i="2"/>
  <c r="GE25" i="2"/>
  <c r="GE97" i="2"/>
  <c r="GE64" i="2"/>
  <c r="GE155" i="2"/>
  <c r="GE196" i="2"/>
  <c r="GE38" i="2"/>
  <c r="GE85" i="2"/>
  <c r="GE148" i="2"/>
  <c r="GE184" i="2"/>
  <c r="GE117" i="2"/>
  <c r="GE152" i="2"/>
  <c r="GE143" i="2"/>
  <c r="GE110" i="2"/>
  <c r="GE31" i="2"/>
  <c r="GE183" i="2"/>
  <c r="GE42" i="2"/>
  <c r="GE109" i="2"/>
  <c r="GE62" i="2"/>
  <c r="GE45" i="2"/>
  <c r="GE71" i="2"/>
  <c r="GE186" i="2"/>
  <c r="GE15" i="2"/>
  <c r="GE47" i="2"/>
  <c r="GE96" i="2"/>
  <c r="GE120" i="2"/>
  <c r="GE130" i="2"/>
  <c r="GE33" i="2"/>
  <c r="GE22" i="2"/>
  <c r="GE7" i="2"/>
  <c r="GE192" i="2"/>
  <c r="GE55" i="2"/>
  <c r="GE138" i="2"/>
  <c r="GE73" i="2"/>
  <c r="GE178" i="2"/>
  <c r="GE74" i="2"/>
  <c r="GE146" i="2"/>
  <c r="GE51" i="2"/>
  <c r="GE50" i="2"/>
  <c r="GE84" i="2"/>
  <c r="GE157" i="2"/>
  <c r="GE66" i="2"/>
  <c r="GE57" i="2"/>
  <c r="GE181" i="2"/>
  <c r="GE114" i="2"/>
  <c r="GE21" i="2"/>
  <c r="GE195" i="2"/>
  <c r="GE193" i="2"/>
  <c r="GE53" i="2"/>
  <c r="GE29" i="2"/>
  <c r="GE197" i="2"/>
  <c r="GE26" i="2"/>
  <c r="GE68" i="2"/>
  <c r="GE28" i="2"/>
  <c r="GE180" i="2"/>
  <c r="GE153" i="2"/>
  <c r="GE34" i="2"/>
  <c r="GE60" i="2"/>
  <c r="GE119" i="2"/>
  <c r="GE202" i="2"/>
  <c r="GE37" i="2"/>
  <c r="GE160" i="2"/>
  <c r="GE30" i="2"/>
  <c r="GE199" i="2"/>
  <c r="GE39" i="2"/>
  <c r="GE67" i="2"/>
  <c r="CY24" i="2"/>
  <c r="CY93" i="2"/>
  <c r="CY144" i="2"/>
  <c r="CY17" i="2"/>
  <c r="CY26" i="2"/>
  <c r="CY73" i="2"/>
  <c r="CY8" i="2"/>
  <c r="CY59" i="2"/>
  <c r="CY15" i="2"/>
  <c r="CY77" i="2"/>
  <c r="CY120" i="2"/>
  <c r="CY41" i="2"/>
  <c r="CY12" i="2"/>
  <c r="CY3" i="2"/>
  <c r="C10" i="4" s="1"/>
  <c r="E10" i="4" s="1"/>
  <c r="F10" i="4" s="1"/>
  <c r="G10" i="4" s="1"/>
  <c r="L10" i="4" s="1"/>
  <c r="CY134" i="2"/>
  <c r="CY135" i="2"/>
  <c r="CY32" i="2"/>
  <c r="CY79" i="2"/>
  <c r="CY113" i="2"/>
  <c r="CY137" i="2"/>
  <c r="CY58" i="2"/>
  <c r="CY107" i="2"/>
  <c r="CY10" i="2"/>
  <c r="CY112" i="2"/>
  <c r="CY42" i="2"/>
  <c r="CY197" i="2"/>
  <c r="CY129" i="2"/>
  <c r="CY194" i="2"/>
  <c r="CY201" i="2"/>
  <c r="CY83" i="2"/>
  <c r="CY149" i="2"/>
  <c r="CY131" i="2"/>
  <c r="CY146" i="2"/>
  <c r="CY86" i="2"/>
  <c r="CY163" i="2"/>
  <c r="CY48" i="2"/>
  <c r="CY50" i="2"/>
  <c r="CY100" i="2"/>
  <c r="CY123" i="2"/>
  <c r="CY151" i="2"/>
  <c r="CY36" i="2"/>
  <c r="CY133" i="2"/>
  <c r="CY168" i="2"/>
  <c r="CY57" i="2"/>
  <c r="CY188" i="2"/>
  <c r="CY69" i="2"/>
  <c r="CY67" i="2"/>
  <c r="CY128" i="2"/>
  <c r="CY130" i="2"/>
  <c r="CY136" i="2"/>
  <c r="CY37" i="2"/>
  <c r="CY9" i="2"/>
  <c r="CY74" i="2"/>
  <c r="CY95" i="2"/>
  <c r="CY84" i="2"/>
  <c r="CY139" i="2"/>
  <c r="CY181" i="2"/>
  <c r="CY68" i="2"/>
  <c r="CY46" i="2"/>
  <c r="CY187" i="2"/>
  <c r="CY27" i="2"/>
  <c r="CY99" i="2"/>
  <c r="CY109" i="2"/>
  <c r="CY81" i="2"/>
  <c r="CY102" i="2"/>
  <c r="CY154" i="2"/>
  <c r="CY40" i="2"/>
  <c r="CY200" i="2"/>
  <c r="CY60" i="2"/>
  <c r="CY115" i="2"/>
  <c r="CY28" i="2"/>
  <c r="CY6" i="2"/>
  <c r="CY169" i="2"/>
  <c r="CY35" i="2"/>
  <c r="CY30" i="2"/>
  <c r="CY89" i="2"/>
  <c r="CY185" i="2"/>
  <c r="CY116" i="2"/>
  <c r="CY76" i="2"/>
  <c r="CY106" i="2"/>
  <c r="CY126" i="2"/>
  <c r="CY180" i="2"/>
  <c r="CY56" i="2"/>
  <c r="CY142" i="2"/>
  <c r="CY152" i="2"/>
  <c r="CY119" i="2"/>
  <c r="CY182" i="2"/>
  <c r="CY71" i="2"/>
  <c r="CY150" i="2"/>
  <c r="CY193" i="2"/>
  <c r="CY19" i="2"/>
  <c r="CY166" i="2"/>
  <c r="CY170" i="2"/>
  <c r="CY157" i="2"/>
  <c r="CY44" i="2"/>
  <c r="CY132" i="2"/>
  <c r="CY63" i="2"/>
  <c r="CY11" i="2"/>
  <c r="CY87" i="2"/>
  <c r="CY174" i="2"/>
  <c r="CY198" i="2"/>
  <c r="CY49" i="2"/>
  <c r="CY31" i="2"/>
  <c r="CY43" i="2"/>
  <c r="CY117" i="2"/>
  <c r="CY173" i="2"/>
  <c r="CY183" i="2"/>
  <c r="CY38" i="2"/>
  <c r="CY33" i="2"/>
  <c r="CY75" i="2"/>
  <c r="CY98" i="2"/>
  <c r="CY160" i="2"/>
  <c r="CY114" i="2"/>
  <c r="CY13" i="2"/>
  <c r="CY82" i="2"/>
  <c r="CY4" i="2"/>
  <c r="CY55" i="2"/>
  <c r="CY203" i="2"/>
  <c r="CY202" i="2"/>
  <c r="CY94" i="2"/>
  <c r="CY51" i="2"/>
  <c r="CY156" i="2"/>
  <c r="CY111" i="2"/>
  <c r="CY21" i="2"/>
  <c r="CY16" i="2"/>
  <c r="CY85" i="2"/>
  <c r="CY80" i="2"/>
  <c r="CY145" i="2"/>
  <c r="CY108" i="2"/>
  <c r="CY70" i="2"/>
  <c r="CY103" i="2"/>
  <c r="CY158" i="2"/>
  <c r="CY7" i="2"/>
  <c r="CY47" i="2"/>
  <c r="CY92" i="2"/>
  <c r="CY171" i="2"/>
  <c r="CY153" i="2"/>
  <c r="CY22" i="2"/>
  <c r="CY190" i="2"/>
  <c r="CY155" i="2"/>
  <c r="CY96" i="2"/>
  <c r="CY62" i="2"/>
  <c r="CY122" i="2"/>
  <c r="CY184" i="2"/>
  <c r="CY54" i="2"/>
  <c r="CY52" i="2"/>
  <c r="CY125" i="2"/>
  <c r="CY90" i="2"/>
  <c r="CY23" i="2"/>
  <c r="CY34" i="2"/>
  <c r="CY191" i="2"/>
  <c r="CY162" i="2"/>
  <c r="CY176" i="2"/>
  <c r="CY66" i="2"/>
  <c r="CY186" i="2"/>
  <c r="CY45" i="2"/>
  <c r="CY29" i="2"/>
  <c r="CY118" i="2"/>
  <c r="CY165" i="2"/>
  <c r="CY172" i="2"/>
  <c r="CY196" i="2"/>
  <c r="CY39" i="2"/>
  <c r="CY104" i="2"/>
  <c r="CY61" i="2"/>
  <c r="CY18" i="2"/>
  <c r="CY65" i="2"/>
  <c r="CY91" i="2"/>
  <c r="CY161" i="2"/>
  <c r="CY105" i="2"/>
  <c r="CY192" i="2"/>
  <c r="CY5" i="2"/>
  <c r="CY140" i="2"/>
  <c r="CY199" i="2"/>
  <c r="CY53" i="2"/>
  <c r="CY25" i="2"/>
  <c r="CY78" i="2"/>
  <c r="CY143" i="2"/>
  <c r="CY177" i="2"/>
  <c r="CY14" i="2"/>
  <c r="CY121" i="2"/>
  <c r="CY124" i="2"/>
  <c r="CY97" i="2"/>
  <c r="CY178" i="2"/>
  <c r="CY88" i="2"/>
  <c r="CY148" i="2"/>
  <c r="CY179" i="2"/>
  <c r="CY64" i="2"/>
  <c r="CY20" i="2"/>
  <c r="CY110" i="2"/>
  <c r="CY167" i="2"/>
  <c r="CY189" i="2"/>
  <c r="CY101" i="2"/>
  <c r="CY195" i="2"/>
  <c r="CY127" i="2"/>
  <c r="CY138" i="2"/>
  <c r="CY72" i="2"/>
  <c r="CY141" i="2"/>
  <c r="CY175" i="2"/>
  <c r="CY159" i="2"/>
  <c r="CY164" i="2"/>
  <c r="CY147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44" i="2"/>
  <c r="BI190" i="2"/>
  <c r="BI37" i="2"/>
  <c r="BI141" i="2"/>
  <c r="BI151" i="2"/>
  <c r="BI184" i="2"/>
  <c r="BI23" i="2"/>
  <c r="BI134" i="2"/>
  <c r="BI26" i="2"/>
  <c r="BI125" i="2"/>
  <c r="BI169" i="2"/>
  <c r="BI20" i="2"/>
  <c r="BI187" i="2"/>
  <c r="BI147" i="2"/>
  <c r="BI200" i="2"/>
  <c r="BI62" i="2"/>
  <c r="BI21" i="2"/>
  <c r="BI155" i="2"/>
  <c r="BI119" i="2"/>
  <c r="BI77" i="2"/>
  <c r="BI176" i="2"/>
  <c r="BI167" i="2"/>
  <c r="BI168" i="2"/>
  <c r="BI95" i="2"/>
  <c r="BI75" i="2"/>
  <c r="BI164" i="2"/>
  <c r="BI175" i="2"/>
  <c r="BI91" i="2"/>
  <c r="BI39" i="2"/>
  <c r="BI193" i="2"/>
  <c r="BI191" i="2"/>
  <c r="BI38" i="2"/>
  <c r="BI150" i="2"/>
  <c r="BI135" i="2"/>
  <c r="BI165" i="2"/>
  <c r="BI33" i="2"/>
  <c r="BI132" i="2"/>
  <c r="BI97" i="2"/>
  <c r="BI154" i="2"/>
  <c r="BI71" i="2"/>
  <c r="BI143" i="2"/>
  <c r="BI30" i="2"/>
  <c r="BI17" i="2"/>
  <c r="BI54" i="2"/>
  <c r="BI63" i="2"/>
  <c r="BI53" i="2"/>
  <c r="BI51" i="2"/>
  <c r="BI189" i="2"/>
  <c r="BI139" i="2"/>
  <c r="BI94" i="2"/>
  <c r="BI183" i="2"/>
  <c r="BI84" i="2"/>
  <c r="BI158" i="2"/>
  <c r="BI8" i="2"/>
  <c r="BI59" i="2"/>
  <c r="BI4" i="2"/>
  <c r="BI121" i="2"/>
  <c r="BI3" i="2"/>
  <c r="C8" i="4" s="1"/>
  <c r="E8" i="4" s="1"/>
  <c r="F8" i="4" s="1"/>
  <c r="G8" i="4" s="1"/>
  <c r="L8" i="4" s="1"/>
  <c r="BI137" i="2"/>
  <c r="BI159" i="2"/>
  <c r="BI188" i="2"/>
  <c r="BI133" i="2"/>
  <c r="BI87" i="2"/>
  <c r="BI136" i="2"/>
  <c r="BI10" i="2"/>
  <c r="BI12" i="2"/>
  <c r="BI81" i="2"/>
  <c r="BI103" i="2"/>
  <c r="BI49" i="2"/>
  <c r="BI73" i="2"/>
  <c r="BI127" i="2"/>
  <c r="BI88" i="2"/>
  <c r="BI152" i="2"/>
  <c r="BI83" i="2"/>
  <c r="BI144" i="2"/>
  <c r="BI115" i="2"/>
  <c r="BI43" i="2"/>
  <c r="BI173" i="2"/>
  <c r="BI102" i="2"/>
  <c r="BI29" i="2"/>
  <c r="BI74" i="2"/>
  <c r="BI36" i="2"/>
  <c r="BI112" i="2"/>
  <c r="BI122" i="2"/>
  <c r="BI60" i="2"/>
  <c r="BI196" i="2"/>
  <c r="BI25" i="2"/>
  <c r="BI64" i="2"/>
  <c r="BI126" i="2"/>
  <c r="BI118" i="2"/>
  <c r="BI178" i="2"/>
  <c r="BI163" i="2"/>
  <c r="BI140" i="2"/>
  <c r="BI9" i="2"/>
  <c r="BI89" i="2"/>
  <c r="BI96" i="2"/>
  <c r="BI57" i="2"/>
  <c r="BI170" i="2"/>
  <c r="BI192" i="2"/>
  <c r="BI70" i="2"/>
  <c r="BI203" i="2"/>
  <c r="BI157" i="2"/>
  <c r="BI31" i="2"/>
  <c r="BI182" i="2"/>
  <c r="BI35" i="2"/>
  <c r="BI90" i="2"/>
  <c r="BI202" i="2"/>
  <c r="BI79" i="2"/>
  <c r="BI11" i="2"/>
  <c r="BI61" i="2"/>
  <c r="BI68" i="2"/>
  <c r="BI13" i="2"/>
  <c r="BI101" i="2"/>
  <c r="BI32" i="2"/>
  <c r="BI15" i="2"/>
  <c r="BI114" i="2"/>
  <c r="BI34" i="2"/>
  <c r="BI181" i="2"/>
  <c r="BI98" i="2"/>
  <c r="BI72" i="2"/>
  <c r="BI199" i="2"/>
  <c r="BI120" i="2"/>
  <c r="BI142" i="2"/>
  <c r="BI86" i="2"/>
  <c r="BI82" i="2"/>
  <c r="BI65" i="2"/>
  <c r="BI104" i="2"/>
  <c r="BI56" i="2"/>
  <c r="BI16" i="2"/>
  <c r="BI106" i="2"/>
  <c r="BI145" i="2"/>
  <c r="BI131" i="2"/>
  <c r="BI148" i="2"/>
  <c r="BI138" i="2"/>
  <c r="BI128" i="2"/>
  <c r="BI186" i="2"/>
  <c r="BI116" i="2"/>
  <c r="BI107" i="2"/>
  <c r="BI146" i="2"/>
  <c r="BI201" i="2"/>
  <c r="BI7" i="2"/>
  <c r="BI179" i="2"/>
  <c r="BI5" i="2"/>
  <c r="BI85" i="2"/>
  <c r="BI66" i="2"/>
  <c r="BI80" i="2"/>
  <c r="BI108" i="2"/>
  <c r="BI109" i="2"/>
  <c r="BI153" i="2"/>
  <c r="BI110" i="2"/>
  <c r="BI6" i="2"/>
  <c r="BI99" i="2"/>
  <c r="BI19" i="2"/>
  <c r="BI194" i="2"/>
  <c r="BI162" i="2"/>
  <c r="BI45" i="2"/>
  <c r="BI27" i="2"/>
  <c r="BI52" i="2"/>
  <c r="BI92" i="2"/>
  <c r="BI149" i="2"/>
  <c r="BI124" i="2"/>
  <c r="BI55" i="2"/>
  <c r="BI195" i="2"/>
  <c r="BI171" i="2"/>
  <c r="BI41" i="2"/>
  <c r="BI58" i="2"/>
  <c r="BI197" i="2"/>
  <c r="BI156" i="2"/>
  <c r="BI100" i="2"/>
  <c r="BI105" i="2"/>
  <c r="BI69" i="2"/>
  <c r="BI180" i="2"/>
  <c r="BI117" i="2"/>
  <c r="BI198" i="2"/>
  <c r="BI174" i="2"/>
  <c r="BI46" i="2"/>
  <c r="BI113" i="2"/>
  <c r="BI177" i="2"/>
  <c r="BI78" i="2"/>
  <c r="BI24" i="2"/>
  <c r="BI185" i="2"/>
  <c r="BI76" i="2"/>
  <c r="BI28" i="2"/>
  <c r="BI130" i="2"/>
  <c r="BI93" i="2"/>
  <c r="BI111" i="2"/>
  <c r="BI123" i="2"/>
  <c r="BI166" i="2"/>
  <c r="BI14" i="2"/>
  <c r="BI48" i="2"/>
  <c r="BI160" i="2"/>
  <c r="BI22" i="2"/>
  <c r="BI40" i="2"/>
  <c r="BI172" i="2"/>
  <c r="BI18" i="2"/>
  <c r="BI129" i="2"/>
  <c r="BI42" i="2"/>
  <c r="BI161" i="2"/>
  <c r="BI67" i="2"/>
  <c r="BI50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<sst xmlns="http://schemas.openxmlformats.org/spreadsheetml/2006/main" count="1176" uniqueCount="324">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</sst>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37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156.10734926897979</c:v>
                </c:pt>
                <c:pt idx="27">
                  <c:v>171.52240247513097</c:v>
                </c:pt>
                <c:pt idx="28">
                  <c:v>186.90485368679899</c:v>
                </c:pt>
                <c:pt idx="29">
                  <c:v>202.25776507632233</c:v>
                </c:pt>
                <c:pt idx="30">
                  <c:v>217.58369540679928</c:v>
                </c:pt>
                <c:pt idx="31">
                  <c:v>235.06877345752704</c:v>
                </c:pt>
                <c:pt idx="32">
                  <c:v>252.52418390174873</c:v>
                </c:pt>
                <c:pt idx="33">
                  <c:v>269.95226599479992</c:v>
                </c:pt>
                <c:pt idx="34">
                  <c:v>287.35503217179337</c:v>
                </c:pt>
                <c:pt idx="35">
                  <c:v>304.73423115701871</c:v>
                </c:pt>
                <c:pt idx="36">
                  <c:v>231.57421272848475</c:v>
                </c:pt>
                <c:pt idx="37">
                  <c:v>249.9076676355476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304.73423115701877</c:v>
                </c:pt>
                <c:pt idx="41">
                  <c:v>322.95870071836066</c:v>
                </c:pt>
                <c:pt idx="42">
                  <c:v>341.16043929184929</c:v>
                </c:pt>
                <c:pt idx="43">
                  <c:v>359.34082988600289</c:v>
                </c:pt>
                <c:pt idx="44">
                  <c:v>377.50110417225511</c:v>
                </c:pt>
                <c:pt idx="45">
                  <c:v>395.64236567985591</c:v>
                </c:pt>
                <c:pt idx="46">
                  <c:v>322.52505476163668</c:v>
                </c:pt>
                <c:pt idx="47">
                  <c:v>340.29418424269664</c:v>
                </c:pt>
                <c:pt idx="48">
                  <c:v>358.0429114873923</c:v>
                </c:pt>
                <c:pt idx="49">
                  <c:v>375.77238986983883</c:v>
                </c:pt>
                <c:pt idx="50">
                  <c:v>393.4836550724026</c:v>
                </c:pt>
                <c:pt idx="51">
                  <c:v>410.74628007457642</c:v>
                </c:pt>
                <c:pt idx="52">
                  <c:v>427.99324784652981</c:v>
                </c:pt>
                <c:pt idx="53">
                  <c:v>445.22527789057045</c:v>
                </c:pt>
                <c:pt idx="54">
                  <c:v>462.44302949249573</c:v>
                </c:pt>
                <c:pt idx="55">
                  <c:v>479.64710886178597</c:v>
                </c:pt>
                <c:pt idx="56">
                  <c:v>405.56917103469476</c:v>
                </c:pt>
                <c:pt idx="57">
                  <c:v>421.95854377334393</c:v>
                </c:pt>
                <c:pt idx="58">
                  <c:v>438.33421494585309</c:v>
                </c:pt>
                <c:pt idx="59">
                  <c:v>454.69676831549214</c:v>
                </c:pt>
                <c:pt idx="60">
                  <c:v>471.04674221919896</c:v>
                </c:pt>
                <c:pt idx="61">
                  <c:v>486.52503910078349</c:v>
                </c:pt>
                <c:pt idx="62">
                  <c:v>501.99288641186791</c:v>
                </c:pt>
                <c:pt idx="63">
                  <c:v>517.45065135367156</c:v>
                </c:pt>
                <c:pt idx="64">
                  <c:v>532.8986774086593</c:v>
                </c:pt>
                <c:pt idx="65">
                  <c:v>548.33728653000776</c:v>
                </c:pt>
                <c:pt idx="66">
                  <c:v>472.76708100439259</c:v>
                </c:pt>
                <c:pt idx="67">
                  <c:v>487.38463458913111</c:v>
                </c:pt>
                <c:pt idx="68">
                  <c:v>501.99288641186786</c:v>
                </c:pt>
                <c:pt idx="69">
                  <c:v>516.59214520035414</c:v>
                </c:pt>
                <c:pt idx="70">
                  <c:v>531.18270081556818</c:v>
                </c:pt>
                <c:pt idx="71">
                  <c:v>544.47850023404101</c:v>
                </c:pt>
                <c:pt idx="72">
                  <c:v>557.76748661196802</c:v>
                </c:pt>
                <c:pt idx="73">
                  <c:v>571.04984509200233</c:v>
                </c:pt>
                <c:pt idx="74">
                  <c:v>584.32575150478135</c:v>
                </c:pt>
                <c:pt idx="75">
                  <c:v>597.59537304263756</c:v>
                </c:pt>
                <c:pt idx="76">
                  <c:v>520.45518659727634</c:v>
                </c:pt>
                <c:pt idx="77">
                  <c:v>533.32765337796286</c:v>
                </c:pt>
                <c:pt idx="78">
                  <c:v>546.193586977059</c:v>
                </c:pt>
                <c:pt idx="79">
                  <c:v>559.05316293312762</c:v>
                </c:pt>
                <c:pt idx="80">
                  <c:v>571.90654805285897</c:v>
                </c:pt>
                <c:pt idx="81">
                  <c:v>584.32575150478135</c:v>
                </c:pt>
                <c:pt idx="82">
                  <c:v>596.73945494670397</c:v>
                </c:pt>
                <c:pt idx="83">
                  <c:v>609.14778887966042</c:v>
                </c:pt>
                <c:pt idx="84">
                  <c:v>621.55087805639857</c:v>
                </c:pt>
                <c:pt idx="85">
                  <c:v>633.94884184664011</c:v>
                </c:pt>
                <c:pt idx="86">
                  <c:v>555.1959476117446</c:v>
                </c:pt>
                <c:pt idx="87">
                  <c:v>566.33749757672854</c:v>
                </c:pt>
                <c:pt idx="88">
                  <c:v>577.47446592353504</c:v>
                </c:pt>
                <c:pt idx="89">
                  <c:v>588.60695345087686</c:v>
                </c:pt>
                <c:pt idx="90">
                  <c:v>599.73505683441101</c:v>
                </c:pt>
                <c:pt idx="91">
                  <c:v>610.85886887038021</c:v>
                </c:pt>
                <c:pt idx="92">
                  <c:v>621.97847870058933</c:v>
                </c:pt>
                <c:pt idx="93">
                  <c:v>633.09397202046159</c:v>
                </c:pt>
                <c:pt idx="94">
                  <c:v>644.20543127172971</c:v>
                </c:pt>
                <c:pt idx="95">
                  <c:v>655.31293582114586</c:v>
                </c:pt>
                <c:pt idx="96">
                  <c:v>575.54723712647126</c:v>
                </c:pt>
                <c:pt idx="97">
                  <c:v>585.61018050264568</c:v>
                </c:pt>
                <c:pt idx="98">
                  <c:v>595.66952141128706</c:v>
                </c:pt>
                <c:pt idx="99">
                  <c:v>605.72532925827056</c:v>
                </c:pt>
                <c:pt idx="100">
                  <c:v>615.77767095740785</c:v>
                </c:pt>
                <c:pt idx="101">
                  <c:v>625.82661106001262</c:v>
                </c:pt>
                <c:pt idx="102">
                  <c:v>635.8722118757147</c:v>
                </c:pt>
                <c:pt idx="103">
                  <c:v>645.91453358524484</c:v>
                </c:pt>
                <c:pt idx="104">
                  <c:v>655.9536343458409</c:v>
                </c:pt>
                <c:pt idx="105">
                  <c:v>665.98957038987123</c:v>
                </c:pt>
                <c:pt idx="106">
                  <c:v>586.89455079472862</c:v>
                </c:pt>
                <c:pt idx="107">
                  <c:v>595.4555299089252</c:v>
                </c:pt>
                <c:pt idx="108">
                  <c:v>604.01394898353021</c:v>
                </c:pt>
                <c:pt idx="109">
                  <c:v>612.56984940724124</c:v>
                </c:pt>
                <c:pt idx="110">
                  <c:v>621.12327131831091</c:v>
                </c:pt>
                <c:pt idx="111">
                  <c:v>629.6742536593955</c:v>
                </c:pt>
                <c:pt idx="112">
                  <c:v>638.2228342292683</c:v>
                </c:pt>
                <c:pt idx="113">
                  <c:v>646.76904973162016</c:v>
                </c:pt>
                <c:pt idx="114">
                  <c:v>655.31293582114574</c:v>
                </c:pt>
                <c:pt idx="115">
                  <c:v>663.85452714710425</c:v>
                </c:pt>
                <c:pt idx="116">
                  <c:v>592.03144782908828</c:v>
                </c:pt>
                <c:pt idx="117">
                  <c:v>599.30713279218196</c:v>
                </c:pt>
                <c:pt idx="118">
                  <c:v>606.58098171901713</c:v>
                </c:pt>
                <c:pt idx="119">
                  <c:v>613.85301973416642</c:v>
                </c:pt>
                <c:pt idx="120">
                  <c:v>621.1232713183108</c:v>
                </c:pt>
                <c:pt idx="121">
                  <c:v>628.39176033224737</c:v>
                </c:pt>
                <c:pt idx="122">
                  <c:v>635.65851003972955</c:v>
                </c:pt>
                <c:pt idx="123">
                  <c:v>642.92354312920872</c:v>
                </c:pt>
                <c:pt idx="124">
                  <c:v>650.18688173454223</c:v>
                </c:pt>
                <c:pt idx="125">
                  <c:v>657.44854745472685</c:v>
                </c:pt>
                <c:pt idx="126">
                  <c:v>593.31552677912566</c:v>
                </c:pt>
                <c:pt idx="127">
                  <c:v>599.73505683440999</c:v>
                </c:pt>
                <c:pt idx="128">
                  <c:v>606.15315862414161</c:v>
                </c:pt>
                <c:pt idx="129">
                  <c:v>612.56984940724067</c:v>
                </c:pt>
                <c:pt idx="130">
                  <c:v>618.9851460514908</c:v>
                </c:pt>
                <c:pt idx="131">
                  <c:v>625.39906504645353</c:v>
                </c:pt>
                <c:pt idx="132">
                  <c:v>631.81162251582543</c:v>
                </c:pt>
                <c:pt idx="133">
                  <c:v>638.22283422926773</c:v>
                </c:pt>
                <c:pt idx="134">
                  <c:v>644.63271561373642</c:v>
                </c:pt>
                <c:pt idx="135">
                  <c:v>651.04128176433585</c:v>
                </c:pt>
                <c:pt idx="136">
                  <c:v>594.31421485880117</c:v>
                </c:pt>
                <c:pt idx="137">
                  <c:v>599.59241619255545</c:v>
                </c:pt>
                <c:pt idx="138">
                  <c:v>604.86965169329517</c:v>
                </c:pt>
                <c:pt idx="139">
                  <c:v>610.14593097892123</c:v>
                </c:pt>
                <c:pt idx="140">
                  <c:v>615.42126348737179</c:v>
                </c:pt>
                <c:pt idx="141">
                  <c:v>620.69565848153582</c:v>
                </c:pt>
                <c:pt idx="142">
                  <c:v>625.9691250539928</c:v>
                </c:pt>
                <c:pt idx="143">
                  <c:v>631.24167213158387</c:v>
                </c:pt>
                <c:pt idx="144">
                  <c:v>636.51330847982263</c:v>
                </c:pt>
                <c:pt idx="145">
                  <c:v>641.78404270715203</c:v>
                </c:pt>
                <c:pt idx="146">
                  <c:v>647.05388326905359</c:v>
                </c:pt>
                <c:pt idx="147">
                  <c:v>652.32283847201654</c:v>
                </c:pt>
                <c:pt idx="148">
                  <c:v>657.59091647737216</c:v>
                </c:pt>
                <c:pt idx="149">
                  <c:v>662.858125304998</c:v>
                </c:pt>
                <c:pt idx="150">
                  <c:v>668.12447283689914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57202992"/>
        <c:axId val="-240361936"/>
      </c:scatterChart>
      <c:valAx>
        <c:axId val="-3572029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40361936"/>
        <c:crosses val="autoZero"/>
        <c:crossBetween val="midCat"/>
      </c:valAx>
      <c:valAx>
        <c:axId val="-240361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572029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48584368"/>
        <c:axId val="-648585456"/>
      </c:scatterChart>
      <c:valAx>
        <c:axId val="-6485843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48585456"/>
        <c:crosses val="autoZero"/>
        <c:crossBetween val="midCat"/>
      </c:valAx>
      <c:valAx>
        <c:axId val="-648585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485843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210.34498910896306</c:v>
                </c:pt>
                <c:pt idx="32">
                  <c:v>225.96022281826015</c:v>
                </c:pt>
                <c:pt idx="33">
                  <c:v>241.5507456503326</c:v>
                </c:pt>
                <c:pt idx="34">
                  <c:v>257.1183772918742</c:v>
                </c:pt>
                <c:pt idx="35">
                  <c:v>272.6646989766358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288.96691630985219</c:v>
                </c:pt>
                <c:pt idx="42">
                  <c:v>305.24857979967953</c:v>
                </c:pt>
                <c:pt idx="43">
                  <c:v>321.51093999187805</c:v>
                </c:pt>
                <c:pt idx="44">
                  <c:v>337.75511058999291</c:v>
                </c:pt>
                <c:pt idx="45">
                  <c:v>353.9820894286774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367.49209034996028</c:v>
                </c:pt>
                <c:pt idx="52">
                  <c:v>382.9188457551441</c:v>
                </c:pt>
                <c:pt idx="53">
                  <c:v>398.33209414857441</c:v>
                </c:pt>
                <c:pt idx="54">
                  <c:v>413.73243167051174</c:v>
                </c:pt>
                <c:pt idx="55">
                  <c:v>429.12040646848055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435.27224940464231</c:v>
                </c:pt>
                <c:pt idx="62">
                  <c:v>449.10711821530072</c:v>
                </c:pt>
                <c:pt idx="63">
                  <c:v>462.93287033289988</c:v>
                </c:pt>
                <c:pt idx="64">
                  <c:v>476.74981634160105</c:v>
                </c:pt>
                <c:pt idx="65">
                  <c:v>490.55824735832402</c:v>
                </c:pt>
                <c:pt idx="66">
                  <c:v>422.96666682108577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462.16500679362093</c:v>
                </c:pt>
                <c:pt idx="70">
                  <c:v>475.21502577729035</c:v>
                </c:pt>
                <c:pt idx="71">
                  <c:v>487.10692264565643</c:v>
                </c:pt>
                <c:pt idx="72">
                  <c:v>498.99265901764255</c:v>
                </c:pt>
                <c:pt idx="73">
                  <c:v>510.87240230317911</c:v>
                </c:pt>
                <c:pt idx="74">
                  <c:v>522.74631149207403</c:v>
                </c:pt>
                <c:pt idx="75">
                  <c:v>534.61453776319524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522.74631149207403</c:v>
                </c:pt>
                <c:pt idx="82">
                  <c:v>533.84901440052874</c:v>
                </c:pt>
                <c:pt idx="83">
                  <c:v>544.94686208460519</c:v>
                </c:pt>
                <c:pt idx="84">
                  <c:v>556.03996734839518</c:v>
                </c:pt>
                <c:pt idx="85">
                  <c:v>567.12843812854373</c:v>
                </c:pt>
                <c:pt idx="86">
                  <c:v>496.69266671205565</c:v>
                </c:pt>
                <c:pt idx="87">
                  <c:v>506.65768536589252</c:v>
                </c:pt>
                <c:pt idx="88">
                  <c:v>516.61856122298445</c:v>
                </c:pt>
                <c:pt idx="89">
                  <c:v>526.57538542767463</c:v>
                </c:pt>
                <c:pt idx="90">
                  <c:v>536.52824539615108</c:v>
                </c:pt>
                <c:pt idx="91">
                  <c:v>546.47722503675345</c:v>
                </c:pt>
                <c:pt idx="92">
                  <c:v>556.42240495340013</c:v>
                </c:pt>
                <c:pt idx="93">
                  <c:v>566.3638626337181</c:v>
                </c:pt>
                <c:pt idx="94">
                  <c:v>576.30167262327802</c:v>
                </c:pt>
                <c:pt idx="95">
                  <c:v>586.23590668718793</c:v>
                </c:pt>
                <c:pt idx="96">
                  <c:v>514.89485591885318</c:v>
                </c:pt>
                <c:pt idx="97">
                  <c:v>523.89509553418225</c:v>
                </c:pt>
                <c:pt idx="98">
                  <c:v>532.8920777216357</c:v>
                </c:pt>
                <c:pt idx="99">
                  <c:v>541.885865239483</c:v>
                </c:pt>
                <c:pt idx="100">
                  <c:v>550.87651859261859</c:v>
                </c:pt>
                <c:pt idx="101">
                  <c:v>559.86409614971501</c:v>
                </c:pt>
                <c:pt idx="102">
                  <c:v>568.84865425246721</c:v>
                </c:pt>
                <c:pt idx="103">
                  <c:v>577.83024731757325</c:v>
                </c:pt>
                <c:pt idx="104">
                  <c:v>586.80892793204669</c:v>
                </c:pt>
                <c:pt idx="105">
                  <c:v>595.78474694239264</c:v>
                </c:pt>
                <c:pt idx="106">
                  <c:v>525.04382649327317</c:v>
                </c:pt>
                <c:pt idx="107">
                  <c:v>532.70068604986398</c:v>
                </c:pt>
                <c:pt idx="108">
                  <c:v>540.35523076412699</c:v>
                </c:pt>
                <c:pt idx="109">
                  <c:v>548.00749806060423</c:v>
                </c:pt>
                <c:pt idx="110">
                  <c:v>555.65752423315905</c:v>
                </c:pt>
                <c:pt idx="111">
                  <c:v>563.30534449456991</c:v>
                </c:pt>
                <c:pt idx="112">
                  <c:v>570.95099302329288</c:v>
                </c:pt>
                <c:pt idx="113">
                  <c:v>578.59450300758726</c:v>
                </c:pt>
                <c:pt idx="114">
                  <c:v>586.23590668718782</c:v>
                </c:pt>
                <c:pt idx="115">
                  <c:v>593.87523539269228</c:v>
                </c:pt>
                <c:pt idx="116">
                  <c:v>529.63822214325535</c:v>
                </c:pt>
                <c:pt idx="117">
                  <c:v>536.14551536775173</c:v>
                </c:pt>
                <c:pt idx="118">
                  <c:v>542.65114840915533</c:v>
                </c:pt>
                <c:pt idx="119">
                  <c:v>549.15514398563994</c:v>
                </c:pt>
                <c:pt idx="120">
                  <c:v>555.65752423315882</c:v>
                </c:pt>
                <c:pt idx="121">
                  <c:v>562.15831072715275</c:v>
                </c:pt>
                <c:pt idx="122">
                  <c:v>568.65752450320326</c:v>
                </c:pt>
                <c:pt idx="123">
                  <c:v>575.15518607669139</c:v>
                </c:pt>
                <c:pt idx="124">
                  <c:v>581.65131546152236</c:v>
                </c:pt>
                <c:pt idx="125">
                  <c:v>588.14593218796915</c:v>
                </c:pt>
                <c:pt idx="126">
                  <c:v>530.78668966466273</c:v>
                </c:pt>
                <c:pt idx="127">
                  <c:v>536.52824539615051</c:v>
                </c:pt>
                <c:pt idx="128">
                  <c:v>542.26850965950291</c:v>
                </c:pt>
                <c:pt idx="129">
                  <c:v>548.00749806060389</c:v>
                </c:pt>
                <c:pt idx="130">
                  <c:v>553.74522585166233</c:v>
                </c:pt>
                <c:pt idx="131">
                  <c:v>559.48170794289092</c:v>
                </c:pt>
                <c:pt idx="132">
                  <c:v>565.21695891367983</c:v>
                </c:pt>
                <c:pt idx="133">
                  <c:v>570.95099302329243</c:v>
                </c:pt>
                <c:pt idx="134">
                  <c:v>576.68382422111074</c:v>
                </c:pt>
                <c:pt idx="135">
                  <c:v>582.41546615645018</c:v>
                </c:pt>
                <c:pt idx="136">
                  <c:v>531.67990601917427</c:v>
                </c:pt>
                <c:pt idx="137">
                  <c:v>536.40066935799541</c:v>
                </c:pt>
                <c:pt idx="138">
                  <c:v>541.12055937003197</c:v>
                </c:pt>
                <c:pt idx="139">
                  <c:v>545.83958475199609</c:v>
                </c:pt>
                <c:pt idx="140">
                  <c:v>550.55775403787118</c:v>
                </c:pt>
                <c:pt idx="141">
                  <c:v>555.27507560335937</c:v>
                </c:pt>
                <c:pt idx="142">
                  <c:v>559.99155767016464</c:v>
                </c:pt>
                <c:pt idx="143">
                  <c:v>564.70720831012704</c:v>
                </c:pt>
                <c:pt idx="144">
                  <c:v>569.42203544921017</c:v>
                </c:pt>
                <c:pt idx="145">
                  <c:v>574.13604687135182</c:v>
                </c:pt>
                <c:pt idx="146">
                  <c:v>578.84925022217828</c:v>
                </c:pt>
                <c:pt idx="147">
                  <c:v>583.56165301259455</c:v>
                </c:pt>
                <c:pt idx="148">
                  <c:v>588.27326262224994</c:v>
                </c:pt>
                <c:pt idx="149">
                  <c:v>592.98408630288839</c:v>
                </c:pt>
                <c:pt idx="150">
                  <c:v>597.69413118158661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40361392"/>
        <c:axId val="-240359216"/>
      </c:scatterChart>
      <c:valAx>
        <c:axId val="-2403613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40359216"/>
        <c:crosses val="autoZero"/>
        <c:crossBetween val="midCat"/>
      </c:valAx>
      <c:valAx>
        <c:axId val="-240359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403613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3.3043568983948219</c:v>
                </c:pt>
                <c:pt idx="2">
                  <c:v>4.1131513120146055</c:v>
                </c:pt>
                <c:pt idx="3">
                  <c:v>5.1206664109263427</c:v>
                </c:pt>
                <c:pt idx="4">
                  <c:v>6.375902542534404</c:v>
                </c:pt>
                <c:pt idx="5">
                  <c:v>7.9399827670654304</c:v>
                </c:pt>
                <c:pt idx="6">
                  <c:v>9.8891612665776254</c:v>
                </c:pt>
                <c:pt idx="7">
                  <c:v>12.318580445108942</c:v>
                </c:pt>
                <c:pt idx="8">
                  <c:v>15.346963526425172</c:v>
                </c:pt>
                <c:pt idx="9">
                  <c:v>19.122476175830567</c:v>
                </c:pt>
                <c:pt idx="10">
                  <c:v>23.830049102016243</c:v>
                </c:pt>
                <c:pt idx="11">
                  <c:v>29.700526674358532</c:v>
                </c:pt>
                <c:pt idx="12">
                  <c:v>37.022098000505643</c:v>
                </c:pt>
                <c:pt idx="13">
                  <c:v>46.154581254564704</c:v>
                </c:pt>
                <c:pt idx="14">
                  <c:v>57.547275093132022</c:v>
                </c:pt>
                <c:pt idx="15">
                  <c:v>71.761269961795847</c:v>
                </c:pt>
                <c:pt idx="16">
                  <c:v>85.095907314816401</c:v>
                </c:pt>
                <c:pt idx="17">
                  <c:v>98.377811836935564</c:v>
                </c:pt>
                <c:pt idx="18">
                  <c:v>111.61512570313762</c:v>
                </c:pt>
                <c:pt idx="19">
                  <c:v>124.81389250757191</c:v>
                </c:pt>
                <c:pt idx="20">
                  <c:v>137.97876857105169</c:v>
                </c:pt>
                <c:pt idx="21">
                  <c:v>129.49841164498483</c:v>
                </c:pt>
                <c:pt idx="22">
                  <c:v>144.40373988526488</c:v>
                </c:pt>
                <c:pt idx="23">
                  <c:v>159.27223970270444</c:v>
                </c:pt>
                <c:pt idx="24">
                  <c:v>174.10783595481448</c:v>
                </c:pt>
                <c:pt idx="25">
                  <c:v>188.91372878959294</c:v>
                </c:pt>
                <c:pt idx="26">
                  <c:v>204.27161874226246</c:v>
                </c:pt>
                <c:pt idx="27">
                  <c:v>219.60280249807681</c:v>
                </c:pt>
                <c:pt idx="28">
                  <c:v>234.90940746495096</c:v>
                </c:pt>
                <c:pt idx="29">
                  <c:v>250.19326097093685</c:v>
                </c:pt>
                <c:pt idx="30">
                  <c:v>265.45594873287126</c:v>
                </c:pt>
                <c:pt idx="31">
                  <c:v>240.39105366248293</c:v>
                </c:pt>
                <c:pt idx="32">
                  <c:v>255.66714821510956</c:v>
                </c:pt>
                <c:pt idx="33">
                  <c:v>270.92259547869656</c:v>
                </c:pt>
                <c:pt idx="34">
                  <c:v>286.15872187513997</c:v>
                </c:pt>
                <c:pt idx="35">
                  <c:v>301.37670100579004</c:v>
                </c:pt>
                <c:pt idx="36">
                  <c:v>316.00425931230865</c:v>
                </c:pt>
                <c:pt idx="37">
                  <c:v>330.61681894119141</c:v>
                </c:pt>
                <c:pt idx="38">
                  <c:v>345.21513616565261</c:v>
                </c:pt>
                <c:pt idx="39">
                  <c:v>359.79989807187752</c:v>
                </c:pt>
                <c:pt idx="40">
                  <c:v>374.3717314954622</c:v>
                </c:pt>
                <c:pt idx="41">
                  <c:v>338.34706882980078</c:v>
                </c:pt>
                <c:pt idx="42">
                  <c:v>352.36618279610326</c:v>
                </c:pt>
                <c:pt idx="43">
                  <c:v>366.37307423131756</c:v>
                </c:pt>
                <c:pt idx="44">
                  <c:v>380.3682762367792</c:v>
                </c:pt>
                <c:pt idx="45">
                  <c:v>394.35227948231795</c:v>
                </c:pt>
                <c:pt idx="46">
                  <c:v>407.75540484100776</c:v>
                </c:pt>
                <c:pt idx="47">
                  <c:v>421.14901471610159</c:v>
                </c:pt>
                <c:pt idx="48">
                  <c:v>434.53345434246239</c:v>
                </c:pt>
                <c:pt idx="49">
                  <c:v>447.90904595354408</c:v>
                </c:pt>
                <c:pt idx="50">
                  <c:v>461.27609096941552</c:v>
                </c:pt>
                <c:pt idx="51">
                  <c:v>419.72460434236359</c:v>
                </c:pt>
                <c:pt idx="52">
                  <c:v>432.25588530441445</c:v>
                </c:pt>
                <c:pt idx="53">
                  <c:v>444.77936519493966</c:v>
                </c:pt>
                <c:pt idx="54">
                  <c:v>457.2952946141495</c:v>
                </c:pt>
                <c:pt idx="55">
                  <c:v>469.80390932615688</c:v>
                </c:pt>
                <c:pt idx="56">
                  <c:v>481.45327595412624</c:v>
                </c:pt>
                <c:pt idx="57">
                  <c:v>493.09665437546749</c:v>
                </c:pt>
                <c:pt idx="58">
                  <c:v>504.73420591215864</c:v>
                </c:pt>
                <c:pt idx="59">
                  <c:v>516.3660838407244</c:v>
                </c:pt>
                <c:pt idx="60">
                  <c:v>527.99243396951181</c:v>
                </c:pt>
                <c:pt idx="61">
                  <c:v>485.14571936914029</c:v>
                </c:pt>
                <c:pt idx="62">
                  <c:v>496.21948974271317</c:v>
                </c:pt>
                <c:pt idx="63">
                  <c:v>507.28802580021755</c:v>
                </c:pt>
                <c:pt idx="64">
                  <c:v>518.35145784639667</c:v>
                </c:pt>
                <c:pt idx="65">
                  <c:v>529.40991017019905</c:v>
                </c:pt>
                <c:pt idx="66">
                  <c:v>540.18013580779473</c:v>
                </c:pt>
                <c:pt idx="67">
                  <c:v>550.94585148491763</c:v>
                </c:pt>
                <c:pt idx="68">
                  <c:v>561.70715774350776</c:v>
                </c:pt>
                <c:pt idx="69">
                  <c:v>572.4641509593182</c:v>
                </c:pt>
                <c:pt idx="70">
                  <c:v>583.21692359125188</c:v>
                </c:pt>
                <c:pt idx="71">
                  <c:v>542.16362979037569</c:v>
                </c:pt>
                <c:pt idx="72">
                  <c:v>552.07882650510749</c:v>
                </c:pt>
                <c:pt idx="73">
                  <c:v>561.99029135597004</c:v>
                </c:pt>
                <c:pt idx="74">
                  <c:v>571.89809943666535</c:v>
                </c:pt>
                <c:pt idx="75">
                  <c:v>581.80232302690615</c:v>
                </c:pt>
                <c:pt idx="76">
                  <c:v>591.42020251323834</c:v>
                </c:pt>
                <c:pt idx="77">
                  <c:v>601.03482666056914</c:v>
                </c:pt>
                <c:pt idx="78">
                  <c:v>610.64625488100796</c:v>
                </c:pt>
                <c:pt idx="79">
                  <c:v>620.25454456407806</c:v>
                </c:pt>
                <c:pt idx="80">
                  <c:v>629.85975117650617</c:v>
                </c:pt>
                <c:pt idx="81">
                  <c:v>589.15746715790237</c:v>
                </c:pt>
                <c:pt idx="82">
                  <c:v>597.92456551950988</c:v>
                </c:pt>
                <c:pt idx="83">
                  <c:v>606.68899129254567</c:v>
                </c:pt>
                <c:pt idx="84">
                  <c:v>615.45078852910217</c:v>
                </c:pt>
                <c:pt idx="85">
                  <c:v>624.20999992474549</c:v>
                </c:pt>
                <c:pt idx="86">
                  <c:v>632.68423305275508</c:v>
                </c:pt>
                <c:pt idx="87">
                  <c:v>641.15611967114364</c:v>
                </c:pt>
                <c:pt idx="88">
                  <c:v>649.62569515483597</c:v>
                </c:pt>
                <c:pt idx="89">
                  <c:v>658.09299388120962</c:v>
                </c:pt>
                <c:pt idx="90">
                  <c:v>666.5580492709729</c:v>
                </c:pt>
                <c:pt idx="91">
                  <c:v>627.88245802322297</c:v>
                </c:pt>
                <c:pt idx="92">
                  <c:v>635.79086204215162</c:v>
                </c:pt>
                <c:pt idx="93">
                  <c:v>643.69723340230655</c:v>
                </c:pt>
                <c:pt idx="94">
                  <c:v>651.60160059010093</c:v>
                </c:pt>
                <c:pt idx="95">
                  <c:v>659.50399134449947</c:v>
                </c:pt>
                <c:pt idx="96">
                  <c:v>666.84017953064847</c:v>
                </c:pt>
                <c:pt idx="97">
                  <c:v>674.17470795083898</c:v>
                </c:pt>
                <c:pt idx="98">
                  <c:v>681.50759720748704</c:v>
                </c:pt>
                <c:pt idx="99">
                  <c:v>688.83886742352513</c:v>
                </c:pt>
                <c:pt idx="100">
                  <c:v>696.16853825865599</c:v>
                </c:pt>
                <c:pt idx="101">
                  <c:v>657.90485618135335</c:v>
                </c:pt>
                <c:pt idx="102">
                  <c:v>664.77116720086644</c:v>
                </c:pt>
                <c:pt idx="103">
                  <c:v>671.63601926147157</c:v>
                </c:pt>
                <c:pt idx="104">
                  <c:v>678.49942937821902</c:v>
                </c:pt>
                <c:pt idx="105">
                  <c:v>685.36141419385694</c:v>
                </c:pt>
                <c:pt idx="106">
                  <c:v>692.22198999070451</c:v>
                </c:pt>
                <c:pt idx="107">
                  <c:v>699.08117270203013</c:v>
                </c:pt>
                <c:pt idx="108">
                  <c:v>705.93897792295786</c:v>
                </c:pt>
                <c:pt idx="109">
                  <c:v>712.79542092093106</c:v>
                </c:pt>
                <c:pt idx="110">
                  <c:v>719.65051664575105</c:v>
                </c:pt>
                <c:pt idx="111">
                  <c:v>726.50427973921353</c:v>
                </c:pt>
                <c:pt idx="112">
                  <c:v>733.35672454436235</c:v>
                </c:pt>
                <c:pt idx="113">
                  <c:v>740.20786511438098</c:v>
                </c:pt>
                <c:pt idx="114">
                  <c:v>747.05771522113525</c:v>
                </c:pt>
                <c:pt idx="115">
                  <c:v>753.90628836338919</c:v>
                </c:pt>
                <c:pt idx="116">
                  <c:v>697.85977566570875</c:v>
                </c:pt>
                <c:pt idx="117">
                  <c:v>703.7784472654771</c:v>
                </c:pt>
                <c:pt idx="118">
                  <c:v>709.69610073989497</c:v>
                </c:pt>
                <c:pt idx="119">
                  <c:v>715.61274577555503</c:v>
                </c:pt>
                <c:pt idx="120">
                  <c:v>721.52839188581368</c:v>
                </c:pt>
                <c:pt idx="121">
                  <c:v>727.44304841531573</c:v>
                </c:pt>
                <c:pt idx="122">
                  <c:v>733.35672454436235</c:v>
                </c:pt>
                <c:pt idx="123">
                  <c:v>739.26942929313338</c:v>
                </c:pt>
                <c:pt idx="124">
                  <c:v>745.18117152576485</c:v>
                </c:pt>
                <c:pt idx="125">
                  <c:v>751.09195995429218</c:v>
                </c:pt>
                <c:pt idx="126">
                  <c:v>757.00180314246347</c:v>
                </c:pt>
                <c:pt idx="127">
                  <c:v>762.91070950942458</c:v>
                </c:pt>
                <c:pt idx="128">
                  <c:v>768.81868733328736</c:v>
                </c:pt>
                <c:pt idx="129">
                  <c:v>774.72574475458123</c:v>
                </c:pt>
                <c:pt idx="130">
                  <c:v>780.63188977959317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40359760"/>
        <c:axId val="-240358672"/>
      </c:scatterChart>
      <c:valAx>
        <c:axId val="-2403597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40358672"/>
        <c:crosses val="autoZero"/>
        <c:crossBetween val="midCat"/>
      </c:valAx>
      <c:valAx>
        <c:axId val="-240358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403597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3.2703410613260862</c:v>
                </c:pt>
                <c:pt idx="2">
                  <c:v>3.9161437254808931</c:v>
                </c:pt>
                <c:pt idx="3">
                  <c:v>4.6899445270810372</c:v>
                </c:pt>
                <c:pt idx="4">
                  <c:v>5.617200485549847</c:v>
                </c:pt>
                <c:pt idx="5">
                  <c:v>6.7284480012868242</c:v>
                </c:pt>
                <c:pt idx="6">
                  <c:v>8.0603193640911446</c:v>
                </c:pt>
                <c:pt idx="7">
                  <c:v>9.6567632502780452</c:v>
                </c:pt>
                <c:pt idx="8">
                  <c:v>11.570510247422023</c:v>
                </c:pt>
                <c:pt idx="9">
                  <c:v>13.864832720969302</c:v>
                </c:pt>
                <c:pt idx="10">
                  <c:v>16.61565828443106</c:v>
                </c:pt>
                <c:pt idx="11">
                  <c:v>19.914108093024186</c:v>
                </c:pt>
                <c:pt idx="12">
                  <c:v>23.869545556641487</c:v>
                </c:pt>
                <c:pt idx="13">
                  <c:v>28.613238351676909</c:v>
                </c:pt>
                <c:pt idx="14">
                  <c:v>34.302757391640604</c:v>
                </c:pt>
                <c:pt idx="15">
                  <c:v>41.127261402376554</c:v>
                </c:pt>
                <c:pt idx="16">
                  <c:v>49.313845791603399</c:v>
                </c:pt>
                <c:pt idx="17">
                  <c:v>59.135170630109862</c:v>
                </c:pt>
                <c:pt idx="18">
                  <c:v>70.918626007223153</c:v>
                </c:pt>
                <c:pt idx="19">
                  <c:v>85.057345270772814</c:v>
                </c:pt>
                <c:pt idx="20">
                  <c:v>102.02343949799173</c:v>
                </c:pt>
                <c:pt idx="21">
                  <c:v>115.24488471715169</c:v>
                </c:pt>
                <c:pt idx="22">
                  <c:v>128.42920528646451</c:v>
                </c:pt>
                <c:pt idx="23">
                  <c:v>141.58075430337479</c:v>
                </c:pt>
                <c:pt idx="24">
                  <c:v>154.70300795717847</c:v>
                </c:pt>
                <c:pt idx="25">
                  <c:v>167.79880331835713</c:v>
                </c:pt>
                <c:pt idx="26">
                  <c:v>165.46209858933364</c:v>
                </c:pt>
                <c:pt idx="27">
                  <c:v>181.80332238755173</c:v>
                </c:pt>
                <c:pt idx="28">
                  <c:v>198.11017765361632</c:v>
                </c:pt>
                <c:pt idx="29">
                  <c:v>214.38589248354245</c:v>
                </c:pt>
                <c:pt idx="30">
                  <c:v>230.63316428689711</c:v>
                </c:pt>
                <c:pt idx="31">
                  <c:v>249.16956379358496</c:v>
                </c:pt>
                <c:pt idx="32">
                  <c:v>267.6746881557828</c:v>
                </c:pt>
                <c:pt idx="33">
                  <c:v>286.15100338127621</c:v>
                </c:pt>
                <c:pt idx="34">
                  <c:v>304.60063094888795</c:v>
                </c:pt>
                <c:pt idx="35">
                  <c:v>323.02541433745813</c:v>
                </c:pt>
                <c:pt idx="36">
                  <c:v>245.46487179097775</c:v>
                </c:pt>
                <c:pt idx="37">
                  <c:v>264.90081208016204</c:v>
                </c:pt>
                <c:pt idx="38">
                  <c:v>284.30460543918775</c:v>
                </c:pt>
                <c:pt idx="39">
                  <c:v>303.67875394863927</c:v>
                </c:pt>
                <c:pt idx="40">
                  <c:v>323.02541433745824</c:v>
                </c:pt>
                <c:pt idx="41">
                  <c:v>342.34646391464634</c:v>
                </c:pt>
                <c:pt idx="42">
                  <c:v>361.64355082638082</c:v>
                </c:pt>
                <c:pt idx="43">
                  <c:v>380.91813301943733</c:v>
                </c:pt>
                <c:pt idx="44">
                  <c:v>400.17150890331305</c:v>
                </c:pt>
                <c:pt idx="45">
                  <c:v>419.40484180194306</c:v>
                </c:pt>
                <c:pt idx="46">
                  <c:v>341.88672353906321</c:v>
                </c:pt>
                <c:pt idx="47">
                  <c:v>360.72516312195717</c:v>
                </c:pt>
                <c:pt idx="48">
                  <c:v>379.54209497418606</c:v>
                </c:pt>
                <c:pt idx="49">
                  <c:v>398.33873496539172</c:v>
                </c:pt>
                <c:pt idx="50">
                  <c:v>417.1161748963454</c:v>
                </c:pt>
                <c:pt idx="51">
                  <c:v>435.41806774560104</c:v>
                </c:pt>
                <c:pt idx="52">
                  <c:v>453.70345497828936</c:v>
                </c:pt>
                <c:pt idx="53">
                  <c:v>471.97309508291988</c:v>
                </c:pt>
                <c:pt idx="54">
                  <c:v>490.22768306866254</c:v>
                </c:pt>
                <c:pt idx="55">
                  <c:v>508.46785799243213</c:v>
                </c:pt>
                <c:pt idx="56">
                  <c:v>429.92926929891951</c:v>
                </c:pt>
                <c:pt idx="57">
                  <c:v>447.30539808561917</c:v>
                </c:pt>
                <c:pt idx="58">
                  <c:v>464.66708288740648</c:v>
                </c:pt>
                <c:pt idx="59">
                  <c:v>482.01493909873869</c:v>
                </c:pt>
                <c:pt idx="60">
                  <c:v>499.34953422631742</c:v>
                </c:pt>
                <c:pt idx="61">
                  <c:v>515.76002588713061</c:v>
                </c:pt>
                <c:pt idx="62">
                  <c:v>532.15950176791512</c:v>
                </c:pt>
                <c:pt idx="63">
                  <c:v>548.54834896667228</c:v>
                </c:pt>
                <c:pt idx="64">
                  <c:v>564.92692957744998</c:v>
                </c:pt>
                <c:pt idx="65">
                  <c:v>581.29558299844393</c:v>
                </c:pt>
                <c:pt idx="66">
                  <c:v>501.17347881997517</c:v>
                </c:pt>
                <c:pt idx="67">
                  <c:v>516.67139318273325</c:v>
                </c:pt>
                <c:pt idx="68">
                  <c:v>532.15950176791512</c:v>
                </c:pt>
                <c:pt idx="69">
                  <c:v>547.63813003167172</c:v>
                </c:pt>
                <c:pt idx="70">
                  <c:v>563.10758354108657</c:v>
                </c:pt>
                <c:pt idx="71">
                  <c:v>577.20433255089188</c:v>
                </c:pt>
                <c:pt idx="72">
                  <c:v>591.29389935584197</c:v>
                </c:pt>
                <c:pt idx="73">
                  <c:v>605.37647913053661</c:v>
                </c:pt>
                <c:pt idx="74">
                  <c:v>619.45225723298938</c:v>
                </c:pt>
                <c:pt idx="75">
                  <c:v>633.52140991484157</c:v>
                </c:pt>
                <c:pt idx="76">
                  <c:v>551.733866142642</c:v>
                </c:pt>
                <c:pt idx="77">
                  <c:v>565.38174692254495</c:v>
                </c:pt>
                <c:pt idx="78">
                  <c:v>579.02274052069401</c:v>
                </c:pt>
                <c:pt idx="79">
                  <c:v>592.65703198720132</c:v>
                </c:pt>
                <c:pt idx="80">
                  <c:v>606.28479716717072</c:v>
                </c:pt>
                <c:pt idx="81">
                  <c:v>619.45225723298938</c:v>
                </c:pt>
                <c:pt idx="82">
                  <c:v>632.61391927100283</c:v>
                </c:pt>
                <c:pt idx="83">
                  <c:v>645.7699208534375</c:v>
                </c:pt>
                <c:pt idx="84">
                  <c:v>658.92039349276354</c:v>
                </c:pt>
                <c:pt idx="85">
                  <c:v>672.06546302674576</c:v>
                </c:pt>
                <c:pt idx="86">
                  <c:v>588.56743763742327</c:v>
                </c:pt>
                <c:pt idx="87">
                  <c:v>600.38022262303105</c:v>
                </c:pt>
                <c:pt idx="88">
                  <c:v>612.18817773567753</c:v>
                </c:pt>
                <c:pt idx="89">
                  <c:v>623.99140923584889</c:v>
                </c:pt>
                <c:pt idx="90">
                  <c:v>635.79001903756898</c:v>
                </c:pt>
                <c:pt idx="91">
                  <c:v>647.58410496524061</c:v>
                </c:pt>
                <c:pt idx="92">
                  <c:v>659.37376099081382</c:v>
                </c:pt>
                <c:pt idx="93">
                  <c:v>671.15907745311404</c:v>
                </c:pt>
                <c:pt idx="94">
                  <c:v>682.94014126097602</c:v>
                </c:pt>
                <c:pt idx="95">
                  <c:v>694.71703608163637</c:v>
                </c:pt>
                <c:pt idx="96">
                  <c:v>610.14483413808273</c:v>
                </c:pt>
                <c:pt idx="97">
                  <c:v>620.81407495489441</c:v>
                </c:pt>
                <c:pt idx="98">
                  <c:v>631.47951810462496</c:v>
                </c:pt>
                <c:pt idx="99">
                  <c:v>642.14123675390317</c:v>
                </c:pt>
                <c:pt idx="100">
                  <c:v>652.79930144226284</c:v>
                </c:pt>
                <c:pt idx="101">
                  <c:v>663.4537802187283</c:v>
                </c:pt>
                <c:pt idx="102">
                  <c:v>674.10473876917411</c:v>
                </c:pt>
                <c:pt idx="103">
                  <c:v>684.75224053522015</c:v>
                </c:pt>
                <c:pt idx="104">
                  <c:v>695.39634682535325</c:v>
                </c:pt>
                <c:pt idx="105">
                  <c:v>706.03711691888884</c:v>
                </c:pt>
                <c:pt idx="106">
                  <c:v>622.17583079004828</c:v>
                </c:pt>
                <c:pt idx="107">
                  <c:v>631.2526328162387</c:v>
                </c:pt>
                <c:pt idx="108">
                  <c:v>640.32673608720268</c:v>
                </c:pt>
                <c:pt idx="109">
                  <c:v>649.39818423428187</c:v>
                </c:pt>
                <c:pt idx="110">
                  <c:v>658.4670195706193</c:v>
                </c:pt>
                <c:pt idx="111">
                  <c:v>667.53328314897635</c:v>
                </c:pt>
                <c:pt idx="112">
                  <c:v>676.59701481625154</c:v>
                </c:pt>
                <c:pt idx="113">
                  <c:v>685.6582532649237</c:v>
                </c:pt>
                <c:pt idx="114">
                  <c:v>694.71703608163625</c:v>
                </c:pt>
                <c:pt idx="115">
                  <c:v>703.77339979311625</c:v>
                </c:pt>
                <c:pt idx="116">
                  <c:v>627.62223834541589</c:v>
                </c:pt>
                <c:pt idx="117">
                  <c:v>635.33631061817198</c:v>
                </c:pt>
                <c:pt idx="118">
                  <c:v>643.04844736912344</c:v>
                </c:pt>
                <c:pt idx="119">
                  <c:v>650.75867508421732</c:v>
                </c:pt>
                <c:pt idx="120">
                  <c:v>658.46701957061907</c:v>
                </c:pt>
                <c:pt idx="121">
                  <c:v>666.17350598202165</c:v>
                </c:pt>
                <c:pt idx="122">
                  <c:v>673.87815884272459</c:v>
                </c:pt>
                <c:pt idx="123">
                  <c:v>681.58100207055179</c:v>
                </c:pt>
                <c:pt idx="124">
                  <c:v>689.28205899868283</c:v>
                </c:pt>
                <c:pt idx="125">
                  <c:v>696.98135239645478</c:v>
                </c:pt>
                <c:pt idx="126">
                  <c:v>628.98368705216785</c:v>
                </c:pt>
                <c:pt idx="127">
                  <c:v>635.79001903756807</c:v>
                </c:pt>
                <c:pt idx="128">
                  <c:v>642.59484536690786</c:v>
                </c:pt>
                <c:pt idx="129">
                  <c:v>649.39818423428142</c:v>
                </c:pt>
                <c:pt idx="130">
                  <c:v>656.20005342145259</c:v>
                </c:pt>
                <c:pt idx="131">
                  <c:v>663.00047031146858</c:v>
                </c:pt>
                <c:pt idx="132">
                  <c:v>669.79945190168803</c:v>
                </c:pt>
                <c:pt idx="133">
                  <c:v>676.59701481625098</c:v>
                </c:pt>
                <c:pt idx="134">
                  <c:v>683.3931753180218</c:v>
                </c:pt>
                <c:pt idx="135">
                  <c:v>690.187949320033</c:v>
                </c:pt>
                <c:pt idx="136">
                  <c:v>630.04254944229217</c:v>
                </c:pt>
                <c:pt idx="137">
                  <c:v>635.63878364155471</c:v>
                </c:pt>
                <c:pt idx="138">
                  <c:v>641.2339996741822</c:v>
                </c:pt>
                <c:pt idx="139">
                  <c:v>646.82820767922146</c:v>
                </c:pt>
                <c:pt idx="140">
                  <c:v>652.42141760600475</c:v>
                </c:pt>
                <c:pt idx="141">
                  <c:v>658.01363921933</c:v>
                </c:pt>
                <c:pt idx="142">
                  <c:v>663.60488210445783</c:v>
                </c:pt>
                <c:pt idx="143">
                  <c:v>669.19515567193014</c:v>
                </c:pt>
                <c:pt idx="144">
                  <c:v>674.78446916221935</c:v>
                </c:pt>
                <c:pt idx="145">
                  <c:v>680.3728316502162</c:v>
                </c:pt>
                <c:pt idx="146">
                  <c:v>685.96025204956243</c:v>
                </c:pt>
                <c:pt idx="147">
                  <c:v>691.54673911683437</c:v>
                </c:pt>
                <c:pt idx="148">
                  <c:v>697.13230145558407</c:v>
                </c:pt>
                <c:pt idx="149">
                  <c:v>702.71694752024598</c:v>
                </c:pt>
                <c:pt idx="150">
                  <c:v>708.30068561991141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40358128"/>
        <c:axId val="-240362480"/>
      </c:scatterChart>
      <c:valAx>
        <c:axId val="-2403581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40362480"/>
        <c:crosses val="autoZero"/>
        <c:crossBetween val="midCat"/>
      </c:valAx>
      <c:valAx>
        <c:axId val="-240362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403581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2.8187126632448081</c:v>
                </c:pt>
                <c:pt idx="2">
                  <c:v>3.5573599444099848</c:v>
                </c:pt>
                <c:pt idx="3">
                  <c:v>4.4903248835513372</c:v>
                </c:pt>
                <c:pt idx="4">
                  <c:v>5.6689139821764911</c:v>
                </c:pt>
                <c:pt idx="5">
                  <c:v>7.1580265500992999</c:v>
                </c:pt>
                <c:pt idx="6">
                  <c:v>9.0397672432815401</c:v>
                </c:pt>
                <c:pt idx="7">
                  <c:v>11.418021481537131</c:v>
                </c:pt>
                <c:pt idx="8">
                  <c:v>14.424251070238251</c:v>
                </c:pt>
                <c:pt idx="9">
                  <c:v>18.224836284184136</c:v>
                </c:pt>
                <c:pt idx="10">
                  <c:v>23.030378112650464</c:v>
                </c:pt>
                <c:pt idx="11">
                  <c:v>29.10748529064772</c:v>
                </c:pt>
                <c:pt idx="12">
                  <c:v>36.793711472422189</c:v>
                </c:pt>
                <c:pt idx="13">
                  <c:v>46.516486462668638</c:v>
                </c:pt>
                <c:pt idx="14">
                  <c:v>58.817111995756541</c:v>
                </c:pt>
                <c:pt idx="15">
                  <c:v>74.381180078273346</c:v>
                </c:pt>
                <c:pt idx="16">
                  <c:v>96.627182609604759</c:v>
                </c:pt>
                <c:pt idx="17">
                  <c:v>118.74501570942562</c:v>
                </c:pt>
                <c:pt idx="18">
                  <c:v>140.76205332391956</c:v>
                </c:pt>
                <c:pt idx="19">
                  <c:v>162.69632820049665</c:v>
                </c:pt>
                <c:pt idx="20">
                  <c:v>184.56058608215372</c:v>
                </c:pt>
                <c:pt idx="21">
                  <c:v>126.42510605145075</c:v>
                </c:pt>
                <c:pt idx="22">
                  <c:v>150.23693675874819</c:v>
                </c:pt>
                <c:pt idx="23">
                  <c:v>173.95863427802908</c:v>
                </c:pt>
                <c:pt idx="24">
                  <c:v>197.6042373039995</c:v>
                </c:pt>
                <c:pt idx="25">
                  <c:v>221.18413826147119</c:v>
                </c:pt>
                <c:pt idx="26">
                  <c:v>243.76646443655656</c:v>
                </c:pt>
                <c:pt idx="27">
                  <c:v>266.30123190496232</c:v>
                </c:pt>
                <c:pt idx="28">
                  <c:v>288.79302979328958</c:v>
                </c:pt>
                <c:pt idx="29">
                  <c:v>311.24567377041325</c:v>
                </c:pt>
                <c:pt idx="30">
                  <c:v>333.66238399485115</c:v>
                </c:pt>
                <c:pt idx="31">
                  <c:v>248.99106942038816</c:v>
                </c:pt>
                <c:pt idx="32">
                  <c:v>269.22750746405978</c:v>
                </c:pt>
                <c:pt idx="33">
                  <c:v>289.42971056436858</c:v>
                </c:pt>
                <c:pt idx="34">
                  <c:v>309.60040363725381</c:v>
                </c:pt>
                <c:pt idx="35">
                  <c:v>329.74192753151567</c:v>
                </c:pt>
                <c:pt idx="36">
                  <c:v>347.35742407369844</c:v>
                </c:pt>
                <c:pt idx="37">
                  <c:v>364.95331741434489</c:v>
                </c:pt>
                <c:pt idx="38">
                  <c:v>382.53068541645354</c:v>
                </c:pt>
                <c:pt idx="39">
                  <c:v>400.09049882839162</c:v>
                </c:pt>
                <c:pt idx="40">
                  <c:v>417.63363625997863</c:v>
                </c:pt>
                <c:pt idx="41">
                  <c:v>328.62160871118198</c:v>
                </c:pt>
                <c:pt idx="42">
                  <c:v>343.92546889640727</c:v>
                </c:pt>
                <c:pt idx="43">
                  <c:v>359.21437055941539</c:v>
                </c:pt>
                <c:pt idx="44">
                  <c:v>374.48903994418225</c:v>
                </c:pt>
                <c:pt idx="45">
                  <c:v>389.75013922020395</c:v>
                </c:pt>
                <c:pt idx="46">
                  <c:v>402.99070448907742</c:v>
                </c:pt>
                <c:pt idx="47">
                  <c:v>416.22186287393123</c:v>
                </c:pt>
                <c:pt idx="48">
                  <c:v>429.44395553028397</c:v>
                </c:pt>
                <c:pt idx="49">
                  <c:v>442.65730089301456</c:v>
                </c:pt>
                <c:pt idx="50">
                  <c:v>455.86219683685039</c:v>
                </c:pt>
                <c:pt idx="51">
                  <c:v>396.11127024318756</c:v>
                </c:pt>
                <c:pt idx="52">
                  <c:v>407.48884938461543</c:v>
                </c:pt>
                <c:pt idx="53">
                  <c:v>418.85956651657403</c:v>
                </c:pt>
                <c:pt idx="54">
                  <c:v>430.22363420713367</c:v>
                </c:pt>
                <c:pt idx="55">
                  <c:v>441.58125287689433</c:v>
                </c:pt>
                <c:pt idx="56">
                  <c:v>451.1524130337736</c:v>
                </c:pt>
                <c:pt idx="57">
                  <c:v>460.71923116919589</c:v>
                </c:pt>
                <c:pt idx="58">
                  <c:v>470.28181018094989</c:v>
                </c:pt>
                <c:pt idx="59">
                  <c:v>479.84024843988044</c:v>
                </c:pt>
                <c:pt idx="60">
                  <c:v>489.39464007720022</c:v>
                </c:pt>
                <c:pt idx="61">
                  <c:v>450.74442967684257</c:v>
                </c:pt>
                <c:pt idx="62">
                  <c:v>458.79137961100622</c:v>
                </c:pt>
                <c:pt idx="63">
                  <c:v>466.83531635780349</c:v>
                </c:pt>
                <c:pt idx="64">
                  <c:v>474.87629918090329</c:v>
                </c:pt>
                <c:pt idx="65">
                  <c:v>482.91438517244984</c:v>
                </c:pt>
                <c:pt idx="66">
                  <c:v>489.87595747189181</c:v>
                </c:pt>
                <c:pt idx="67">
                  <c:v>496.83543141169798</c:v>
                </c:pt>
                <c:pt idx="68">
                  <c:v>503.79284054429132</c:v>
                </c:pt>
                <c:pt idx="69">
                  <c:v>510.7482174193658</c:v>
                </c:pt>
                <c:pt idx="70">
                  <c:v>517.70159362740139</c:v>
                </c:pt>
                <c:pt idx="71">
                  <c:v>485.32155123080855</c:v>
                </c:pt>
                <c:pt idx="72">
                  <c:v>491.61602134985714</c:v>
                </c:pt>
                <c:pt idx="73">
                  <c:v>497.90878263760169</c:v>
                </c:pt>
                <c:pt idx="74">
                  <c:v>504.19985974903403</c:v>
                </c:pt>
                <c:pt idx="75">
                  <c:v>510.4892766733779</c:v>
                </c:pt>
                <c:pt idx="76">
                  <c:v>516.00041881937125</c:v>
                </c:pt>
                <c:pt idx="77">
                  <c:v>521.51031888687191</c:v>
                </c:pt>
                <c:pt idx="78">
                  <c:v>527.01899185737477</c:v>
                </c:pt>
                <c:pt idx="79">
                  <c:v>532.52645237346917</c:v>
                </c:pt>
                <c:pt idx="80">
                  <c:v>538.03271475000724</c:v>
                </c:pt>
                <c:pt idx="81">
                  <c:v>7.384408744560063E-12</c:v>
                </c:pt>
                <c:pt idx="82">
                  <c:v>7.384408744560063E-12</c:v>
                </c:pt>
                <c:pt idx="83">
                  <c:v>7.384408744560063E-12</c:v>
                </c:pt>
                <c:pt idx="84">
                  <c:v>7.384408744560063E-12</c:v>
                </c:pt>
                <c:pt idx="85">
                  <c:v>7.384408744560063E-12</c:v>
                </c:pt>
                <c:pt idx="86">
                  <c:v>7.384408744560063E-12</c:v>
                </c:pt>
                <c:pt idx="87">
                  <c:v>7.384408744560063E-12</c:v>
                </c:pt>
                <c:pt idx="88">
                  <c:v>7.384408744560063E-12</c:v>
                </c:pt>
                <c:pt idx="89">
                  <c:v>7.384408744560063E-12</c:v>
                </c:pt>
                <c:pt idx="90">
                  <c:v>7.384408744560063E-12</c:v>
                </c:pt>
                <c:pt idx="91">
                  <c:v>7.384408744560063E-12</c:v>
                </c:pt>
                <c:pt idx="92">
                  <c:v>7.384408744560063E-12</c:v>
                </c:pt>
                <c:pt idx="93">
                  <c:v>7.384408744560063E-12</c:v>
                </c:pt>
                <c:pt idx="94">
                  <c:v>7.384408744560063E-12</c:v>
                </c:pt>
                <c:pt idx="95">
                  <c:v>7.384408744560063E-12</c:v>
                </c:pt>
                <c:pt idx="96">
                  <c:v>7.384408744560063E-12</c:v>
                </c:pt>
                <c:pt idx="97">
                  <c:v>7.384408744560063E-12</c:v>
                </c:pt>
                <c:pt idx="98">
                  <c:v>7.384408744560063E-12</c:v>
                </c:pt>
                <c:pt idx="99">
                  <c:v>7.384408744560063E-12</c:v>
                </c:pt>
                <c:pt idx="100">
                  <c:v>7.384408744560063E-12</c:v>
                </c:pt>
                <c:pt idx="101">
                  <c:v>7.384408744560063E-12</c:v>
                </c:pt>
                <c:pt idx="102">
                  <c:v>7.384408744560063E-12</c:v>
                </c:pt>
                <c:pt idx="103">
                  <c:v>7.384408744560063E-12</c:v>
                </c:pt>
                <c:pt idx="104">
                  <c:v>7.384408744560063E-12</c:v>
                </c:pt>
                <c:pt idx="105">
                  <c:v>7.384408744560063E-12</c:v>
                </c:pt>
                <c:pt idx="106">
                  <c:v>7.384408744560063E-12</c:v>
                </c:pt>
                <c:pt idx="107">
                  <c:v>7.384408744560063E-12</c:v>
                </c:pt>
                <c:pt idx="108">
                  <c:v>7.384408744560063E-12</c:v>
                </c:pt>
                <c:pt idx="109">
                  <c:v>7.384408744560063E-12</c:v>
                </c:pt>
                <c:pt idx="110">
                  <c:v>7.384408744560063E-12</c:v>
                </c:pt>
                <c:pt idx="111">
                  <c:v>7.384408744560063E-12</c:v>
                </c:pt>
                <c:pt idx="112">
                  <c:v>7.384408744560063E-12</c:v>
                </c:pt>
                <c:pt idx="113">
                  <c:v>7.384408744560063E-12</c:v>
                </c:pt>
                <c:pt idx="114">
                  <c:v>7.384408744560063E-12</c:v>
                </c:pt>
                <c:pt idx="115">
                  <c:v>7.384408744560063E-12</c:v>
                </c:pt>
                <c:pt idx="116">
                  <c:v>7.384408744560063E-12</c:v>
                </c:pt>
                <c:pt idx="117">
                  <c:v>7.384408744560063E-12</c:v>
                </c:pt>
                <c:pt idx="118">
                  <c:v>7.384408744560063E-12</c:v>
                </c:pt>
                <c:pt idx="119">
                  <c:v>7.384408744560063E-12</c:v>
                </c:pt>
                <c:pt idx="120">
                  <c:v>7.384408744560063E-12</c:v>
                </c:pt>
                <c:pt idx="121">
                  <c:v>7.384408744560063E-12</c:v>
                </c:pt>
                <c:pt idx="122">
                  <c:v>7.384408744560063E-12</c:v>
                </c:pt>
                <c:pt idx="123">
                  <c:v>7.384408744560063E-12</c:v>
                </c:pt>
                <c:pt idx="124">
                  <c:v>7.384408744560063E-12</c:v>
                </c:pt>
                <c:pt idx="125">
                  <c:v>7.384408744560063E-12</c:v>
                </c:pt>
                <c:pt idx="126">
                  <c:v>7.384408744560063E-12</c:v>
                </c:pt>
                <c:pt idx="127">
                  <c:v>7.384408744560063E-12</c:v>
                </c:pt>
                <c:pt idx="128">
                  <c:v>7.384408744560063E-12</c:v>
                </c:pt>
                <c:pt idx="129">
                  <c:v>7.384408744560063E-12</c:v>
                </c:pt>
                <c:pt idx="130">
                  <c:v>7.384408744560063E-12</c:v>
                </c:pt>
                <c:pt idx="131">
                  <c:v>7.384408744560063E-12</c:v>
                </c:pt>
                <c:pt idx="132">
                  <c:v>7.384408744560063E-12</c:v>
                </c:pt>
                <c:pt idx="133">
                  <c:v>7.384408744560063E-12</c:v>
                </c:pt>
                <c:pt idx="134">
                  <c:v>7.384408744560063E-12</c:v>
                </c:pt>
                <c:pt idx="135">
                  <c:v>7.384408744560063E-12</c:v>
                </c:pt>
                <c:pt idx="136">
                  <c:v>7.384408744560063E-12</c:v>
                </c:pt>
                <c:pt idx="137">
                  <c:v>7.384408744560063E-12</c:v>
                </c:pt>
                <c:pt idx="138">
                  <c:v>7.384408744560063E-12</c:v>
                </c:pt>
                <c:pt idx="139">
                  <c:v>7.384408744560063E-12</c:v>
                </c:pt>
                <c:pt idx="140">
                  <c:v>7.384408744560063E-12</c:v>
                </c:pt>
                <c:pt idx="141">
                  <c:v>7.384408744560063E-12</c:v>
                </c:pt>
                <c:pt idx="142">
                  <c:v>7.384408744560063E-12</c:v>
                </c:pt>
                <c:pt idx="143">
                  <c:v>7.384408744560063E-12</c:v>
                </c:pt>
                <c:pt idx="144">
                  <c:v>7.384408744560063E-12</c:v>
                </c:pt>
                <c:pt idx="145">
                  <c:v>7.384408744560063E-12</c:v>
                </c:pt>
                <c:pt idx="146">
                  <c:v>7.384408744560063E-12</c:v>
                </c:pt>
                <c:pt idx="147">
                  <c:v>7.384408744560063E-12</c:v>
                </c:pt>
                <c:pt idx="148">
                  <c:v>7.384408744560063E-12</c:v>
                </c:pt>
                <c:pt idx="149">
                  <c:v>7.384408744560063E-12</c:v>
                </c:pt>
                <c:pt idx="150">
                  <c:v>7.384408744560063E-12</c:v>
                </c:pt>
                <c:pt idx="151">
                  <c:v>7.384408744560063E-12</c:v>
                </c:pt>
                <c:pt idx="152">
                  <c:v>7.384408744560063E-12</c:v>
                </c:pt>
                <c:pt idx="153">
                  <c:v>7.384408744560063E-12</c:v>
                </c:pt>
                <c:pt idx="154">
                  <c:v>7.384408744560063E-12</c:v>
                </c:pt>
                <c:pt idx="155">
                  <c:v>7.384408744560063E-12</c:v>
                </c:pt>
                <c:pt idx="156">
                  <c:v>7.384408744560063E-12</c:v>
                </c:pt>
                <c:pt idx="157">
                  <c:v>7.384408744560063E-12</c:v>
                </c:pt>
                <c:pt idx="158">
                  <c:v>7.384408744560063E-12</c:v>
                </c:pt>
                <c:pt idx="159">
                  <c:v>7.384408744560063E-12</c:v>
                </c:pt>
                <c:pt idx="160">
                  <c:v>7.384408744560063E-12</c:v>
                </c:pt>
                <c:pt idx="161">
                  <c:v>7.384408744560063E-12</c:v>
                </c:pt>
                <c:pt idx="162">
                  <c:v>7.384408744560063E-12</c:v>
                </c:pt>
                <c:pt idx="163">
                  <c:v>7.384408744560063E-12</c:v>
                </c:pt>
                <c:pt idx="164">
                  <c:v>7.384408744560063E-12</c:v>
                </c:pt>
                <c:pt idx="165">
                  <c:v>7.384408744560063E-12</c:v>
                </c:pt>
                <c:pt idx="166">
                  <c:v>7.384408744560063E-12</c:v>
                </c:pt>
                <c:pt idx="167">
                  <c:v>7.384408744560063E-12</c:v>
                </c:pt>
                <c:pt idx="168">
                  <c:v>7.384408744560063E-12</c:v>
                </c:pt>
                <c:pt idx="169">
                  <c:v>7.384408744560063E-12</c:v>
                </c:pt>
                <c:pt idx="170">
                  <c:v>7.384408744560063E-12</c:v>
                </c:pt>
                <c:pt idx="171">
                  <c:v>7.384408744560063E-12</c:v>
                </c:pt>
                <c:pt idx="172">
                  <c:v>7.384408744560063E-12</c:v>
                </c:pt>
                <c:pt idx="173">
                  <c:v>7.384408744560063E-12</c:v>
                </c:pt>
                <c:pt idx="174">
                  <c:v>7.384408744560063E-12</c:v>
                </c:pt>
                <c:pt idx="175">
                  <c:v>7.384408744560063E-12</c:v>
                </c:pt>
                <c:pt idx="176">
                  <c:v>7.384408744560063E-12</c:v>
                </c:pt>
                <c:pt idx="177">
                  <c:v>7.384408744560063E-12</c:v>
                </c:pt>
                <c:pt idx="178">
                  <c:v>7.384408744560063E-12</c:v>
                </c:pt>
                <c:pt idx="179">
                  <c:v>7.384408744560063E-12</c:v>
                </c:pt>
                <c:pt idx="180">
                  <c:v>7.384408744560063E-12</c:v>
                </c:pt>
                <c:pt idx="181">
                  <c:v>7.384408744560063E-12</c:v>
                </c:pt>
                <c:pt idx="182">
                  <c:v>7.384408744560063E-12</c:v>
                </c:pt>
                <c:pt idx="183">
                  <c:v>7.384408744560063E-12</c:v>
                </c:pt>
                <c:pt idx="184">
                  <c:v>7.384408744560063E-12</c:v>
                </c:pt>
                <c:pt idx="185">
                  <c:v>7.384408744560063E-12</c:v>
                </c:pt>
                <c:pt idx="186">
                  <c:v>7.384408744560063E-12</c:v>
                </c:pt>
                <c:pt idx="187">
                  <c:v>7.384408744560063E-12</c:v>
                </c:pt>
                <c:pt idx="188">
                  <c:v>7.384408744560063E-12</c:v>
                </c:pt>
                <c:pt idx="189">
                  <c:v>7.384408744560063E-12</c:v>
                </c:pt>
                <c:pt idx="190">
                  <c:v>7.384408744560063E-12</c:v>
                </c:pt>
                <c:pt idx="191">
                  <c:v>7.384408744560063E-12</c:v>
                </c:pt>
                <c:pt idx="192">
                  <c:v>7.384408744560063E-12</c:v>
                </c:pt>
                <c:pt idx="193">
                  <c:v>7.384408744560063E-12</c:v>
                </c:pt>
                <c:pt idx="194">
                  <c:v>7.384408744560063E-12</c:v>
                </c:pt>
                <c:pt idx="195">
                  <c:v>7.384408744560063E-12</c:v>
                </c:pt>
                <c:pt idx="196">
                  <c:v>7.384408744560063E-12</c:v>
                </c:pt>
                <c:pt idx="197">
                  <c:v>7.384408744560063E-12</c:v>
                </c:pt>
                <c:pt idx="198">
                  <c:v>7.384408744560063E-12</c:v>
                </c:pt>
                <c:pt idx="199">
                  <c:v>7.384408744560063E-12</c:v>
                </c:pt>
                <c:pt idx="200">
                  <c:v>7.384408744560063E-12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40363024"/>
        <c:axId val="-240364112"/>
      </c:scatterChart>
      <c:valAx>
        <c:axId val="-2403630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40364112"/>
        <c:crosses val="autoZero"/>
        <c:crossBetween val="midCat"/>
      </c:valAx>
      <c:valAx>
        <c:axId val="-24036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403630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87.672415653160499</c:v>
                </c:pt>
                <c:pt idx="17">
                  <c:v>104.14760645595801</c:v>
                </c:pt>
                <c:pt idx="18">
                  <c:v>120.55829551377816</c:v>
                </c:pt>
                <c:pt idx="19">
                  <c:v>136.9145198877824</c:v>
                </c:pt>
                <c:pt idx="20">
                  <c:v>153.22371186614834</c:v>
                </c:pt>
                <c:pt idx="21">
                  <c:v>171.18397278750868</c:v>
                </c:pt>
                <c:pt idx="22">
                  <c:v>189.09987078266826</c:v>
                </c:pt>
                <c:pt idx="23">
                  <c:v>206.97620217195148</c:v>
                </c:pt>
                <c:pt idx="24">
                  <c:v>224.81686592693052</c:v>
                </c:pt>
                <c:pt idx="25">
                  <c:v>242.62509103866606</c:v>
                </c:pt>
                <c:pt idx="26">
                  <c:v>169.32232688472158</c:v>
                </c:pt>
                <c:pt idx="27">
                  <c:v>188.76221470729047</c:v>
                </c:pt>
                <c:pt idx="28">
                  <c:v>208.15542061438953</c:v>
                </c:pt>
                <c:pt idx="29">
                  <c:v>227.50690659831912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263.58734797276014</c:v>
                </c:pt>
                <c:pt idx="35">
                  <c:v>282.83933776674911</c:v>
                </c:pt>
                <c:pt idx="36">
                  <c:v>302.06197856553018</c:v>
                </c:pt>
                <c:pt idx="37">
                  <c:v>321.25740024962437</c:v>
                </c:pt>
                <c:pt idx="38">
                  <c:v>279.73236813579507</c:v>
                </c:pt>
                <c:pt idx="39">
                  <c:v>298.36290228402572</c:v>
                </c:pt>
                <c:pt idx="40">
                  <c:v>316.96751977104663</c:v>
                </c:pt>
                <c:pt idx="41">
                  <c:v>335.54795535646372</c:v>
                </c:pt>
                <c:pt idx="42">
                  <c:v>354.10573601815048</c:v>
                </c:pt>
                <c:pt idx="43">
                  <c:v>372.64221565134471</c:v>
                </c:pt>
                <c:pt idx="44">
                  <c:v>391.15860250001066</c:v>
                </c:pt>
                <c:pt idx="45">
                  <c:v>336.88699770815003</c:v>
                </c:pt>
                <c:pt idx="46">
                  <c:v>354.16518115704031</c:v>
                </c:pt>
                <c:pt idx="47">
                  <c:v>371.42490308727605</c:v>
                </c:pt>
                <c:pt idx="48">
                  <c:v>388.66714186934956</c:v>
                </c:pt>
                <c:pt idx="49">
                  <c:v>405.89278200614257</c:v>
                </c:pt>
                <c:pt idx="50">
                  <c:v>423.1026268227929</c:v>
                </c:pt>
                <c:pt idx="51">
                  <c:v>440.29740898417259</c:v>
                </c:pt>
                <c:pt idx="52">
                  <c:v>457.47779928386598</c:v>
                </c:pt>
                <c:pt idx="53">
                  <c:v>393.44213889474253</c:v>
                </c:pt>
                <c:pt idx="54">
                  <c:v>409.00414204035161</c:v>
                </c:pt>
                <c:pt idx="55">
                  <c:v>424.55336102424576</c:v>
                </c:pt>
                <c:pt idx="56">
                  <c:v>440.09032987714431</c:v>
                </c:pt>
                <c:pt idx="57">
                  <c:v>455.61554185670815</c:v>
                </c:pt>
                <c:pt idx="58">
                  <c:v>471.12945387268002</c:v>
                </c:pt>
                <c:pt idx="59">
                  <c:v>486.63249029889352</c:v>
                </c:pt>
                <c:pt idx="60">
                  <c:v>502.12504627431412</c:v>
                </c:pt>
                <c:pt idx="61">
                  <c:v>438.70974904240546</c:v>
                </c:pt>
                <c:pt idx="62">
                  <c:v>453.06329508642131</c:v>
                </c:pt>
                <c:pt idx="63">
                  <c:v>467.40712233198587</c:v>
                </c:pt>
                <c:pt idx="64">
                  <c:v>481.74157097323291</c:v>
                </c:pt>
                <c:pt idx="65">
                  <c:v>496.06695931286299</c:v>
                </c:pt>
                <c:pt idx="66">
                  <c:v>510.38358577553487</c:v>
                </c:pt>
                <c:pt idx="67">
                  <c:v>524.69173068364421</c:v>
                </c:pt>
                <c:pt idx="68">
                  <c:v>538.99165782937473</c:v>
                </c:pt>
                <c:pt idx="69">
                  <c:v>553.28361587129064</c:v>
                </c:pt>
                <c:pt idx="70">
                  <c:v>2.5073107750038623E-12</c:v>
                </c:pt>
                <c:pt idx="71">
                  <c:v>2.5073107750038623E-12</c:v>
                </c:pt>
                <c:pt idx="72">
                  <c:v>2.5073107750038623E-12</c:v>
                </c:pt>
                <c:pt idx="73">
                  <c:v>2.5073107750038623E-12</c:v>
                </c:pt>
                <c:pt idx="74">
                  <c:v>2.5073107750038623E-12</c:v>
                </c:pt>
                <c:pt idx="75">
                  <c:v>2.5073107750038623E-12</c:v>
                </c:pt>
                <c:pt idx="76">
                  <c:v>2.5073107750038623E-12</c:v>
                </c:pt>
                <c:pt idx="77">
                  <c:v>2.5073107750038623E-12</c:v>
                </c:pt>
                <c:pt idx="78">
                  <c:v>2.5073107750038623E-12</c:v>
                </c:pt>
                <c:pt idx="79">
                  <c:v>2.5073107750038623E-12</c:v>
                </c:pt>
                <c:pt idx="80">
                  <c:v>2.5073107750038623E-12</c:v>
                </c:pt>
                <c:pt idx="81">
                  <c:v>2.5073107750038623E-12</c:v>
                </c:pt>
                <c:pt idx="82">
                  <c:v>2.5073107750038623E-12</c:v>
                </c:pt>
                <c:pt idx="83">
                  <c:v>2.5073107750038623E-12</c:v>
                </c:pt>
                <c:pt idx="84">
                  <c:v>2.5073107750038623E-12</c:v>
                </c:pt>
                <c:pt idx="85">
                  <c:v>2.5073107750038623E-12</c:v>
                </c:pt>
                <c:pt idx="86">
                  <c:v>2.5073107750038623E-12</c:v>
                </c:pt>
                <c:pt idx="87">
                  <c:v>2.5073107750038623E-12</c:v>
                </c:pt>
                <c:pt idx="88">
                  <c:v>2.5073107750038623E-12</c:v>
                </c:pt>
                <c:pt idx="89">
                  <c:v>2.5073107750038623E-12</c:v>
                </c:pt>
                <c:pt idx="90">
                  <c:v>2.5073107750038623E-12</c:v>
                </c:pt>
                <c:pt idx="91">
                  <c:v>2.5073107750038623E-12</c:v>
                </c:pt>
                <c:pt idx="92">
                  <c:v>2.5073107750038623E-12</c:v>
                </c:pt>
                <c:pt idx="93">
                  <c:v>2.5073107750038623E-12</c:v>
                </c:pt>
                <c:pt idx="94">
                  <c:v>2.5073107750038623E-12</c:v>
                </c:pt>
                <c:pt idx="95">
                  <c:v>2.5073107750038623E-12</c:v>
                </c:pt>
                <c:pt idx="96">
                  <c:v>2.5073107750038623E-12</c:v>
                </c:pt>
                <c:pt idx="97">
                  <c:v>2.5073107750038623E-12</c:v>
                </c:pt>
                <c:pt idx="98">
                  <c:v>2.5073107750038623E-12</c:v>
                </c:pt>
                <c:pt idx="99">
                  <c:v>2.5073107750038623E-12</c:v>
                </c:pt>
                <c:pt idx="100">
                  <c:v>2.5073107750038623E-12</c:v>
                </c:pt>
                <c:pt idx="101">
                  <c:v>2.5073107750038623E-12</c:v>
                </c:pt>
                <c:pt idx="102">
                  <c:v>2.5073107750038623E-12</c:v>
                </c:pt>
                <c:pt idx="103">
                  <c:v>2.5073107750038623E-12</c:v>
                </c:pt>
                <c:pt idx="104">
                  <c:v>2.5073107750038623E-12</c:v>
                </c:pt>
                <c:pt idx="105">
                  <c:v>2.5073107750038623E-12</c:v>
                </c:pt>
                <c:pt idx="106">
                  <c:v>2.5073107750038623E-12</c:v>
                </c:pt>
                <c:pt idx="107">
                  <c:v>2.5073107750038623E-12</c:v>
                </c:pt>
                <c:pt idx="108">
                  <c:v>2.5073107750038623E-12</c:v>
                </c:pt>
                <c:pt idx="109">
                  <c:v>2.5073107750038623E-12</c:v>
                </c:pt>
                <c:pt idx="110">
                  <c:v>2.5073107750038623E-12</c:v>
                </c:pt>
                <c:pt idx="111">
                  <c:v>2.5073107750038623E-12</c:v>
                </c:pt>
                <c:pt idx="112">
                  <c:v>2.5073107750038623E-12</c:v>
                </c:pt>
                <c:pt idx="113">
                  <c:v>2.5073107750038623E-12</c:v>
                </c:pt>
                <c:pt idx="114">
                  <c:v>2.5073107750038623E-12</c:v>
                </c:pt>
                <c:pt idx="115">
                  <c:v>2.5073107750038623E-12</c:v>
                </c:pt>
                <c:pt idx="116">
                  <c:v>2.5073107750038623E-12</c:v>
                </c:pt>
                <c:pt idx="117">
                  <c:v>2.5073107750038623E-12</c:v>
                </c:pt>
                <c:pt idx="118">
                  <c:v>2.5073107750038623E-12</c:v>
                </c:pt>
                <c:pt idx="119">
                  <c:v>2.5073107750038623E-12</c:v>
                </c:pt>
                <c:pt idx="120">
                  <c:v>2.5073107750038623E-12</c:v>
                </c:pt>
                <c:pt idx="121">
                  <c:v>2.5073107750038623E-12</c:v>
                </c:pt>
                <c:pt idx="122">
                  <c:v>2.5073107750038623E-12</c:v>
                </c:pt>
                <c:pt idx="123">
                  <c:v>2.5073107750038623E-12</c:v>
                </c:pt>
                <c:pt idx="124">
                  <c:v>2.5073107750038623E-12</c:v>
                </c:pt>
                <c:pt idx="125">
                  <c:v>2.5073107750038623E-12</c:v>
                </c:pt>
                <c:pt idx="126">
                  <c:v>2.5073107750038623E-12</c:v>
                </c:pt>
                <c:pt idx="127">
                  <c:v>2.5073107750038623E-12</c:v>
                </c:pt>
                <c:pt idx="128">
                  <c:v>2.5073107750038623E-12</c:v>
                </c:pt>
                <c:pt idx="129">
                  <c:v>2.5073107750038623E-12</c:v>
                </c:pt>
                <c:pt idx="130">
                  <c:v>2.5073107750038623E-12</c:v>
                </c:pt>
                <c:pt idx="131">
                  <c:v>2.5073107750038623E-12</c:v>
                </c:pt>
                <c:pt idx="132">
                  <c:v>2.5073107750038623E-12</c:v>
                </c:pt>
                <c:pt idx="133">
                  <c:v>2.5073107750038623E-12</c:v>
                </c:pt>
                <c:pt idx="134">
                  <c:v>2.5073107750038623E-12</c:v>
                </c:pt>
                <c:pt idx="135">
                  <c:v>2.5073107750038623E-12</c:v>
                </c:pt>
                <c:pt idx="136">
                  <c:v>2.5073107750038623E-12</c:v>
                </c:pt>
                <c:pt idx="137">
                  <c:v>2.5073107750038623E-12</c:v>
                </c:pt>
                <c:pt idx="138">
                  <c:v>2.5073107750038623E-12</c:v>
                </c:pt>
                <c:pt idx="139">
                  <c:v>2.5073107750038623E-12</c:v>
                </c:pt>
                <c:pt idx="140">
                  <c:v>2.5073107750038623E-12</c:v>
                </c:pt>
                <c:pt idx="141">
                  <c:v>2.5073107750038623E-12</c:v>
                </c:pt>
                <c:pt idx="142">
                  <c:v>2.5073107750038623E-12</c:v>
                </c:pt>
                <c:pt idx="143">
                  <c:v>2.5073107750038623E-12</c:v>
                </c:pt>
                <c:pt idx="144">
                  <c:v>2.5073107750038623E-12</c:v>
                </c:pt>
                <c:pt idx="145">
                  <c:v>2.5073107750038623E-12</c:v>
                </c:pt>
                <c:pt idx="146">
                  <c:v>2.5073107750038623E-12</c:v>
                </c:pt>
                <c:pt idx="147">
                  <c:v>2.5073107750038623E-12</c:v>
                </c:pt>
                <c:pt idx="148">
                  <c:v>2.5073107750038623E-12</c:v>
                </c:pt>
                <c:pt idx="149">
                  <c:v>2.5073107750038623E-12</c:v>
                </c:pt>
                <c:pt idx="150">
                  <c:v>2.5073107750038623E-12</c:v>
                </c:pt>
                <c:pt idx="151">
                  <c:v>2.5073107750038623E-12</c:v>
                </c:pt>
                <c:pt idx="152">
                  <c:v>2.5073107750038623E-12</c:v>
                </c:pt>
                <c:pt idx="153">
                  <c:v>2.5073107750038623E-12</c:v>
                </c:pt>
                <c:pt idx="154">
                  <c:v>2.5073107750038623E-12</c:v>
                </c:pt>
                <c:pt idx="155">
                  <c:v>2.5073107750038623E-12</c:v>
                </c:pt>
                <c:pt idx="156">
                  <c:v>2.5073107750038623E-12</c:v>
                </c:pt>
                <c:pt idx="157">
                  <c:v>2.5073107750038623E-12</c:v>
                </c:pt>
                <c:pt idx="158">
                  <c:v>2.5073107750038623E-12</c:v>
                </c:pt>
                <c:pt idx="159">
                  <c:v>2.5073107750038623E-12</c:v>
                </c:pt>
                <c:pt idx="160">
                  <c:v>2.5073107750038623E-12</c:v>
                </c:pt>
                <c:pt idx="161">
                  <c:v>2.5073107750038623E-12</c:v>
                </c:pt>
                <c:pt idx="162">
                  <c:v>2.5073107750038623E-12</c:v>
                </c:pt>
                <c:pt idx="163">
                  <c:v>2.5073107750038623E-12</c:v>
                </c:pt>
                <c:pt idx="164">
                  <c:v>2.5073107750038623E-12</c:v>
                </c:pt>
                <c:pt idx="165">
                  <c:v>2.5073107750038623E-12</c:v>
                </c:pt>
                <c:pt idx="166">
                  <c:v>2.5073107750038623E-12</c:v>
                </c:pt>
                <c:pt idx="167">
                  <c:v>2.5073107750038623E-12</c:v>
                </c:pt>
                <c:pt idx="168">
                  <c:v>2.5073107750038623E-12</c:v>
                </c:pt>
                <c:pt idx="169">
                  <c:v>2.5073107750038623E-12</c:v>
                </c:pt>
                <c:pt idx="170">
                  <c:v>2.5073107750038623E-12</c:v>
                </c:pt>
                <c:pt idx="171">
                  <c:v>2.5073107750038623E-12</c:v>
                </c:pt>
                <c:pt idx="172">
                  <c:v>2.5073107750038623E-12</c:v>
                </c:pt>
                <c:pt idx="173">
                  <c:v>2.5073107750038623E-12</c:v>
                </c:pt>
                <c:pt idx="174">
                  <c:v>2.5073107750038623E-12</c:v>
                </c:pt>
                <c:pt idx="175">
                  <c:v>2.5073107750038623E-12</c:v>
                </c:pt>
                <c:pt idx="176">
                  <c:v>2.5073107750038623E-12</c:v>
                </c:pt>
                <c:pt idx="177">
                  <c:v>2.5073107750038623E-12</c:v>
                </c:pt>
                <c:pt idx="178">
                  <c:v>2.5073107750038623E-12</c:v>
                </c:pt>
                <c:pt idx="179">
                  <c:v>2.5073107750038623E-12</c:v>
                </c:pt>
                <c:pt idx="180">
                  <c:v>2.5073107750038623E-12</c:v>
                </c:pt>
                <c:pt idx="181">
                  <c:v>2.5073107750038623E-12</c:v>
                </c:pt>
                <c:pt idx="182">
                  <c:v>2.5073107750038623E-12</c:v>
                </c:pt>
                <c:pt idx="183">
                  <c:v>2.5073107750038623E-12</c:v>
                </c:pt>
                <c:pt idx="184">
                  <c:v>2.5073107750038623E-12</c:v>
                </c:pt>
                <c:pt idx="185">
                  <c:v>2.5073107750038623E-12</c:v>
                </c:pt>
                <c:pt idx="186">
                  <c:v>2.5073107750038623E-12</c:v>
                </c:pt>
                <c:pt idx="187">
                  <c:v>2.5073107750038623E-12</c:v>
                </c:pt>
                <c:pt idx="188">
                  <c:v>2.5073107750038623E-12</c:v>
                </c:pt>
                <c:pt idx="189">
                  <c:v>2.5073107750038623E-12</c:v>
                </c:pt>
                <c:pt idx="190">
                  <c:v>2.5073107750038623E-12</c:v>
                </c:pt>
                <c:pt idx="191">
                  <c:v>2.5073107750038623E-12</c:v>
                </c:pt>
                <c:pt idx="192">
                  <c:v>2.5073107750038623E-12</c:v>
                </c:pt>
                <c:pt idx="193">
                  <c:v>2.5073107750038623E-12</c:v>
                </c:pt>
                <c:pt idx="194">
                  <c:v>2.5073107750038623E-12</c:v>
                </c:pt>
                <c:pt idx="195">
                  <c:v>2.5073107750038623E-12</c:v>
                </c:pt>
                <c:pt idx="196">
                  <c:v>2.5073107750038623E-12</c:v>
                </c:pt>
                <c:pt idx="197">
                  <c:v>2.5073107750038623E-12</c:v>
                </c:pt>
                <c:pt idx="198">
                  <c:v>2.5073107750038623E-12</c:v>
                </c:pt>
                <c:pt idx="199">
                  <c:v>2.5073107750038623E-12</c:v>
                </c:pt>
                <c:pt idx="200">
                  <c:v>2.5073107750038623E-12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40363568"/>
        <c:axId val="-240360304"/>
      </c:scatterChart>
      <c:valAx>
        <c:axId val="-2403635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40360304"/>
        <c:crosses val="autoZero"/>
        <c:crossBetween val="midCat"/>
      </c:valAx>
      <c:valAx>
        <c:axId val="-240360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403635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103.84617756844348</c:v>
                </c:pt>
                <c:pt idx="22">
                  <c:v>115.72319627792427</c:v>
                </c:pt>
                <c:pt idx="23">
                  <c:v>127.57039913328697</c:v>
                </c:pt>
                <c:pt idx="24">
                  <c:v>139.39094880292336</c:v>
                </c:pt>
                <c:pt idx="25">
                  <c:v>151.18742647916039</c:v>
                </c:pt>
                <c:pt idx="26">
                  <c:v>149.08257770166853</c:v>
                </c:pt>
                <c:pt idx="27">
                  <c:v>163.80222667670475</c:v>
                </c:pt>
                <c:pt idx="28">
                  <c:v>178.49060685103379</c:v>
                </c:pt>
                <c:pt idx="29">
                  <c:v>193.15065517554152</c:v>
                </c:pt>
                <c:pt idx="30">
                  <c:v>207.78482577779434</c:v>
                </c:pt>
                <c:pt idx="31">
                  <c:v>224.48055915021379</c:v>
                </c:pt>
                <c:pt idx="32">
                  <c:v>241.14783811393806</c:v>
                </c:pt>
                <c:pt idx="33">
                  <c:v>257.78890626510469</c:v>
                </c:pt>
                <c:pt idx="34">
                  <c:v>274.40569374429145</c:v>
                </c:pt>
                <c:pt idx="35">
                  <c:v>290.99987776518356</c:v>
                </c:pt>
                <c:pt idx="36">
                  <c:v>221.14376696934889</c:v>
                </c:pt>
                <c:pt idx="37">
                  <c:v>238.64946815456815</c:v>
                </c:pt>
                <c:pt idx="38">
                  <c:v>256.12592177262371</c:v>
                </c:pt>
                <c:pt idx="39">
                  <c:v>273.5754042390106</c:v>
                </c:pt>
                <c:pt idx="40">
                  <c:v>290.99987776518356</c:v>
                </c:pt>
                <c:pt idx="41">
                  <c:v>308.40105034381344</c:v>
                </c:pt>
                <c:pt idx="42">
                  <c:v>325.78042147316609</c:v>
                </c:pt>
                <c:pt idx="43">
                  <c:v>343.13931760637462</c:v>
                </c:pt>
                <c:pt idx="44">
                  <c:v>360.47892004811712</c:v>
                </c:pt>
                <c:pt idx="45">
                  <c:v>377.80028720100813</c:v>
                </c:pt>
                <c:pt idx="46">
                  <c:v>307.98699565569297</c:v>
                </c:pt>
                <c:pt idx="47">
                  <c:v>324.95330656071548</c:v>
                </c:pt>
                <c:pt idx="48">
                  <c:v>341.90004953828537</c:v>
                </c:pt>
                <c:pt idx="49">
                  <c:v>358.82833079757535</c:v>
                </c:pt>
                <c:pt idx="50">
                  <c:v>375.7391436687796</c:v>
                </c:pt>
                <c:pt idx="51">
                  <c:v>392.22152076799483</c:v>
                </c:pt>
                <c:pt idx="52">
                  <c:v>408.68888090830461</c:v>
                </c:pt>
                <c:pt idx="53">
                  <c:v>425.14191416939929</c:v>
                </c:pt>
                <c:pt idx="54">
                  <c:v>441.5812528768941</c:v>
                </c:pt>
                <c:pt idx="55">
                  <c:v>458.00747845053729</c:v>
                </c:pt>
                <c:pt idx="56">
                  <c:v>387.27841746168315</c:v>
                </c:pt>
                <c:pt idx="57">
                  <c:v>402.92696857125202</c:v>
                </c:pt>
                <c:pt idx="58">
                  <c:v>418.56237841299998</c:v>
                </c:pt>
                <c:pt idx="59">
                  <c:v>434.18520687835763</c:v>
                </c:pt>
                <c:pt idx="60">
                  <c:v>449.7959702900435</c:v>
                </c:pt>
                <c:pt idx="61">
                  <c:v>464.5744185371193</c:v>
                </c:pt>
                <c:pt idx="62">
                  <c:v>479.34284452811448</c:v>
                </c:pt>
                <c:pt idx="63">
                  <c:v>494.10160044828439</c:v>
                </c:pt>
                <c:pt idx="64">
                  <c:v>508.85101573406092</c:v>
                </c:pt>
                <c:pt idx="65">
                  <c:v>523.59139917298592</c:v>
                </c:pt>
                <c:pt idx="66">
                  <c:v>451.43852652349534</c:v>
                </c:pt>
                <c:pt idx="67">
                  <c:v>465.39514621826976</c:v>
                </c:pt>
                <c:pt idx="68">
                  <c:v>479.34284452811431</c:v>
                </c:pt>
                <c:pt idx="69">
                  <c:v>493.28191755597277</c:v>
                </c:pt>
                <c:pt idx="70">
                  <c:v>507.21264330953437</c:v>
                </c:pt>
                <c:pt idx="71">
                  <c:v>519.90713388491497</c:v>
                </c:pt>
                <c:pt idx="72">
                  <c:v>532.59509002550351</c:v>
                </c:pt>
                <c:pt idx="73">
                  <c:v>545.27668930291225</c:v>
                </c:pt>
                <c:pt idx="74">
                  <c:v>557.95210035753439</c:v>
                </c:pt>
                <c:pt idx="75">
                  <c:v>570.62148354470401</c:v>
                </c:pt>
                <c:pt idx="76">
                  <c:v>496.97026394110162</c:v>
                </c:pt>
                <c:pt idx="77">
                  <c:v>509.26059140461626</c:v>
                </c:pt>
                <c:pt idx="78">
                  <c:v>521.5446528480187</c:v>
                </c:pt>
                <c:pt idx="79">
                  <c:v>533.82261663157112</c:v>
                </c:pt>
                <c:pt idx="80">
                  <c:v>546.09464274073559</c:v>
                </c:pt>
                <c:pt idx="81">
                  <c:v>557.95210035753439</c:v>
                </c:pt>
                <c:pt idx="82">
                  <c:v>569.80428287631264</c:v>
                </c:pt>
                <c:pt idx="83">
                  <c:v>581.65131546152315</c:v>
                </c:pt>
                <c:pt idx="84">
                  <c:v>593.49331776439851</c:v>
                </c:pt>
                <c:pt idx="85">
                  <c:v>605.33040427327262</c:v>
                </c:pt>
                <c:pt idx="86">
                  <c:v>530.13985807620031</c:v>
                </c:pt>
                <c:pt idx="87">
                  <c:v>540.77748384329095</c:v>
                </c:pt>
                <c:pt idx="88">
                  <c:v>551.41071534837454</c:v>
                </c:pt>
                <c:pt idx="89">
                  <c:v>562.03964926820106</c:v>
                </c:pt>
                <c:pt idx="90">
                  <c:v>572.66437832506824</c:v>
                </c:pt>
                <c:pt idx="91">
                  <c:v>583.28499152050153</c:v>
                </c:pt>
                <c:pt idx="92">
                  <c:v>593.90157435102833</c:v>
                </c:pt>
                <c:pt idx="93">
                  <c:v>604.5142090077278</c:v>
                </c:pt>
                <c:pt idx="94">
                  <c:v>615.12297456104193</c:v>
                </c:pt>
                <c:pt idx="95">
                  <c:v>625.72794713217752</c:v>
                </c:pt>
                <c:pt idx="96">
                  <c:v>549.57065854842915</c:v>
                </c:pt>
                <c:pt idx="97">
                  <c:v>559.17843064711394</c:v>
                </c:pt>
                <c:pt idx="98">
                  <c:v>568.78274759401654</c:v>
                </c:pt>
                <c:pt idx="99">
                  <c:v>578.38367595679699</c:v>
                </c:pt>
                <c:pt idx="100">
                  <c:v>587.98127991295848</c:v>
                </c:pt>
                <c:pt idx="101">
                  <c:v>597.57562137411821</c:v>
                </c:pt>
                <c:pt idx="102">
                  <c:v>607.16676010187734</c:v>
                </c:pt>
                <c:pt idx="103">
                  <c:v>616.75475381599483</c:v>
                </c:pt>
                <c:pt idx="104">
                  <c:v>626.33965829548413</c:v>
                </c:pt>
                <c:pt idx="105">
                  <c:v>635.92152747320245</c:v>
                </c:pt>
                <c:pt idx="106">
                  <c:v>560.40470463156862</c:v>
                </c:pt>
                <c:pt idx="107">
                  <c:v>568.57843593837208</c:v>
                </c:pt>
                <c:pt idx="108">
                  <c:v>576.74971189331598</c:v>
                </c:pt>
                <c:pt idx="109">
                  <c:v>584.91857219258907</c:v>
                </c:pt>
                <c:pt idx="110">
                  <c:v>593.0850553330697</c:v>
                </c:pt>
                <c:pt idx="111">
                  <c:v>601.24919866493178</c:v>
                </c:pt>
                <c:pt idx="112">
                  <c:v>609.41103844124279</c:v>
                </c:pt>
                <c:pt idx="113">
                  <c:v>617.5706098647687</c:v>
                </c:pt>
                <c:pt idx="114">
                  <c:v>625.72794713217729</c:v>
                </c:pt>
                <c:pt idx="115">
                  <c:v>633.88308347581449</c:v>
                </c:pt>
                <c:pt idx="116">
                  <c:v>565.30924032241239</c:v>
                </c:pt>
                <c:pt idx="117">
                  <c:v>572.25581156512055</c:v>
                </c:pt>
                <c:pt idx="118">
                  <c:v>579.20062185262395</c:v>
                </c:pt>
                <c:pt idx="119">
                  <c:v>586.14369528207624</c:v>
                </c:pt>
                <c:pt idx="120">
                  <c:v>593.08505533306959</c:v>
                </c:pt>
                <c:pt idx="121">
                  <c:v>600.02472489066076</c:v>
                </c:pt>
                <c:pt idx="122">
                  <c:v>606.96272626727875</c:v>
                </c:pt>
                <c:pt idx="123">
                  <c:v>613.89908122357576</c:v>
                </c:pt>
                <c:pt idx="124">
                  <c:v>620.83381098828875</c:v>
                </c:pt>
                <c:pt idx="125">
                  <c:v>627.76693627716634</c:v>
                </c:pt>
                <c:pt idx="126">
                  <c:v>566.53523487867551</c:v>
                </c:pt>
                <c:pt idx="127">
                  <c:v>572.66437832506745</c:v>
                </c:pt>
                <c:pt idx="128">
                  <c:v>578.79215191198807</c:v>
                </c:pt>
                <c:pt idx="129">
                  <c:v>584.91857219258861</c:v>
                </c:pt>
                <c:pt idx="130">
                  <c:v>591.04365534487772</c:v>
                </c:pt>
                <c:pt idx="131">
                  <c:v>597.16741718410913</c:v>
                </c:pt>
                <c:pt idx="132">
                  <c:v>603.28987317463339</c:v>
                </c:pt>
                <c:pt idx="133">
                  <c:v>609.41103844124234</c:v>
                </c:pt>
                <c:pt idx="134">
                  <c:v>615.53092778003713</c:v>
                </c:pt>
                <c:pt idx="135">
                  <c:v>621.64955566883805</c:v>
                </c:pt>
                <c:pt idx="136">
                  <c:v>567.48874784305497</c:v>
                </c:pt>
                <c:pt idx="137">
                  <c:v>572.52819008178778</c:v>
                </c:pt>
                <c:pt idx="138">
                  <c:v>577.56670598332778</c:v>
                </c:pt>
                <c:pt idx="139">
                  <c:v>582.60430477227158</c:v>
                </c:pt>
                <c:pt idx="140">
                  <c:v>587.64099550061076</c:v>
                </c:pt>
                <c:pt idx="141">
                  <c:v>592.67678705244703</c:v>
                </c:pt>
                <c:pt idx="142">
                  <c:v>597.71168814853706</c:v>
                </c:pt>
                <c:pt idx="143">
                  <c:v>602.7457073506763</c:v>
                </c:pt>
                <c:pt idx="144">
                  <c:v>607.77885306593032</c:v>
                </c:pt>
                <c:pt idx="145">
                  <c:v>612.81113355071682</c:v>
                </c:pt>
                <c:pt idx="146">
                  <c:v>617.84255691474698</c:v>
                </c:pt>
                <c:pt idx="147">
                  <c:v>622.87313112483321</c:v>
                </c:pt>
                <c:pt idx="148">
                  <c:v>627.90286400856496</c:v>
                </c:pt>
                <c:pt idx="149">
                  <c:v>632.93176325786294</c:v>
                </c:pt>
                <c:pt idx="150">
                  <c:v>637.959836432413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40360848"/>
        <c:axId val="-240357584"/>
      </c:scatterChart>
      <c:valAx>
        <c:axId val="-2403608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40357584"/>
        <c:crosses val="autoZero"/>
        <c:crossBetween val="midCat"/>
      </c:valAx>
      <c:valAx>
        <c:axId val="-240357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403608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40364656"/>
        <c:axId val="-648587088"/>
      </c:scatterChart>
      <c:valAx>
        <c:axId val="-2403646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48587088"/>
        <c:crosses val="autoZero"/>
        <c:crossBetween val="midCat"/>
      </c:valAx>
      <c:valAx>
        <c:axId val="-64858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403646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48589264"/>
        <c:axId val="-648588720"/>
      </c:scatterChart>
      <c:valAx>
        <c:axId val="-6485892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48588720"/>
        <c:crosses val="autoZero"/>
        <c:crossBetween val="midCat"/>
      </c:valAx>
      <c:valAx>
        <c:axId val="-648588720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485892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87" t="s">
        <v>291</v>
      </c>
      <c r="C12" s="287"/>
      <c r="D12" s="287"/>
      <c r="E12" s="287"/>
      <c r="F12" s="287"/>
      <c r="G12" s="287"/>
      <c r="H12" s="287"/>
      <c r="I12" s="287"/>
      <c r="J12" s="287"/>
      <c r="K12" s="287"/>
      <c r="L12" s="287"/>
      <c r="M12" s="287"/>
    </row>
    <row r="13" spans="2:13" ht="15" customHeight="1" x14ac:dyDescent="0.25">
      <c r="B13" s="287"/>
      <c r="C13" s="287"/>
      <c r="D13" s="287"/>
      <c r="E13" s="287"/>
      <c r="F13" s="287"/>
      <c r="G13" s="287"/>
      <c r="H13" s="287"/>
      <c r="I13" s="287"/>
      <c r="J13" s="287"/>
      <c r="K13" s="287"/>
      <c r="L13" s="287"/>
      <c r="M13" s="287"/>
    </row>
    <row r="14" spans="2:13" ht="15" customHeight="1" x14ac:dyDescent="0.25">
      <c r="B14" s="287"/>
      <c r="C14" s="287"/>
      <c r="D14" s="287"/>
      <c r="E14" s="287"/>
      <c r="F14" s="287"/>
      <c r="G14" s="287"/>
      <c r="H14" s="287"/>
      <c r="I14" s="287"/>
      <c r="J14" s="287"/>
      <c r="K14" s="287"/>
      <c r="L14" s="287"/>
      <c r="M14" s="287"/>
    </row>
    <row r="15" spans="2:13" ht="18.75" customHeight="1" x14ac:dyDescent="0.25">
      <c r="B15" s="287"/>
      <c r="C15" s="287"/>
      <c r="D15" s="287"/>
      <c r="E15" s="287"/>
      <c r="F15" s="287"/>
      <c r="G15" s="287"/>
      <c r="H15" s="287"/>
      <c r="I15" s="287"/>
      <c r="J15" s="287"/>
      <c r="K15" s="287"/>
      <c r="L15" s="287"/>
      <c r="M15" s="287"/>
    </row>
    <row r="16" spans="2:13" ht="18.75" customHeight="1" x14ac:dyDescent="0.25">
      <c r="B16" s="287"/>
      <c r="C16" s="287"/>
      <c r="D16" s="287"/>
      <c r="E16" s="287"/>
      <c r="F16" s="287"/>
      <c r="G16" s="287"/>
      <c r="H16" s="287"/>
      <c r="I16" s="287"/>
      <c r="J16" s="287"/>
      <c r="K16" s="287"/>
      <c r="L16" s="287"/>
      <c r="M16" s="287"/>
    </row>
    <row r="18" spans="2:13" ht="12" customHeight="1" x14ac:dyDescent="0.25">
      <c r="B18" s="287" t="s">
        <v>292</v>
      </c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</row>
    <row r="19" spans="2:13" ht="12" customHeight="1" x14ac:dyDescent="0.25">
      <c r="B19" s="287"/>
      <c r="C19" s="287"/>
      <c r="D19" s="287"/>
      <c r="E19" s="287"/>
      <c r="F19" s="287"/>
      <c r="G19" s="287"/>
      <c r="H19" s="287"/>
      <c r="I19" s="287"/>
      <c r="J19" s="287"/>
      <c r="K19" s="287"/>
      <c r="L19" s="287"/>
      <c r="M19" s="287"/>
    </row>
    <row r="20" spans="2:13" ht="12" customHeight="1" x14ac:dyDescent="0.25">
      <c r="B20" s="287"/>
      <c r="C20" s="287"/>
      <c r="D20" s="287"/>
      <c r="E20" s="287"/>
      <c r="F20" s="287"/>
      <c r="G20" s="287"/>
      <c r="H20" s="287"/>
      <c r="I20" s="287"/>
      <c r="J20" s="287"/>
      <c r="K20" s="287"/>
      <c r="L20" s="287"/>
      <c r="M20" s="287"/>
    </row>
    <row r="21" spans="2:13" ht="12" customHeight="1" x14ac:dyDescent="0.25">
      <c r="B21" s="287"/>
      <c r="C21" s="287"/>
      <c r="D21" s="287"/>
      <c r="E21" s="287"/>
      <c r="F21" s="287"/>
      <c r="G21" s="287"/>
      <c r="H21" s="287"/>
      <c r="I21" s="287"/>
      <c r="J21" s="287"/>
      <c r="K21" s="287"/>
      <c r="L21" s="287"/>
      <c r="M21" s="287"/>
    </row>
    <row r="22" spans="2:13" ht="12" customHeight="1" x14ac:dyDescent="0.25">
      <c r="B22" s="287"/>
      <c r="C22" s="287"/>
      <c r="D22" s="287"/>
      <c r="E22" s="287"/>
      <c r="F22" s="287"/>
      <c r="G22" s="287"/>
      <c r="H22" s="287"/>
      <c r="I22" s="287"/>
      <c r="J22" s="287"/>
      <c r="K22" s="287"/>
      <c r="L22" s="287"/>
      <c r="M22" s="287"/>
    </row>
    <row r="23" spans="2:13" ht="12" customHeight="1" x14ac:dyDescent="0.25">
      <c r="B23" s="287"/>
      <c r="C23" s="287"/>
      <c r="D23" s="287"/>
      <c r="E23" s="287"/>
      <c r="F23" s="287"/>
      <c r="G23" s="287"/>
      <c r="H23" s="287"/>
      <c r="I23" s="287"/>
      <c r="J23" s="287"/>
      <c r="K23" s="287"/>
      <c r="L23" s="287"/>
      <c r="M23" s="287"/>
    </row>
    <row r="24" spans="2:13" ht="12" customHeight="1" x14ac:dyDescent="0.25">
      <c r="B24" s="287"/>
      <c r="C24" s="287"/>
      <c r="D24" s="287"/>
      <c r="E24" s="287"/>
      <c r="F24" s="287"/>
      <c r="G24" s="287"/>
      <c r="H24" s="287"/>
      <c r="I24" s="287"/>
      <c r="J24" s="287"/>
      <c r="K24" s="287"/>
      <c r="L24" s="287"/>
      <c r="M24" s="287"/>
    </row>
    <row r="25" spans="2:13" ht="12" customHeight="1" x14ac:dyDescent="0.25">
      <c r="B25" s="287"/>
      <c r="C25" s="287"/>
      <c r="D25" s="287"/>
      <c r="E25" s="287"/>
      <c r="F25" s="287"/>
      <c r="G25" s="287"/>
      <c r="H25" s="287"/>
      <c r="I25" s="287"/>
      <c r="J25" s="287"/>
      <c r="K25" s="287"/>
      <c r="L25" s="287"/>
      <c r="M25" s="287"/>
    </row>
    <row r="26" spans="2:13" ht="12" customHeight="1" x14ac:dyDescent="0.25">
      <c r="B26" s="287"/>
      <c r="C26" s="287"/>
      <c r="D26" s="287"/>
      <c r="E26" s="287"/>
      <c r="F26" s="287"/>
      <c r="G26" s="287"/>
      <c r="H26" s="287"/>
      <c r="I26" s="287"/>
      <c r="J26" s="287"/>
      <c r="K26" s="287"/>
      <c r="L26" s="287"/>
      <c r="M26" s="287"/>
    </row>
    <row r="27" spans="2:13" ht="12" customHeight="1" x14ac:dyDescent="0.25">
      <c r="B27" s="287"/>
      <c r="C27" s="287"/>
      <c r="D27" s="287"/>
      <c r="E27" s="287"/>
      <c r="F27" s="287"/>
      <c r="G27" s="287"/>
      <c r="H27" s="287"/>
      <c r="I27" s="287"/>
      <c r="J27" s="287"/>
      <c r="K27" s="287"/>
      <c r="L27" s="287"/>
      <c r="M27" s="287"/>
    </row>
    <row r="28" spans="2:13" ht="12" customHeight="1" x14ac:dyDescent="0.25">
      <c r="B28" s="287"/>
      <c r="C28" s="287"/>
      <c r="D28" s="287"/>
      <c r="E28" s="287"/>
      <c r="F28" s="287"/>
      <c r="G28" s="287"/>
      <c r="H28" s="287"/>
      <c r="I28" s="287"/>
      <c r="J28" s="287"/>
      <c r="K28" s="287"/>
      <c r="L28" s="287"/>
      <c r="M28" s="287"/>
    </row>
    <row r="29" spans="2:13" ht="12" customHeight="1" x14ac:dyDescent="0.25">
      <c r="B29" s="287"/>
      <c r="C29" s="287"/>
      <c r="D29" s="287"/>
      <c r="E29" s="287"/>
      <c r="F29" s="287"/>
      <c r="G29" s="287"/>
      <c r="H29" s="287"/>
      <c r="I29" s="287"/>
      <c r="J29" s="287"/>
      <c r="K29" s="287"/>
      <c r="L29" s="287"/>
      <c r="M29" s="287"/>
    </row>
    <row r="30" spans="2:13" ht="12" customHeight="1" x14ac:dyDescent="0.25">
      <c r="B30" s="287"/>
      <c r="C30" s="287"/>
      <c r="D30" s="287"/>
      <c r="E30" s="287"/>
      <c r="F30" s="287"/>
      <c r="G30" s="287"/>
      <c r="H30" s="287"/>
      <c r="I30" s="287"/>
      <c r="J30" s="287"/>
      <c r="K30" s="287"/>
      <c r="L30" s="287"/>
      <c r="M30" s="287"/>
    </row>
    <row r="31" spans="2:13" ht="12" customHeight="1" x14ac:dyDescent="0.25">
      <c r="B31" s="287"/>
      <c r="C31" s="287"/>
      <c r="D31" s="287"/>
      <c r="E31" s="287"/>
      <c r="F31" s="287"/>
      <c r="G31" s="287"/>
      <c r="H31" s="287"/>
      <c r="I31" s="287"/>
      <c r="J31" s="287"/>
      <c r="K31" s="287"/>
      <c r="L31" s="287"/>
      <c r="M31" s="28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4" zoomScale="80" zoomScaleNormal="80" workbookViewId="0">
      <selection activeCell="C26" sqref="C2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88" t="s">
        <v>190</v>
      </c>
      <c r="D1" s="288"/>
      <c r="E1" s="28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4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3" t="s">
        <v>192</v>
      </c>
      <c r="C3" s="294"/>
      <c r="D3" s="294"/>
      <c r="E3" s="294"/>
      <c r="F3" s="295"/>
      <c r="G3" s="91"/>
      <c r="I3" s="224" t="s">
        <v>304</v>
      </c>
      <c r="J3" s="9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3"/>
      <c r="B4" s="93"/>
      <c r="C4" s="93"/>
      <c r="D4" s="93"/>
      <c r="E4" s="93"/>
      <c r="F4" s="93"/>
      <c r="G4" s="234"/>
      <c r="I4" s="224" t="s">
        <v>305</v>
      </c>
      <c r="J4" s="92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299" t="s">
        <v>231</v>
      </c>
      <c r="B5" s="299"/>
      <c r="C5" s="26">
        <v>5.5</v>
      </c>
      <c r="D5" s="300" t="s">
        <v>229</v>
      </c>
      <c r="E5" s="301"/>
      <c r="F5" s="93"/>
      <c r="G5" s="234"/>
      <c r="H5" s="235"/>
      <c r="I5" s="235"/>
      <c r="J5" s="243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4"/>
      <c r="B6" s="94"/>
      <c r="C6" s="95"/>
      <c r="D6" s="89"/>
      <c r="E6" s="89"/>
      <c r="F6" s="29"/>
      <c r="G6" s="236"/>
      <c r="H6" s="237"/>
      <c r="I6" s="237"/>
      <c r="J6" s="244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</row>
    <row r="7" spans="1:38" ht="26.25" x14ac:dyDescent="0.25">
      <c r="A7" s="297" t="s">
        <v>226</v>
      </c>
      <c r="B7" s="297"/>
      <c r="C7" s="93"/>
      <c r="D7" s="93"/>
      <c r="E7" s="5"/>
      <c r="F7" s="93"/>
      <c r="G7" s="234"/>
      <c r="H7" s="235"/>
      <c r="I7" s="235"/>
      <c r="J7" s="243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49"/>
      <c r="J8" s="243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12</v>
      </c>
      <c r="C9" s="35">
        <v>0.4</v>
      </c>
      <c r="D9" s="36">
        <f t="shared" ref="D9:D18" si="0">C9*$C$5</f>
        <v>2.2000000000000002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4" t="s">
        <v>306</v>
      </c>
      <c r="I9" s="250"/>
      <c r="J9" s="243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14</v>
      </c>
      <c r="C10" s="35">
        <v>0.15</v>
      </c>
      <c r="D10" s="36">
        <f t="shared" si="0"/>
        <v>0.82499999999999996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0"/>
      <c r="J10" s="243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9</v>
      </c>
      <c r="C11" s="35">
        <v>0.1</v>
      </c>
      <c r="D11" s="36">
        <f t="shared" si="0"/>
        <v>0.55000000000000004</v>
      </c>
      <c r="E11" s="37">
        <v>130</v>
      </c>
      <c r="F11" s="38" t="str">
        <f t="array" ref="F11">IF(E11="","",IF(INDEX(A:A,MAX(IF(ISNUMBER($A$88:$A$107),ROW($A$88:$A$107),"")))&lt;&gt;E11,"Corrigez : révolution incorrecte","OK"))</f>
        <v>OK</v>
      </c>
      <c r="H11" s="227"/>
      <c r="I11" s="250"/>
      <c r="J11" s="243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52</v>
      </c>
      <c r="C12" s="35">
        <v>0.1</v>
      </c>
      <c r="D12" s="36">
        <f t="shared" si="0"/>
        <v>0.55000000000000004</v>
      </c>
      <c r="E12" s="37">
        <v>150</v>
      </c>
      <c r="F12" s="38" t="str">
        <f t="array" ref="F12">IF(E12="","",IF(INDEX(A:A,MAX(IF(ISNUMBER($A$114:$A$133),ROW($A$114:$A$133),"")))&lt;&gt;E12,"Corrigez : révolution incorrecte","OK"))</f>
        <v>OK</v>
      </c>
      <c r="H12" s="227"/>
      <c r="I12" s="250"/>
      <c r="J12" s="243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21</v>
      </c>
      <c r="C13" s="35">
        <v>0.1</v>
      </c>
      <c r="D13" s="36">
        <f t="shared" si="0"/>
        <v>0.55000000000000004</v>
      </c>
      <c r="E13" s="37">
        <v>80</v>
      </c>
      <c r="F13" s="38" t="str">
        <f t="array" ref="F13">IF(E13="","",IF(INDEX(A:A,MAX(IF(ISNUMBER($A$140:$A$159),ROW($A$140:$A$159),"")))&lt;&gt;E13,"Corrigez : révolution incorrecte","OK"))</f>
        <v>OK</v>
      </c>
      <c r="H13" s="227"/>
      <c r="I13" s="250"/>
      <c r="J13" s="243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29</v>
      </c>
      <c r="C14" s="35">
        <v>0.05</v>
      </c>
      <c r="D14" s="36">
        <f t="shared" si="0"/>
        <v>0.27500000000000002</v>
      </c>
      <c r="E14" s="37">
        <v>69</v>
      </c>
      <c r="F14" s="38" t="str">
        <f t="array" ref="F14">IF(E14="","",IF(INDEX(A:A,MAX(IF(ISNUMBER($A$166:$A$185),ROW($A$166:$A$185),"")))&lt;&gt;E14,"Corrigez : révolution incorrecte","OK"))</f>
        <v>OK</v>
      </c>
      <c r="H14" s="227"/>
      <c r="I14" s="250"/>
      <c r="J14" s="243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1</v>
      </c>
      <c r="C15" s="35">
        <v>0.05</v>
      </c>
      <c r="D15" s="36">
        <f t="shared" si="0"/>
        <v>0.27500000000000002</v>
      </c>
      <c r="E15" s="37">
        <v>150</v>
      </c>
      <c r="F15" s="38" t="str">
        <f t="array" ref="F15">IF(E15="","",IF(INDEX(A:A,MAX(IF(ISNUMBER($A$192:$A$211),ROW($A$192:$A$211),"")))&lt;&gt;E15,"Corrigez : révolution incorrecte","OK"))</f>
        <v>OK</v>
      </c>
      <c r="H15" s="227"/>
      <c r="I15" s="250"/>
      <c r="J15" s="243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7"/>
      <c r="I16" s="250"/>
      <c r="J16" s="243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7"/>
      <c r="I17" s="250"/>
      <c r="J17" s="243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7"/>
      <c r="I18" s="250"/>
      <c r="J18" s="243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96"/>
      <c r="B19" s="39" t="s">
        <v>175</v>
      </c>
      <c r="C19" s="40">
        <f>SUM(C9:C18)</f>
        <v>0.95000000000000007</v>
      </c>
      <c r="D19" s="41">
        <f>SUM(D9:D18)</f>
        <v>5.2250000000000005</v>
      </c>
      <c r="E19" s="5"/>
      <c r="F19" s="97"/>
      <c r="G19" s="238"/>
      <c r="H19" s="239"/>
      <c r="I19" s="238"/>
      <c r="J19" s="243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96"/>
      <c r="B20" s="42" t="s">
        <v>230</v>
      </c>
      <c r="C20" s="43" t="str">
        <f>IF(C19&gt;100%,"Erreur : corrigez","OK")</f>
        <v>OK</v>
      </c>
      <c r="D20" s="245"/>
      <c r="F20" s="237"/>
      <c r="G20" s="237"/>
      <c r="H20" s="239"/>
      <c r="I20" s="238"/>
      <c r="J20" s="243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0"/>
      <c r="I21" s="251"/>
      <c r="J21" s="243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296" t="s">
        <v>232</v>
      </c>
      <c r="B22" s="296"/>
      <c r="C22" s="95"/>
      <c r="H22" s="226"/>
      <c r="I22" s="244"/>
      <c r="J22" s="244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</row>
    <row r="23" spans="1:45" x14ac:dyDescent="0.25">
      <c r="A23" s="5"/>
      <c r="B23" s="5"/>
      <c r="C23" s="5"/>
      <c r="H23" s="217"/>
      <c r="I23" s="243"/>
      <c r="J23" s="243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98"/>
      <c r="F24" s="98"/>
      <c r="G24" s="241"/>
      <c r="H24" s="227"/>
      <c r="I24" s="241"/>
      <c r="J24" s="242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99"/>
      <c r="E25" s="5"/>
      <c r="F25" s="99"/>
      <c r="G25" s="242"/>
      <c r="H25" s="227"/>
      <c r="I25" s="242"/>
      <c r="J25" s="242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</v>
      </c>
      <c r="D26" s="47" t="s">
        <v>234</v>
      </c>
      <c r="E26" s="98"/>
      <c r="F26" s="98"/>
      <c r="G26" s="241"/>
      <c r="I26" s="241"/>
      <c r="J26" s="241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98"/>
      <c r="F27" s="98"/>
      <c r="G27" s="241"/>
      <c r="I27" s="241"/>
      <c r="J27" s="241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3"/>
      <c r="I28" s="243"/>
      <c r="J28" s="243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3"/>
      <c r="I29" s="243"/>
      <c r="J29" s="243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298" t="s">
        <v>227</v>
      </c>
      <c r="B30" s="298"/>
      <c r="D30" s="246"/>
      <c r="H30" s="244"/>
      <c r="I30" s="244"/>
      <c r="J30" s="244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</row>
    <row r="31" spans="1:45" x14ac:dyDescent="0.25">
      <c r="A31" s="5"/>
      <c r="B31" s="5"/>
      <c r="H31" s="243"/>
      <c r="I31" s="243"/>
      <c r="J31" s="243"/>
      <c r="K31" s="246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pubescent</v>
      </c>
      <c r="D32" s="255" t="s">
        <v>307</v>
      </c>
      <c r="K32" s="246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46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88" t="s">
        <v>185</v>
      </c>
      <c r="C34" s="289" t="s">
        <v>186</v>
      </c>
      <c r="D34" s="289"/>
      <c r="E34" s="290" t="s">
        <v>187</v>
      </c>
      <c r="F34" s="291"/>
      <c r="G34" s="291"/>
      <c r="H34" s="292"/>
      <c r="I34" s="100"/>
      <c r="J34" s="247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48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1">
        <v>42</v>
      </c>
      <c r="C36" s="61"/>
      <c r="D36" s="61"/>
      <c r="E36" s="54"/>
      <c r="F36" s="54"/>
      <c r="G36" s="54"/>
      <c r="H36" s="54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1">
        <f>62+8</f>
        <v>70</v>
      </c>
      <c r="C37" s="61">
        <v>1</v>
      </c>
      <c r="D37" s="61">
        <v>8</v>
      </c>
      <c r="E37" s="54"/>
      <c r="F37" s="54"/>
      <c r="G37" s="54"/>
      <c r="H37" s="54">
        <v>1</v>
      </c>
      <c r="I37" s="56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1">
        <f>76+21</f>
        <v>97</v>
      </c>
      <c r="C38" s="61"/>
      <c r="D38" s="61"/>
      <c r="E38" s="54"/>
      <c r="F38" s="54"/>
      <c r="G38" s="54"/>
      <c r="H38" s="54"/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1">
        <f>95+21+21</f>
        <v>137</v>
      </c>
      <c r="C39" s="61">
        <v>2</v>
      </c>
      <c r="D39" s="61">
        <f>21+21</f>
        <v>42</v>
      </c>
      <c r="E39" s="54"/>
      <c r="F39" s="54"/>
      <c r="G39" s="54"/>
      <c r="H39" s="54"/>
      <c r="I39" s="52">
        <f t="shared" si="1"/>
        <v>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1">
        <f>116+21</f>
        <v>137</v>
      </c>
      <c r="C40" s="61"/>
      <c r="D40" s="61"/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1">
        <f>137+21+21</f>
        <v>179</v>
      </c>
      <c r="C41" s="61">
        <v>3</v>
      </c>
      <c r="D41" s="61">
        <f>21+21</f>
        <v>42</v>
      </c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1">
        <f>157+21</f>
        <v>178</v>
      </c>
      <c r="C42" s="61"/>
      <c r="D42" s="61"/>
      <c r="E42" s="54"/>
      <c r="F42" s="54"/>
      <c r="G42" s="54"/>
      <c r="H42" s="54"/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53">
        <v>55</v>
      </c>
      <c r="B43" s="61">
        <f>176+21+21</f>
        <v>218</v>
      </c>
      <c r="C43" s="61">
        <v>4</v>
      </c>
      <c r="D43" s="61">
        <f>21+21</f>
        <v>42</v>
      </c>
      <c r="E43" s="54"/>
      <c r="F43" s="54"/>
      <c r="G43" s="54"/>
      <c r="H43" s="54"/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53">
        <v>60</v>
      </c>
      <c r="B44" s="53">
        <f>193+21</f>
        <v>214</v>
      </c>
      <c r="C44" s="53"/>
      <c r="D44" s="53"/>
      <c r="E44" s="54"/>
      <c r="F44" s="54"/>
      <c r="G44" s="54"/>
      <c r="H44" s="54"/>
      <c r="I44" s="52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53">
        <v>65</v>
      </c>
      <c r="B45" s="53">
        <f>208+21+21</f>
        <v>250</v>
      </c>
      <c r="C45" s="53">
        <v>5</v>
      </c>
      <c r="D45" s="53">
        <f>21+21</f>
        <v>42</v>
      </c>
      <c r="E45" s="54"/>
      <c r="F45" s="54"/>
      <c r="G45" s="54"/>
      <c r="H45" s="54"/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53">
        <v>70</v>
      </c>
      <c r="B46" s="53">
        <f>221+21</f>
        <v>242</v>
      </c>
      <c r="C46" s="53"/>
      <c r="D46" s="53"/>
      <c r="E46" s="54"/>
      <c r="F46" s="54"/>
      <c r="G46" s="54"/>
      <c r="H46" s="54"/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53">
        <v>75</v>
      </c>
      <c r="B47" s="53">
        <f>231+21+21</f>
        <v>273</v>
      </c>
      <c r="C47" s="53">
        <v>6</v>
      </c>
      <c r="D47" s="53">
        <f>21+21</f>
        <v>42</v>
      </c>
      <c r="E47" s="54"/>
      <c r="F47" s="54"/>
      <c r="G47" s="54"/>
      <c r="H47" s="54"/>
      <c r="I47" s="52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53">
        <v>80</v>
      </c>
      <c r="B48" s="53">
        <f>240+21</f>
        <v>261</v>
      </c>
      <c r="C48" s="53"/>
      <c r="D48" s="53"/>
      <c r="E48" s="54"/>
      <c r="F48" s="54"/>
      <c r="G48" s="54"/>
      <c r="H48" s="54"/>
      <c r="I48" s="52">
        <f t="shared" si="1"/>
        <v>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53">
        <v>85</v>
      </c>
      <c r="B49" s="53">
        <f>248+21+21</f>
        <v>290</v>
      </c>
      <c r="C49" s="53">
        <v>7</v>
      </c>
      <c r="D49" s="53">
        <f>21+21</f>
        <v>42</v>
      </c>
      <c r="E49" s="54"/>
      <c r="F49" s="54"/>
      <c r="G49" s="54"/>
      <c r="H49" s="54"/>
      <c r="I49" s="52">
        <f t="shared" si="1"/>
        <v>5.8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53">
        <v>95</v>
      </c>
      <c r="B50" s="53">
        <f>258+21+21</f>
        <v>300</v>
      </c>
      <c r="C50" s="53">
        <v>8</v>
      </c>
      <c r="D50" s="53">
        <f>21+21</f>
        <v>42</v>
      </c>
      <c r="E50" s="54"/>
      <c r="F50" s="54"/>
      <c r="G50" s="54"/>
      <c r="H50" s="54"/>
      <c r="I50" s="52">
        <f t="shared" si="1"/>
        <v>5.2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53">
        <v>105</v>
      </c>
      <c r="B51" s="53">
        <f>264+21+20</f>
        <v>305</v>
      </c>
      <c r="C51" s="53">
        <v>9</v>
      </c>
      <c r="D51" s="53">
        <f>21+20</f>
        <v>41</v>
      </c>
      <c r="E51" s="54"/>
      <c r="F51" s="54"/>
      <c r="G51" s="54"/>
      <c r="H51" s="54"/>
      <c r="I51" s="52">
        <f t="shared" si="1"/>
        <v>4.7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53">
        <v>115</v>
      </c>
      <c r="B52" s="53">
        <f>267+19+18</f>
        <v>304</v>
      </c>
      <c r="C52" s="53">
        <v>10</v>
      </c>
      <c r="D52" s="53">
        <f>19+18</f>
        <v>37</v>
      </c>
      <c r="E52" s="54"/>
      <c r="F52" s="54"/>
      <c r="G52" s="54"/>
      <c r="H52" s="54"/>
      <c r="I52" s="52">
        <f t="shared" si="1"/>
        <v>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53">
        <v>125</v>
      </c>
      <c r="B53" s="53">
        <f>268+17+16</f>
        <v>301</v>
      </c>
      <c r="C53" s="53">
        <v>11</v>
      </c>
      <c r="D53" s="53">
        <f>17+16</f>
        <v>33</v>
      </c>
      <c r="E53" s="54"/>
      <c r="F53" s="54"/>
      <c r="G53" s="54"/>
      <c r="H53" s="54"/>
      <c r="I53" s="52">
        <f t="shared" si="1"/>
        <v>3.4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53">
        <v>135</v>
      </c>
      <c r="B54" s="53">
        <f>269+15+14</f>
        <v>298</v>
      </c>
      <c r="C54" s="53">
        <v>12</v>
      </c>
      <c r="D54" s="53">
        <f>15+14</f>
        <v>29</v>
      </c>
      <c r="E54" s="54"/>
      <c r="F54" s="54"/>
      <c r="G54" s="54"/>
      <c r="H54" s="54"/>
      <c r="I54" s="52">
        <f t="shared" si="1"/>
        <v>3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53">
        <v>150</v>
      </c>
      <c r="B55" s="53">
        <f>268+13+13+12</f>
        <v>306</v>
      </c>
      <c r="C55" s="53">
        <v>13</v>
      </c>
      <c r="D55" s="53">
        <f>B55</f>
        <v>306</v>
      </c>
      <c r="E55" s="54"/>
      <c r="F55" s="54"/>
      <c r="G55" s="54"/>
      <c r="H55" s="54"/>
      <c r="I55" s="52">
        <f t="shared" si="1"/>
        <v>2.4666666666666668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sessile</v>
      </c>
      <c r="D58" s="255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1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88" t="s">
        <v>185</v>
      </c>
      <c r="C60" s="289" t="s">
        <v>186</v>
      </c>
      <c r="D60" s="289"/>
      <c r="E60" s="290" t="s">
        <v>187</v>
      </c>
      <c r="F60" s="291"/>
      <c r="G60" s="291"/>
      <c r="H60" s="292"/>
      <c r="I60" s="100"/>
      <c r="J60" s="247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48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1">
        <v>42</v>
      </c>
      <c r="C62" s="61"/>
      <c r="D62" s="61"/>
      <c r="E62" s="54"/>
      <c r="F62" s="54"/>
      <c r="G62" s="54"/>
      <c r="H62" s="54"/>
      <c r="I62" s="56">
        <f>IFERROR(B62/A62,"")</f>
        <v>2.1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1">
        <f>62+8</f>
        <v>70</v>
      </c>
      <c r="C63" s="61">
        <v>1</v>
      </c>
      <c r="D63" s="61">
        <v>8</v>
      </c>
      <c r="E63" s="54"/>
      <c r="F63" s="54"/>
      <c r="G63" s="54"/>
      <c r="H63" s="54">
        <v>1</v>
      </c>
      <c r="I63" s="52">
        <f>IF(A63&lt;&gt;0,(B63-(B62-D62))/(A63-A62),"")</f>
        <v>5.6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1">
        <f>76+21</f>
        <v>97</v>
      </c>
      <c r="C64" s="61"/>
      <c r="D64" s="61"/>
      <c r="E64" s="54"/>
      <c r="F64" s="54"/>
      <c r="G64" s="54"/>
      <c r="H64" s="54"/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1">
        <f>95+21+21</f>
        <v>137</v>
      </c>
      <c r="C65" s="61">
        <v>2</v>
      </c>
      <c r="D65" s="61">
        <f>21+21</f>
        <v>42</v>
      </c>
      <c r="E65" s="54"/>
      <c r="F65" s="54"/>
      <c r="G65" s="54"/>
      <c r="H65" s="54"/>
      <c r="I65" s="52">
        <f>IF(A65&lt;&gt;0,(B65-(B64-D64))/(A65-A64),"")</f>
        <v>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1">
        <f>116+21</f>
        <v>137</v>
      </c>
      <c r="C66" s="61"/>
      <c r="D66" s="61"/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1">
        <f>137+21+21</f>
        <v>179</v>
      </c>
      <c r="C67" s="61">
        <v>3</v>
      </c>
      <c r="D67" s="61">
        <f>21+21</f>
        <v>42</v>
      </c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1">
        <f>157+21</f>
        <v>178</v>
      </c>
      <c r="C68" s="61"/>
      <c r="D68" s="61"/>
      <c r="E68" s="54"/>
      <c r="F68" s="54"/>
      <c r="G68" s="54"/>
      <c r="H68" s="54"/>
      <c r="I68" s="52">
        <f t="shared" si="2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61">
        <f>176+21+21</f>
        <v>218</v>
      </c>
      <c r="C69" s="61">
        <v>4</v>
      </c>
      <c r="D69" s="61">
        <f>21+21</f>
        <v>42</v>
      </c>
      <c r="E69" s="54"/>
      <c r="F69" s="54"/>
      <c r="G69" s="54"/>
      <c r="H69" s="54"/>
      <c r="I69" s="52">
        <f t="shared" si="2"/>
        <v>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53">
        <v>214</v>
      </c>
      <c r="C70" s="53"/>
      <c r="D70" s="53"/>
      <c r="E70" s="54"/>
      <c r="F70" s="54"/>
      <c r="G70" s="54"/>
      <c r="H70" s="54"/>
      <c r="I70" s="52">
        <f t="shared" si="2"/>
        <v>7.6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53">
        <v>250</v>
      </c>
      <c r="C71" s="53">
        <v>5</v>
      </c>
      <c r="D71" s="53">
        <v>42</v>
      </c>
      <c r="E71" s="54"/>
      <c r="F71" s="54"/>
      <c r="G71" s="54"/>
      <c r="H71" s="54"/>
      <c r="I71" s="52">
        <f t="shared" si="2"/>
        <v>7.2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70</v>
      </c>
      <c r="B72" s="53">
        <v>242</v>
      </c>
      <c r="C72" s="53"/>
      <c r="D72" s="53"/>
      <c r="E72" s="54"/>
      <c r="F72" s="54"/>
      <c r="G72" s="54"/>
      <c r="H72" s="54"/>
      <c r="I72" s="52">
        <f t="shared" si="2"/>
        <v>6.8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75</v>
      </c>
      <c r="B73" s="53">
        <v>273</v>
      </c>
      <c r="C73" s="53">
        <v>6</v>
      </c>
      <c r="D73" s="53">
        <v>42</v>
      </c>
      <c r="E73" s="54"/>
      <c r="F73" s="54"/>
      <c r="G73" s="54"/>
      <c r="H73" s="54"/>
      <c r="I73" s="52">
        <f t="shared" si="2"/>
        <v>6.2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80</v>
      </c>
      <c r="B74" s="53">
        <v>261</v>
      </c>
      <c r="C74" s="53"/>
      <c r="D74" s="53"/>
      <c r="E74" s="54"/>
      <c r="F74" s="54"/>
      <c r="G74" s="54"/>
      <c r="H74" s="54"/>
      <c r="I74" s="52">
        <f t="shared" si="2"/>
        <v>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85</v>
      </c>
      <c r="B75" s="53">
        <v>290</v>
      </c>
      <c r="C75" s="53">
        <v>7</v>
      </c>
      <c r="D75" s="53">
        <v>42</v>
      </c>
      <c r="E75" s="54"/>
      <c r="F75" s="54"/>
      <c r="G75" s="54"/>
      <c r="H75" s="54"/>
      <c r="I75" s="52">
        <f t="shared" si="2"/>
        <v>5.8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95</v>
      </c>
      <c r="B76" s="53">
        <v>300</v>
      </c>
      <c r="C76" s="53">
        <v>8</v>
      </c>
      <c r="D76" s="53">
        <v>42</v>
      </c>
      <c r="E76" s="54"/>
      <c r="F76" s="54"/>
      <c r="G76" s="54"/>
      <c r="H76" s="54"/>
      <c r="I76" s="52">
        <f t="shared" si="2"/>
        <v>5.2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105</v>
      </c>
      <c r="B77" s="53">
        <v>305</v>
      </c>
      <c r="C77" s="53">
        <v>9</v>
      </c>
      <c r="D77" s="53">
        <v>41</v>
      </c>
      <c r="E77" s="54"/>
      <c r="F77" s="54"/>
      <c r="G77" s="54"/>
      <c r="H77" s="54"/>
      <c r="I77" s="52">
        <f t="shared" si="2"/>
        <v>4.7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115</v>
      </c>
      <c r="B78" s="53">
        <v>304</v>
      </c>
      <c r="C78" s="53">
        <v>10</v>
      </c>
      <c r="D78" s="53">
        <v>37</v>
      </c>
      <c r="E78" s="54"/>
      <c r="F78" s="54"/>
      <c r="G78" s="54"/>
      <c r="H78" s="54"/>
      <c r="I78" s="52">
        <f t="shared" si="2"/>
        <v>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125</v>
      </c>
      <c r="B79" s="53">
        <v>301</v>
      </c>
      <c r="C79" s="53">
        <v>11</v>
      </c>
      <c r="D79" s="53">
        <v>33</v>
      </c>
      <c r="E79" s="54"/>
      <c r="F79" s="54"/>
      <c r="G79" s="54"/>
      <c r="H79" s="54"/>
      <c r="I79" s="52">
        <f t="shared" si="2"/>
        <v>3.4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135</v>
      </c>
      <c r="B80" s="53">
        <v>298</v>
      </c>
      <c r="C80" s="53">
        <v>12</v>
      </c>
      <c r="D80" s="53">
        <v>29</v>
      </c>
      <c r="E80" s="54"/>
      <c r="F80" s="54"/>
      <c r="G80" s="54"/>
      <c r="H80" s="54"/>
      <c r="I80" s="52">
        <f t="shared" si="2"/>
        <v>3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150</v>
      </c>
      <c r="B81" s="53">
        <v>306</v>
      </c>
      <c r="C81" s="53">
        <v>13</v>
      </c>
      <c r="D81" s="53">
        <v>306</v>
      </c>
      <c r="E81" s="54"/>
      <c r="F81" s="54"/>
      <c r="G81" s="54"/>
      <c r="H81" s="54"/>
      <c r="I81" s="52">
        <f t="shared" si="2"/>
        <v>2.4666666666666668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chevelu</v>
      </c>
      <c r="D84" s="255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1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88" t="s">
        <v>185</v>
      </c>
      <c r="C86" s="289" t="s">
        <v>186</v>
      </c>
      <c r="D86" s="289"/>
      <c r="E86" s="290" t="s">
        <v>187</v>
      </c>
      <c r="F86" s="291"/>
      <c r="G86" s="291"/>
      <c r="H86" s="292"/>
      <c r="I86" s="100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15</v>
      </c>
      <c r="B88" s="61">
        <f>47/1.56</f>
        <v>30.128205128205128</v>
      </c>
      <c r="C88" s="61"/>
      <c r="D88" s="61"/>
      <c r="E88" s="54"/>
      <c r="F88" s="54"/>
      <c r="G88" s="54"/>
      <c r="H88" s="54"/>
      <c r="I88" s="56">
        <f>IFERROR(B88/A88,"")</f>
        <v>2.0085470085470085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20</v>
      </c>
      <c r="B89" s="61">
        <f>(86+6)/1.56</f>
        <v>58.974358974358971</v>
      </c>
      <c r="C89" s="61">
        <v>1</v>
      </c>
      <c r="D89" s="61">
        <f>(6+10)/1.56</f>
        <v>10.256410256410255</v>
      </c>
      <c r="E89" s="54"/>
      <c r="F89" s="54"/>
      <c r="G89" s="54"/>
      <c r="H89" s="54">
        <v>1</v>
      </c>
      <c r="I89" s="56">
        <f t="shared" ref="I89:I107" si="3">IF(A89&lt;&gt;0,(B89-(B88-D88))/(A89-A88),"")</f>
        <v>5.7692307692307683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25</v>
      </c>
      <c r="B90" s="61">
        <f>127/1.56</f>
        <v>81.410256410256409</v>
      </c>
      <c r="C90" s="61"/>
      <c r="D90" s="61"/>
      <c r="E90" s="54"/>
      <c r="F90" s="54"/>
      <c r="G90" s="54"/>
      <c r="H90" s="54"/>
      <c r="I90" s="56">
        <f t="shared" si="3"/>
        <v>6.5384615384615383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30</v>
      </c>
      <c r="B91" s="61">
        <f>(167+13)/1.56</f>
        <v>115.38461538461539</v>
      </c>
      <c r="C91" s="61">
        <v>2</v>
      </c>
      <c r="D91" s="61">
        <f>(13+15)/1.56</f>
        <v>17.948717948717949</v>
      </c>
      <c r="E91" s="54"/>
      <c r="F91" s="54"/>
      <c r="G91" s="54"/>
      <c r="H91" s="54">
        <v>1</v>
      </c>
      <c r="I91" s="56">
        <f t="shared" si="3"/>
        <v>6.7948717948717956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35</v>
      </c>
      <c r="B92" s="61">
        <f>205/1.56</f>
        <v>131.41025641025641</v>
      </c>
      <c r="C92" s="61"/>
      <c r="D92" s="61"/>
      <c r="E92" s="54"/>
      <c r="F92" s="54"/>
      <c r="G92" s="54"/>
      <c r="H92" s="54"/>
      <c r="I92" s="56">
        <f t="shared" si="3"/>
        <v>6.7948717948717956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40</v>
      </c>
      <c r="B93" s="61">
        <f>(239+17)/1.56</f>
        <v>164.10256410256409</v>
      </c>
      <c r="C93" s="61">
        <v>3</v>
      </c>
      <c r="D93" s="61">
        <f>(17+18)/1.56</f>
        <v>22.435897435897434</v>
      </c>
      <c r="E93" s="54"/>
      <c r="F93" s="54"/>
      <c r="G93" s="54"/>
      <c r="H93" s="54"/>
      <c r="I93" s="56">
        <f t="shared" si="3"/>
        <v>6.5384615384615357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45</v>
      </c>
      <c r="B94" s="61">
        <f>270/1.56</f>
        <v>173.07692307692307</v>
      </c>
      <c r="C94" s="61"/>
      <c r="D94" s="61"/>
      <c r="E94" s="54"/>
      <c r="F94" s="54"/>
      <c r="G94" s="54"/>
      <c r="H94" s="54"/>
      <c r="I94" s="56">
        <f t="shared" si="3"/>
        <v>6.2820512820512819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53">
        <v>50</v>
      </c>
      <c r="B95" s="61">
        <f>(298+19)/1.56</f>
        <v>203.2051282051282</v>
      </c>
      <c r="C95" s="61">
        <v>4</v>
      </c>
      <c r="D95" s="61">
        <f>(19+19)/1.56</f>
        <v>24.358974358974358</v>
      </c>
      <c r="E95" s="54"/>
      <c r="F95" s="54"/>
      <c r="G95" s="54"/>
      <c r="H95" s="54"/>
      <c r="I95" s="56">
        <f t="shared" si="3"/>
        <v>6.0256410256410273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53">
        <v>55</v>
      </c>
      <c r="B96" s="53">
        <f>323/1.56</f>
        <v>207.05128205128204</v>
      </c>
      <c r="C96" s="53"/>
      <c r="D96" s="53"/>
      <c r="E96" s="54"/>
      <c r="F96" s="54"/>
      <c r="G96" s="54"/>
      <c r="H96" s="54"/>
      <c r="I96" s="56">
        <f t="shared" si="3"/>
        <v>5.6410256410256405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53">
        <v>60</v>
      </c>
      <c r="B97" s="53">
        <f>(345+19)/1.56</f>
        <v>233.33333333333331</v>
      </c>
      <c r="C97" s="53">
        <v>5</v>
      </c>
      <c r="D97" s="53">
        <f>(19+19)/1.56</f>
        <v>24.358974358974358</v>
      </c>
      <c r="E97" s="54"/>
      <c r="F97" s="54"/>
      <c r="G97" s="54"/>
      <c r="H97" s="54"/>
      <c r="I97" s="56">
        <f t="shared" si="3"/>
        <v>5.2564102564102537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53">
        <v>65</v>
      </c>
      <c r="B98" s="53">
        <f>365/1.56</f>
        <v>233.97435897435898</v>
      </c>
      <c r="C98" s="53"/>
      <c r="D98" s="53"/>
      <c r="E98" s="54"/>
      <c r="F98" s="54"/>
      <c r="G98" s="54"/>
      <c r="H98" s="54"/>
      <c r="I98" s="56">
        <f t="shared" si="3"/>
        <v>5.0000000000000053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53">
        <v>70</v>
      </c>
      <c r="B99" s="53">
        <f>(385+18)/1.56</f>
        <v>258.33333333333331</v>
      </c>
      <c r="C99" s="53">
        <v>6</v>
      </c>
      <c r="D99" s="53">
        <f>(18+18)/1.56</f>
        <v>23.076923076923077</v>
      </c>
      <c r="E99" s="54"/>
      <c r="F99" s="54"/>
      <c r="G99" s="54"/>
      <c r="H99" s="54"/>
      <c r="I99" s="56">
        <f t="shared" si="3"/>
        <v>4.8717948717948669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53">
        <v>75</v>
      </c>
      <c r="B100" s="53">
        <f>402/1.56</f>
        <v>257.69230769230768</v>
      </c>
      <c r="C100" s="53"/>
      <c r="D100" s="53"/>
      <c r="E100" s="54"/>
      <c r="F100" s="54"/>
      <c r="G100" s="54"/>
      <c r="H100" s="54"/>
      <c r="I100" s="56">
        <f t="shared" si="3"/>
        <v>4.4871794871794863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53">
        <v>80</v>
      </c>
      <c r="B101" s="53">
        <f>(418+18)/1.56</f>
        <v>279.4871794871795</v>
      </c>
      <c r="C101" s="53">
        <v>7</v>
      </c>
      <c r="D101" s="53">
        <f>(18+17)/1.56</f>
        <v>22.435897435897434</v>
      </c>
      <c r="E101" s="54"/>
      <c r="F101" s="54"/>
      <c r="G101" s="54"/>
      <c r="H101" s="54"/>
      <c r="I101" s="56">
        <f t="shared" si="3"/>
        <v>4.3589743589743648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53">
        <v>85</v>
      </c>
      <c r="B102" s="53">
        <f>432/1.56</f>
        <v>276.92307692307691</v>
      </c>
      <c r="C102" s="53"/>
      <c r="D102" s="53"/>
      <c r="E102" s="54"/>
      <c r="F102" s="54"/>
      <c r="G102" s="54"/>
      <c r="H102" s="54"/>
      <c r="I102" s="56">
        <f t="shared" si="3"/>
        <v>3.9743589743589722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53">
        <v>90</v>
      </c>
      <c r="B103" s="53">
        <f>(445+17)/1.56</f>
        <v>296.15384615384613</v>
      </c>
      <c r="C103" s="53">
        <v>8</v>
      </c>
      <c r="D103" s="53">
        <f>(17+16)/1.56</f>
        <v>21.153846153846153</v>
      </c>
      <c r="E103" s="54"/>
      <c r="F103" s="54"/>
      <c r="G103" s="54"/>
      <c r="H103" s="54"/>
      <c r="I103" s="56">
        <f t="shared" si="3"/>
        <v>3.8461538461538454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53">
        <v>95</v>
      </c>
      <c r="B104" s="53">
        <f>457/1.56</f>
        <v>292.94871794871796</v>
      </c>
      <c r="C104" s="53"/>
      <c r="D104" s="53"/>
      <c r="E104" s="54"/>
      <c r="F104" s="54"/>
      <c r="G104" s="54"/>
      <c r="H104" s="54"/>
      <c r="I104" s="56">
        <f t="shared" si="3"/>
        <v>3.5897435897435912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100</v>
      </c>
      <c r="B105" s="53">
        <f>(467+16)/1.56</f>
        <v>309.61538461538458</v>
      </c>
      <c r="C105" s="53">
        <v>9</v>
      </c>
      <c r="D105" s="53">
        <f>(16+16)/1.56</f>
        <v>20.512820512820511</v>
      </c>
      <c r="E105" s="54"/>
      <c r="F105" s="54"/>
      <c r="G105" s="54"/>
      <c r="H105" s="54"/>
      <c r="I105" s="56">
        <f t="shared" si="3"/>
        <v>3.3333333333333259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115</v>
      </c>
      <c r="B106" s="53">
        <f>(494+15+15)/1.56</f>
        <v>335.89743589743591</v>
      </c>
      <c r="C106" s="53">
        <v>10</v>
      </c>
      <c r="D106" s="53">
        <f>(15+15+14)/1.56</f>
        <v>28.205128205128204</v>
      </c>
      <c r="E106" s="54"/>
      <c r="F106" s="54"/>
      <c r="G106" s="54"/>
      <c r="H106" s="54"/>
      <c r="I106" s="56">
        <f t="shared" si="3"/>
        <v>3.1196581196581215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130</v>
      </c>
      <c r="B107" s="53">
        <f>(516+14+13)/1.56</f>
        <v>348.07692307692304</v>
      </c>
      <c r="C107" s="53">
        <v>11</v>
      </c>
      <c r="D107" s="53">
        <f>B107</f>
        <v>348.07692307692304</v>
      </c>
      <c r="E107" s="54"/>
      <c r="F107" s="54"/>
      <c r="G107" s="54"/>
      <c r="H107" s="54"/>
      <c r="I107" s="56">
        <f t="shared" si="3"/>
        <v>2.6923076923076867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Cormier</v>
      </c>
      <c r="D110" s="255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1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88" t="s">
        <v>185</v>
      </c>
      <c r="C112" s="289" t="s">
        <v>186</v>
      </c>
      <c r="D112" s="289"/>
      <c r="E112" s="290" t="s">
        <v>187</v>
      </c>
      <c r="F112" s="291"/>
      <c r="G112" s="291"/>
      <c r="H112" s="292"/>
      <c r="I112" s="100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20</v>
      </c>
      <c r="B114" s="61">
        <v>42</v>
      </c>
      <c r="C114" s="61"/>
      <c r="D114" s="61"/>
      <c r="E114" s="54"/>
      <c r="F114" s="54"/>
      <c r="G114" s="54"/>
      <c r="H114" s="54"/>
      <c r="I114" s="56">
        <f>IFERROR(B114/A114,"")</f>
        <v>2.1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25</v>
      </c>
      <c r="B115" s="61">
        <f>62+8</f>
        <v>70</v>
      </c>
      <c r="C115" s="61">
        <v>1</v>
      </c>
      <c r="D115" s="61">
        <v>8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5.6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30</v>
      </c>
      <c r="B116" s="61">
        <f>76+21</f>
        <v>97</v>
      </c>
      <c r="C116" s="61"/>
      <c r="D116" s="61"/>
      <c r="E116" s="54"/>
      <c r="F116" s="54"/>
      <c r="G116" s="54"/>
      <c r="H116" s="54"/>
      <c r="I116" s="56">
        <f t="shared" si="4"/>
        <v>7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35</v>
      </c>
      <c r="B117" s="61">
        <f>95+21+21</f>
        <v>137</v>
      </c>
      <c r="C117" s="61">
        <v>2</v>
      </c>
      <c r="D117" s="61">
        <f>21+21</f>
        <v>42</v>
      </c>
      <c r="E117" s="54"/>
      <c r="F117" s="54"/>
      <c r="G117" s="54"/>
      <c r="H117" s="54"/>
      <c r="I117" s="56">
        <f t="shared" si="4"/>
        <v>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40</v>
      </c>
      <c r="B118" s="61">
        <f>116+21</f>
        <v>137</v>
      </c>
      <c r="C118" s="61"/>
      <c r="D118" s="61"/>
      <c r="E118" s="54"/>
      <c r="F118" s="54"/>
      <c r="G118" s="54"/>
      <c r="H118" s="54"/>
      <c r="I118" s="56">
        <f t="shared" si="4"/>
        <v>8.4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45</v>
      </c>
      <c r="B119" s="61">
        <f>137+21+21</f>
        <v>179</v>
      </c>
      <c r="C119" s="61">
        <v>3</v>
      </c>
      <c r="D119" s="61">
        <f>21+21</f>
        <v>42</v>
      </c>
      <c r="E119" s="54"/>
      <c r="F119" s="54"/>
      <c r="G119" s="54"/>
      <c r="H119" s="54"/>
      <c r="I119" s="56">
        <f t="shared" si="4"/>
        <v>8.4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50</v>
      </c>
      <c r="B120" s="61">
        <f>157+21</f>
        <v>178</v>
      </c>
      <c r="C120" s="61"/>
      <c r="D120" s="61"/>
      <c r="E120" s="54"/>
      <c r="F120" s="54"/>
      <c r="G120" s="54"/>
      <c r="H120" s="54"/>
      <c r="I120" s="56">
        <f t="shared" si="4"/>
        <v>8.1999999999999993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53">
        <v>55</v>
      </c>
      <c r="B121" s="61">
        <f>176+21+21</f>
        <v>218</v>
      </c>
      <c r="C121" s="61">
        <v>4</v>
      </c>
      <c r="D121" s="61">
        <f>21+21</f>
        <v>42</v>
      </c>
      <c r="E121" s="54"/>
      <c r="F121" s="54"/>
      <c r="G121" s="54"/>
      <c r="H121" s="54"/>
      <c r="I121" s="56">
        <f t="shared" si="4"/>
        <v>8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53">
        <v>60</v>
      </c>
      <c r="B122" s="53">
        <v>214</v>
      </c>
      <c r="C122" s="53"/>
      <c r="D122" s="53"/>
      <c r="E122" s="54"/>
      <c r="F122" s="54"/>
      <c r="G122" s="54"/>
      <c r="H122" s="54"/>
      <c r="I122" s="56">
        <f t="shared" si="4"/>
        <v>7.6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53">
        <v>65</v>
      </c>
      <c r="B123" s="53">
        <v>250</v>
      </c>
      <c r="C123" s="53">
        <v>5</v>
      </c>
      <c r="D123" s="53">
        <v>42</v>
      </c>
      <c r="E123" s="54"/>
      <c r="F123" s="54"/>
      <c r="G123" s="54"/>
      <c r="H123" s="54"/>
      <c r="I123" s="56">
        <f t="shared" si="4"/>
        <v>7.2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53">
        <v>70</v>
      </c>
      <c r="B124" s="53">
        <v>242</v>
      </c>
      <c r="C124" s="53"/>
      <c r="D124" s="53"/>
      <c r="E124" s="54"/>
      <c r="F124" s="54"/>
      <c r="G124" s="54"/>
      <c r="H124" s="54"/>
      <c r="I124" s="56">
        <f t="shared" si="4"/>
        <v>6.8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53">
        <v>75</v>
      </c>
      <c r="B125" s="53">
        <v>273</v>
      </c>
      <c r="C125" s="53">
        <v>6</v>
      </c>
      <c r="D125" s="53">
        <v>42</v>
      </c>
      <c r="E125" s="54"/>
      <c r="F125" s="54"/>
      <c r="G125" s="54"/>
      <c r="H125" s="54"/>
      <c r="I125" s="56">
        <f t="shared" si="4"/>
        <v>6.2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53">
        <v>80</v>
      </c>
      <c r="B126" s="53">
        <v>261</v>
      </c>
      <c r="C126" s="53"/>
      <c r="D126" s="53"/>
      <c r="E126" s="54"/>
      <c r="F126" s="54"/>
      <c r="G126" s="54"/>
      <c r="H126" s="54"/>
      <c r="I126" s="56">
        <f t="shared" si="4"/>
        <v>6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53">
        <v>85</v>
      </c>
      <c r="B127" s="53">
        <v>290</v>
      </c>
      <c r="C127" s="53">
        <v>7</v>
      </c>
      <c r="D127" s="53">
        <v>42</v>
      </c>
      <c r="E127" s="54"/>
      <c r="F127" s="54"/>
      <c r="G127" s="54"/>
      <c r="H127" s="54"/>
      <c r="I127" s="56">
        <f t="shared" si="4"/>
        <v>5.8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95</v>
      </c>
      <c r="B128" s="53">
        <v>300</v>
      </c>
      <c r="C128" s="53">
        <v>8</v>
      </c>
      <c r="D128" s="53">
        <v>42</v>
      </c>
      <c r="E128" s="54"/>
      <c r="F128" s="54"/>
      <c r="G128" s="54"/>
      <c r="H128" s="54"/>
      <c r="I128" s="56">
        <f t="shared" si="4"/>
        <v>5.2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105</v>
      </c>
      <c r="B129" s="53">
        <v>305</v>
      </c>
      <c r="C129" s="53">
        <v>9</v>
      </c>
      <c r="D129" s="53">
        <v>41</v>
      </c>
      <c r="E129" s="54"/>
      <c r="F129" s="54"/>
      <c r="G129" s="54"/>
      <c r="H129" s="54"/>
      <c r="I129" s="56">
        <f t="shared" si="4"/>
        <v>4.7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115</v>
      </c>
      <c r="B130" s="53">
        <v>304</v>
      </c>
      <c r="C130" s="53">
        <v>10</v>
      </c>
      <c r="D130" s="53">
        <v>37</v>
      </c>
      <c r="E130" s="54"/>
      <c r="F130" s="54"/>
      <c r="G130" s="54"/>
      <c r="H130" s="54"/>
      <c r="I130" s="56">
        <f t="shared" si="4"/>
        <v>4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125</v>
      </c>
      <c r="B131" s="53">
        <v>301</v>
      </c>
      <c r="C131" s="53">
        <v>11</v>
      </c>
      <c r="D131" s="53">
        <v>33</v>
      </c>
      <c r="E131" s="54"/>
      <c r="F131" s="54"/>
      <c r="G131" s="54"/>
      <c r="H131" s="54"/>
      <c r="I131" s="56">
        <f t="shared" si="4"/>
        <v>3.4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135</v>
      </c>
      <c r="B132" s="53">
        <v>298</v>
      </c>
      <c r="C132" s="53">
        <v>12</v>
      </c>
      <c r="D132" s="53">
        <v>29</v>
      </c>
      <c r="E132" s="54"/>
      <c r="F132" s="54"/>
      <c r="G132" s="54"/>
      <c r="H132" s="54"/>
      <c r="I132" s="56">
        <f t="shared" si="4"/>
        <v>3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>
        <v>150</v>
      </c>
      <c r="B133" s="53">
        <v>306</v>
      </c>
      <c r="C133" s="53">
        <v>13</v>
      </c>
      <c r="D133" s="53">
        <v>306</v>
      </c>
      <c r="E133" s="54"/>
      <c r="F133" s="54"/>
      <c r="G133" s="54"/>
      <c r="H133" s="54"/>
      <c r="I133" s="56">
        <f t="shared" si="4"/>
        <v>2.4666666666666668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Erable champêtre</v>
      </c>
      <c r="D136" s="255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1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88" t="s">
        <v>185</v>
      </c>
      <c r="C138" s="289" t="s">
        <v>186</v>
      </c>
      <c r="D138" s="289"/>
      <c r="E138" s="290" t="s">
        <v>187</v>
      </c>
      <c r="F138" s="291"/>
      <c r="G138" s="291"/>
      <c r="H138" s="292"/>
      <c r="I138" s="100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15</v>
      </c>
      <c r="B140" s="61">
        <f>22.3+15.1</f>
        <v>37.4</v>
      </c>
      <c r="C140" s="61"/>
      <c r="D140" s="61"/>
      <c r="E140" s="54"/>
      <c r="F140" s="54"/>
      <c r="G140" s="54"/>
      <c r="H140" s="54"/>
      <c r="I140" s="59">
        <f>IFERROR(B140/A140,"")</f>
        <v>2.4933333333333332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20</v>
      </c>
      <c r="B141" s="61">
        <f>52+15.1+28</f>
        <v>95.1</v>
      </c>
      <c r="C141" s="61">
        <v>1</v>
      </c>
      <c r="D141" s="61">
        <f>15.1+28</f>
        <v>43.1</v>
      </c>
      <c r="E141" s="54"/>
      <c r="F141" s="54"/>
      <c r="G141" s="54"/>
      <c r="H141" s="54">
        <v>1</v>
      </c>
      <c r="I141" s="59">
        <f t="shared" ref="I141:I159" si="5">IF(A141&lt;&gt;0,(B141-(B140-D140))/(A141-A140),"")</f>
        <v>11.54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25</v>
      </c>
      <c r="B142" s="61">
        <f>86.5+28</f>
        <v>114.5</v>
      </c>
      <c r="C142" s="61"/>
      <c r="D142" s="61"/>
      <c r="E142" s="54"/>
      <c r="F142" s="54"/>
      <c r="G142" s="54"/>
      <c r="H142" s="54"/>
      <c r="I142" s="59">
        <f t="shared" si="5"/>
        <v>12.500000000000002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30</v>
      </c>
      <c r="B143" s="61">
        <f>118.5+28+28</f>
        <v>174.5</v>
      </c>
      <c r="C143" s="61">
        <v>2</v>
      </c>
      <c r="D143" s="61">
        <f>28+28</f>
        <v>56</v>
      </c>
      <c r="E143" s="54"/>
      <c r="F143" s="54"/>
      <c r="G143" s="54"/>
      <c r="H143" s="54">
        <v>1</v>
      </c>
      <c r="I143" s="59">
        <f t="shared" si="5"/>
        <v>12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35</v>
      </c>
      <c r="B144" s="61">
        <f>144.4+28</f>
        <v>172.4</v>
      </c>
      <c r="C144" s="61"/>
      <c r="D144" s="61"/>
      <c r="E144" s="54"/>
      <c r="F144" s="54"/>
      <c r="G144" s="54"/>
      <c r="H144" s="54"/>
      <c r="I144" s="59">
        <f t="shared" si="5"/>
        <v>10.780000000000001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40</v>
      </c>
      <c r="B145" s="61">
        <f>163.6+28+28</f>
        <v>219.6</v>
      </c>
      <c r="C145" s="61">
        <v>3</v>
      </c>
      <c r="D145" s="61">
        <f>28+28</f>
        <v>56</v>
      </c>
      <c r="E145" s="54"/>
      <c r="F145" s="54"/>
      <c r="G145" s="54"/>
      <c r="H145" s="54"/>
      <c r="I145" s="59">
        <f t="shared" si="5"/>
        <v>9.4399999999999977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61">
        <v>45</v>
      </c>
      <c r="B146" s="61">
        <f>182.8+21.8</f>
        <v>204.60000000000002</v>
      </c>
      <c r="C146" s="61"/>
      <c r="D146" s="61"/>
      <c r="E146" s="54"/>
      <c r="F146" s="54"/>
      <c r="G146" s="54"/>
      <c r="H146" s="54"/>
      <c r="I146" s="59">
        <f t="shared" si="5"/>
        <v>8.2000000000000064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61">
        <v>50</v>
      </c>
      <c r="B147" s="61">
        <f>201.9+21.8+16.5</f>
        <v>240.20000000000002</v>
      </c>
      <c r="C147" s="61">
        <v>4</v>
      </c>
      <c r="D147" s="61">
        <f>21.8+16.5</f>
        <v>38.299999999999997</v>
      </c>
      <c r="E147" s="54"/>
      <c r="F147" s="54"/>
      <c r="G147" s="54"/>
      <c r="H147" s="54"/>
      <c r="I147" s="59">
        <f>IF(A147&lt;&gt;0,(B147-(B146-D146))/(A147-A146),"")</f>
        <v>7.1199999999999992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61">
        <v>55</v>
      </c>
      <c r="B148" s="61">
        <f>219.1+13.4</f>
        <v>232.5</v>
      </c>
      <c r="C148" s="61"/>
      <c r="D148" s="61"/>
      <c r="E148" s="54"/>
      <c r="F148" s="54"/>
      <c r="G148" s="54"/>
      <c r="H148" s="54"/>
      <c r="I148" s="59">
        <f t="shared" si="5"/>
        <v>6.119999999999993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61">
        <v>60</v>
      </c>
      <c r="B149" s="61">
        <f>233.1+13.4+11.8</f>
        <v>258.3</v>
      </c>
      <c r="C149" s="61">
        <v>5</v>
      </c>
      <c r="D149" s="61">
        <f>13.4+11.8</f>
        <v>25.200000000000003</v>
      </c>
      <c r="E149" s="54"/>
      <c r="F149" s="54"/>
      <c r="G149" s="54"/>
      <c r="H149" s="54"/>
      <c r="I149" s="59">
        <f t="shared" si="5"/>
        <v>5.1600000000000019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61">
        <v>65</v>
      </c>
      <c r="B150" s="61">
        <f>243.9+10.9</f>
        <v>254.8</v>
      </c>
      <c r="C150" s="61"/>
      <c r="D150" s="61"/>
      <c r="E150" s="54"/>
      <c r="F150" s="54"/>
      <c r="G150" s="54"/>
      <c r="H150" s="54"/>
      <c r="I150" s="59">
        <f t="shared" si="5"/>
        <v>4.3399999999999981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61">
        <v>70</v>
      </c>
      <c r="B151" s="61">
        <f>252.7+10.9+10</f>
        <v>273.59999999999997</v>
      </c>
      <c r="C151" s="61">
        <v>6</v>
      </c>
      <c r="D151" s="61">
        <f>10.9+10</f>
        <v>20.9</v>
      </c>
      <c r="E151" s="54"/>
      <c r="F151" s="54"/>
      <c r="G151" s="54"/>
      <c r="H151" s="54"/>
      <c r="I151" s="59">
        <f t="shared" si="5"/>
        <v>3.7599999999999909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61">
        <v>75</v>
      </c>
      <c r="B152" s="61">
        <f>260.6+9.1</f>
        <v>269.70000000000005</v>
      </c>
      <c r="C152" s="61"/>
      <c r="D152" s="61"/>
      <c r="E152" s="54"/>
      <c r="F152" s="54"/>
      <c r="G152" s="54"/>
      <c r="H152" s="54"/>
      <c r="I152" s="59">
        <f t="shared" si="5"/>
        <v>3.4000000000000172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61">
        <v>80</v>
      </c>
      <c r="B153" s="61">
        <f>267.3+9.1+8.2</f>
        <v>284.60000000000002</v>
      </c>
      <c r="C153" s="61">
        <v>7</v>
      </c>
      <c r="D153" s="61">
        <f>B153</f>
        <v>284.60000000000002</v>
      </c>
      <c r="E153" s="54"/>
      <c r="F153" s="54"/>
      <c r="G153" s="54"/>
      <c r="H153" s="54"/>
      <c r="I153" s="59">
        <f t="shared" si="5"/>
        <v>2.9799999999999955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3"/>
      <c r="B154" s="53"/>
      <c r="C154" s="53"/>
      <c r="D154" s="53"/>
      <c r="E154" s="54"/>
      <c r="F154" s="54"/>
      <c r="G154" s="54"/>
      <c r="H154" s="54"/>
      <c r="I154" s="59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3"/>
      <c r="B155" s="53"/>
      <c r="C155" s="53"/>
      <c r="D155" s="53"/>
      <c r="E155" s="54"/>
      <c r="F155" s="54"/>
      <c r="G155" s="54"/>
      <c r="H155" s="54"/>
      <c r="I155" s="59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3"/>
      <c r="B156" s="53"/>
      <c r="C156" s="53"/>
      <c r="D156" s="53"/>
      <c r="E156" s="54"/>
      <c r="F156" s="54"/>
      <c r="G156" s="54"/>
      <c r="H156" s="54"/>
      <c r="I156" s="59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3"/>
      <c r="B157" s="53"/>
      <c r="C157" s="53"/>
      <c r="D157" s="53"/>
      <c r="E157" s="54"/>
      <c r="F157" s="54"/>
      <c r="G157" s="54"/>
      <c r="H157" s="54"/>
      <c r="I157" s="59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3"/>
      <c r="B158" s="53"/>
      <c r="C158" s="53"/>
      <c r="D158" s="53"/>
      <c r="E158" s="54"/>
      <c r="F158" s="54"/>
      <c r="G158" s="54"/>
      <c r="H158" s="54"/>
      <c r="I158" s="59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3"/>
      <c r="B159" s="53"/>
      <c r="C159" s="53"/>
      <c r="D159" s="53"/>
      <c r="E159" s="54"/>
      <c r="F159" s="54"/>
      <c r="G159" s="54"/>
      <c r="H159" s="54"/>
      <c r="I159" s="59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Merisier</v>
      </c>
      <c r="D162" s="255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1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88" t="s">
        <v>185</v>
      </c>
      <c r="C164" s="289" t="s">
        <v>186</v>
      </c>
      <c r="D164" s="289"/>
      <c r="E164" s="290" t="s">
        <v>187</v>
      </c>
      <c r="F164" s="291"/>
      <c r="G164" s="291"/>
      <c r="H164" s="292"/>
      <c r="I164" s="100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15</v>
      </c>
      <c r="B166" s="61">
        <v>40</v>
      </c>
      <c r="C166" s="53"/>
      <c r="D166" s="61"/>
      <c r="E166" s="64"/>
      <c r="F166" s="64"/>
      <c r="G166" s="64"/>
      <c r="H166" s="64"/>
      <c r="I166" s="52">
        <f>IFERROR(B166/A166,"")</f>
        <v>2.6666666666666665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20</v>
      </c>
      <c r="B167" s="61">
        <f>85+3</f>
        <v>88</v>
      </c>
      <c r="C167" s="53"/>
      <c r="D167" s="61"/>
      <c r="E167" s="64"/>
      <c r="F167" s="64"/>
      <c r="G167" s="64"/>
      <c r="H167" s="64"/>
      <c r="I167" s="52">
        <f t="shared" ref="I167:I185" si="6">IF(A167&lt;&gt;0,(B167-(B166-D166))/(A167-A166),"")</f>
        <v>9.6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25</v>
      </c>
      <c r="B168" s="61">
        <f>113+3+25</f>
        <v>141</v>
      </c>
      <c r="C168" s="53">
        <v>1</v>
      </c>
      <c r="D168" s="61">
        <f>3+25+27</f>
        <v>55</v>
      </c>
      <c r="E168" s="64"/>
      <c r="F168" s="64"/>
      <c r="G168" s="64"/>
      <c r="H168" s="64">
        <v>1</v>
      </c>
      <c r="I168" s="52">
        <f t="shared" si="6"/>
        <v>10.6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8">
        <v>31</v>
      </c>
      <c r="B169" s="58">
        <v>155</v>
      </c>
      <c r="C169" s="58">
        <v>2</v>
      </c>
      <c r="D169" s="58">
        <v>36</v>
      </c>
      <c r="E169" s="64"/>
      <c r="F169" s="64"/>
      <c r="G169" s="64"/>
      <c r="H169" s="64"/>
      <c r="I169" s="52">
        <f t="shared" si="6"/>
        <v>11.5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8">
        <v>37</v>
      </c>
      <c r="B170" s="58">
        <v>188</v>
      </c>
      <c r="C170" s="58">
        <v>3</v>
      </c>
      <c r="D170" s="58">
        <v>36</v>
      </c>
      <c r="E170" s="64"/>
      <c r="F170" s="64"/>
      <c r="G170" s="64"/>
      <c r="H170" s="64"/>
      <c r="I170" s="52">
        <f t="shared" si="6"/>
        <v>11.5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8">
        <v>44</v>
      </c>
      <c r="B171" s="58">
        <v>230</v>
      </c>
      <c r="C171" s="58">
        <v>4</v>
      </c>
      <c r="D171" s="58">
        <v>43</v>
      </c>
      <c r="E171" s="64"/>
      <c r="F171" s="64"/>
      <c r="G171" s="64"/>
      <c r="H171" s="64"/>
      <c r="I171" s="52">
        <f t="shared" si="6"/>
        <v>11.142857142857142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8">
        <v>52</v>
      </c>
      <c r="B172" s="58">
        <v>270</v>
      </c>
      <c r="C172" s="58">
        <v>5</v>
      </c>
      <c r="D172" s="58">
        <v>48</v>
      </c>
      <c r="E172" s="64"/>
      <c r="F172" s="64"/>
      <c r="G172" s="64"/>
      <c r="H172" s="64"/>
      <c r="I172" s="52">
        <f t="shared" si="6"/>
        <v>10.375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8">
        <v>60</v>
      </c>
      <c r="B173" s="58">
        <v>297</v>
      </c>
      <c r="C173" s="58">
        <v>6</v>
      </c>
      <c r="D173" s="58">
        <v>47</v>
      </c>
      <c r="E173" s="64"/>
      <c r="F173" s="64"/>
      <c r="G173" s="64"/>
      <c r="H173" s="64"/>
      <c r="I173" s="52">
        <f t="shared" si="6"/>
        <v>9.375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8">
        <v>69</v>
      </c>
      <c r="B174" s="58">
        <v>328</v>
      </c>
      <c r="C174" s="58">
        <v>7</v>
      </c>
      <c r="D174" s="58">
        <v>328</v>
      </c>
      <c r="E174" s="64"/>
      <c r="F174" s="64"/>
      <c r="G174" s="64"/>
      <c r="H174" s="64"/>
      <c r="I174" s="52">
        <f t="shared" si="6"/>
        <v>8.6666666666666661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Alisier torminal</v>
      </c>
      <c r="D188" s="255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1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88" t="s">
        <v>185</v>
      </c>
      <c r="C190" s="289" t="s">
        <v>186</v>
      </c>
      <c r="D190" s="289"/>
      <c r="E190" s="290" t="s">
        <v>187</v>
      </c>
      <c r="F190" s="291"/>
      <c r="G190" s="291"/>
      <c r="H190" s="292"/>
      <c r="I190" s="100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20</v>
      </c>
      <c r="B192" s="61">
        <v>42</v>
      </c>
      <c r="C192" s="61"/>
      <c r="D192" s="61"/>
      <c r="E192" s="54"/>
      <c r="F192" s="54"/>
      <c r="G192" s="54"/>
      <c r="H192" s="54"/>
      <c r="I192" s="52">
        <f>IFERROR(B192/A192,"")</f>
        <v>2.1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25</v>
      </c>
      <c r="B193" s="61">
        <f>62+8</f>
        <v>70</v>
      </c>
      <c r="C193" s="61">
        <v>1</v>
      </c>
      <c r="D193" s="61">
        <v>8</v>
      </c>
      <c r="E193" s="54"/>
      <c r="F193" s="54"/>
      <c r="G193" s="54"/>
      <c r="H193" s="54">
        <v>1</v>
      </c>
      <c r="I193" s="52">
        <f t="shared" ref="I193:I211" si="7">IF(A193&lt;&gt;0,(B193-(B192-D192))/(A193-A192),"")</f>
        <v>5.6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30</v>
      </c>
      <c r="B194" s="61">
        <f>76+21</f>
        <v>97</v>
      </c>
      <c r="C194" s="61"/>
      <c r="D194" s="61"/>
      <c r="E194" s="54"/>
      <c r="F194" s="54"/>
      <c r="G194" s="54"/>
      <c r="H194" s="54"/>
      <c r="I194" s="52">
        <f t="shared" si="7"/>
        <v>7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>
        <v>35</v>
      </c>
      <c r="B195" s="61">
        <f>95+21+21</f>
        <v>137</v>
      </c>
      <c r="C195" s="61">
        <v>2</v>
      </c>
      <c r="D195" s="61">
        <f>21+21</f>
        <v>42</v>
      </c>
      <c r="E195" s="54"/>
      <c r="F195" s="54"/>
      <c r="G195" s="54"/>
      <c r="H195" s="54"/>
      <c r="I195" s="52">
        <f t="shared" si="7"/>
        <v>8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>
        <v>40</v>
      </c>
      <c r="B196" s="61">
        <f>116+21</f>
        <v>137</v>
      </c>
      <c r="C196" s="61"/>
      <c r="D196" s="61"/>
      <c r="E196" s="54"/>
      <c r="F196" s="54"/>
      <c r="G196" s="54"/>
      <c r="H196" s="54"/>
      <c r="I196" s="52">
        <f t="shared" si="7"/>
        <v>8.4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>
        <v>45</v>
      </c>
      <c r="B197" s="61">
        <f>137+21+21</f>
        <v>179</v>
      </c>
      <c r="C197" s="61">
        <v>3</v>
      </c>
      <c r="D197" s="61">
        <f>21+21</f>
        <v>42</v>
      </c>
      <c r="E197" s="54"/>
      <c r="F197" s="54"/>
      <c r="G197" s="54"/>
      <c r="H197" s="54"/>
      <c r="I197" s="52">
        <f t="shared" si="7"/>
        <v>8.4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>
        <v>50</v>
      </c>
      <c r="B198" s="61">
        <f>157+21</f>
        <v>178</v>
      </c>
      <c r="C198" s="61"/>
      <c r="D198" s="61"/>
      <c r="E198" s="54"/>
      <c r="F198" s="54"/>
      <c r="G198" s="54"/>
      <c r="H198" s="54"/>
      <c r="I198" s="52">
        <f t="shared" si="7"/>
        <v>8.1999999999999993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>
        <v>55</v>
      </c>
      <c r="B199" s="61">
        <f>176+21+21</f>
        <v>218</v>
      </c>
      <c r="C199" s="61">
        <v>4</v>
      </c>
      <c r="D199" s="61">
        <f>21+21</f>
        <v>42</v>
      </c>
      <c r="E199" s="54"/>
      <c r="F199" s="54"/>
      <c r="G199" s="54"/>
      <c r="H199" s="54"/>
      <c r="I199" s="52">
        <f t="shared" si="7"/>
        <v>8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>
        <v>60</v>
      </c>
      <c r="B200" s="53">
        <v>214</v>
      </c>
      <c r="C200" s="53"/>
      <c r="D200" s="53"/>
      <c r="E200" s="54"/>
      <c r="F200" s="54"/>
      <c r="G200" s="54"/>
      <c r="H200" s="54"/>
      <c r="I200" s="52">
        <f t="shared" si="7"/>
        <v>7.6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>
        <v>65</v>
      </c>
      <c r="B201" s="53">
        <v>250</v>
      </c>
      <c r="C201" s="53">
        <v>5</v>
      </c>
      <c r="D201" s="53">
        <v>42</v>
      </c>
      <c r="E201" s="54"/>
      <c r="F201" s="54"/>
      <c r="G201" s="54"/>
      <c r="H201" s="54"/>
      <c r="I201" s="52">
        <f t="shared" si="7"/>
        <v>7.2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>
        <v>70</v>
      </c>
      <c r="B202" s="53">
        <v>242</v>
      </c>
      <c r="C202" s="53"/>
      <c r="D202" s="53"/>
      <c r="E202" s="54"/>
      <c r="F202" s="54"/>
      <c r="G202" s="54"/>
      <c r="H202" s="54"/>
      <c r="I202" s="52">
        <f t="shared" si="7"/>
        <v>6.8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>
        <v>75</v>
      </c>
      <c r="B203" s="53">
        <v>273</v>
      </c>
      <c r="C203" s="53">
        <v>6</v>
      </c>
      <c r="D203" s="53">
        <v>42</v>
      </c>
      <c r="E203" s="54"/>
      <c r="F203" s="54"/>
      <c r="G203" s="54"/>
      <c r="H203" s="54"/>
      <c r="I203" s="52">
        <f t="shared" si="7"/>
        <v>6.2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>
        <v>80</v>
      </c>
      <c r="B204" s="53">
        <v>261</v>
      </c>
      <c r="C204" s="53"/>
      <c r="D204" s="53"/>
      <c r="E204" s="54"/>
      <c r="F204" s="54"/>
      <c r="G204" s="54"/>
      <c r="H204" s="54"/>
      <c r="I204" s="52">
        <f t="shared" si="7"/>
        <v>6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>
        <v>85</v>
      </c>
      <c r="B205" s="53">
        <v>290</v>
      </c>
      <c r="C205" s="53">
        <v>7</v>
      </c>
      <c r="D205" s="53">
        <v>42</v>
      </c>
      <c r="E205" s="54"/>
      <c r="F205" s="54"/>
      <c r="G205" s="54"/>
      <c r="H205" s="54"/>
      <c r="I205" s="52">
        <f t="shared" si="7"/>
        <v>5.8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>
        <v>95</v>
      </c>
      <c r="B206" s="53">
        <v>300</v>
      </c>
      <c r="C206" s="53">
        <v>8</v>
      </c>
      <c r="D206" s="53">
        <v>42</v>
      </c>
      <c r="E206" s="54"/>
      <c r="F206" s="54"/>
      <c r="G206" s="54"/>
      <c r="H206" s="54"/>
      <c r="I206" s="52">
        <f t="shared" si="7"/>
        <v>5.2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>
        <v>105</v>
      </c>
      <c r="B207" s="53">
        <v>305</v>
      </c>
      <c r="C207" s="53">
        <v>9</v>
      </c>
      <c r="D207" s="53">
        <v>41</v>
      </c>
      <c r="E207" s="54"/>
      <c r="F207" s="54"/>
      <c r="G207" s="54"/>
      <c r="H207" s="54"/>
      <c r="I207" s="52">
        <f t="shared" si="7"/>
        <v>4.7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>
        <v>115</v>
      </c>
      <c r="B208" s="53">
        <v>304</v>
      </c>
      <c r="C208" s="53">
        <v>10</v>
      </c>
      <c r="D208" s="53">
        <v>37</v>
      </c>
      <c r="E208" s="54"/>
      <c r="F208" s="54"/>
      <c r="G208" s="54"/>
      <c r="H208" s="54"/>
      <c r="I208" s="52">
        <f t="shared" si="7"/>
        <v>4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>
        <v>125</v>
      </c>
      <c r="B209" s="53">
        <v>301</v>
      </c>
      <c r="C209" s="53">
        <v>11</v>
      </c>
      <c r="D209" s="53">
        <v>33</v>
      </c>
      <c r="E209" s="54"/>
      <c r="F209" s="54"/>
      <c r="G209" s="54"/>
      <c r="H209" s="54"/>
      <c r="I209" s="52">
        <f t="shared" si="7"/>
        <v>3.4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>
        <v>135</v>
      </c>
      <c r="B210" s="53">
        <v>298</v>
      </c>
      <c r="C210" s="53">
        <v>12</v>
      </c>
      <c r="D210" s="53">
        <v>29</v>
      </c>
      <c r="E210" s="54"/>
      <c r="F210" s="54"/>
      <c r="G210" s="54"/>
      <c r="H210" s="54"/>
      <c r="I210" s="52">
        <f t="shared" si="7"/>
        <v>3</v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>
        <v>150</v>
      </c>
      <c r="B211" s="53">
        <v>306</v>
      </c>
      <c r="C211" s="53">
        <v>13</v>
      </c>
      <c r="D211" s="53">
        <v>306</v>
      </c>
      <c r="E211" s="54"/>
      <c r="F211" s="54"/>
      <c r="G211" s="54"/>
      <c r="H211" s="54"/>
      <c r="I211" s="52">
        <f t="shared" si="7"/>
        <v>2.4666666666666668</v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5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1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88" t="s">
        <v>185</v>
      </c>
      <c r="C216" s="289" t="s">
        <v>186</v>
      </c>
      <c r="D216" s="289"/>
      <c r="E216" s="290" t="s">
        <v>187</v>
      </c>
      <c r="F216" s="291"/>
      <c r="G216" s="291"/>
      <c r="H216" s="292"/>
      <c r="I216" s="100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1"/>
      <c r="C218" s="61"/>
      <c r="D218" s="61"/>
      <c r="E218" s="54"/>
      <c r="F218" s="54"/>
      <c r="G218" s="54"/>
      <c r="H218" s="54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1"/>
      <c r="C219" s="61"/>
      <c r="D219" s="61"/>
      <c r="E219" s="54"/>
      <c r="F219" s="54"/>
      <c r="G219" s="54"/>
      <c r="H219" s="54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1"/>
      <c r="C220" s="61"/>
      <c r="D220" s="61"/>
      <c r="E220" s="54"/>
      <c r="F220" s="54"/>
      <c r="G220" s="54"/>
      <c r="H220" s="54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3"/>
      <c r="B221" s="61"/>
      <c r="C221" s="61"/>
      <c r="D221" s="61"/>
      <c r="E221" s="54"/>
      <c r="F221" s="54"/>
      <c r="G221" s="54"/>
      <c r="H221" s="54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3"/>
      <c r="B222" s="61"/>
      <c r="C222" s="61"/>
      <c r="D222" s="61"/>
      <c r="E222" s="54"/>
      <c r="F222" s="54"/>
      <c r="G222" s="54"/>
      <c r="H222" s="54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3"/>
      <c r="B223" s="61"/>
      <c r="C223" s="61"/>
      <c r="D223" s="61"/>
      <c r="E223" s="54"/>
      <c r="F223" s="54"/>
      <c r="G223" s="54"/>
      <c r="H223" s="54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61"/>
      <c r="B224" s="61"/>
      <c r="C224" s="61"/>
      <c r="D224" s="61"/>
      <c r="E224" s="54"/>
      <c r="F224" s="54"/>
      <c r="G224" s="54"/>
      <c r="H224" s="54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61"/>
      <c r="B225" s="61"/>
      <c r="C225" s="61"/>
      <c r="D225" s="61"/>
      <c r="E225" s="54"/>
      <c r="F225" s="54"/>
      <c r="G225" s="54"/>
      <c r="H225" s="54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61"/>
      <c r="B226" s="61"/>
      <c r="C226" s="61"/>
      <c r="D226" s="61"/>
      <c r="E226" s="54"/>
      <c r="F226" s="54"/>
      <c r="G226" s="54"/>
      <c r="H226" s="54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61"/>
      <c r="B227" s="61"/>
      <c r="C227" s="61"/>
      <c r="D227" s="61"/>
      <c r="E227" s="54"/>
      <c r="F227" s="54"/>
      <c r="G227" s="54"/>
      <c r="H227" s="54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61"/>
      <c r="B228" s="61"/>
      <c r="C228" s="61"/>
      <c r="D228" s="61"/>
      <c r="E228" s="54"/>
      <c r="F228" s="54"/>
      <c r="G228" s="54"/>
      <c r="H228" s="54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61"/>
      <c r="B229" s="61"/>
      <c r="C229" s="61"/>
      <c r="D229" s="61"/>
      <c r="E229" s="54"/>
      <c r="F229" s="54"/>
      <c r="G229" s="54"/>
      <c r="H229" s="54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61"/>
      <c r="B230" s="61"/>
      <c r="C230" s="61"/>
      <c r="D230" s="61"/>
      <c r="E230" s="54"/>
      <c r="F230" s="54"/>
      <c r="G230" s="54"/>
      <c r="H230" s="54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61"/>
      <c r="B231" s="61"/>
      <c r="C231" s="61"/>
      <c r="D231" s="61"/>
      <c r="E231" s="54"/>
      <c r="F231" s="54"/>
      <c r="G231" s="54"/>
      <c r="H231" s="54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5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1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88" t="s">
        <v>185</v>
      </c>
      <c r="C242" s="289" t="s">
        <v>186</v>
      </c>
      <c r="D242" s="289"/>
      <c r="E242" s="290" t="s">
        <v>187</v>
      </c>
      <c r="F242" s="291"/>
      <c r="G242" s="291"/>
      <c r="H242" s="292"/>
      <c r="I242" s="100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1"/>
      <c r="C244" s="61"/>
      <c r="D244" s="61"/>
      <c r="E244" s="54"/>
      <c r="F244" s="54"/>
      <c r="G244" s="54"/>
      <c r="H244" s="54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1"/>
      <c r="C245" s="61"/>
      <c r="D245" s="61"/>
      <c r="E245" s="54"/>
      <c r="F245" s="54"/>
      <c r="G245" s="54"/>
      <c r="H245" s="54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1"/>
      <c r="C246" s="61"/>
      <c r="D246" s="61"/>
      <c r="E246" s="54"/>
      <c r="F246" s="54"/>
      <c r="G246" s="54"/>
      <c r="H246" s="54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1"/>
      <c r="C247" s="61"/>
      <c r="D247" s="61"/>
      <c r="E247" s="54"/>
      <c r="F247" s="54"/>
      <c r="G247" s="54"/>
      <c r="H247" s="54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1"/>
      <c r="C248" s="61"/>
      <c r="D248" s="61"/>
      <c r="E248" s="54"/>
      <c r="F248" s="54"/>
      <c r="G248" s="54"/>
      <c r="H248" s="54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1"/>
      <c r="C249" s="61"/>
      <c r="D249" s="61"/>
      <c r="E249" s="54"/>
      <c r="F249" s="54"/>
      <c r="G249" s="54"/>
      <c r="H249" s="54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1"/>
      <c r="C250" s="61"/>
      <c r="D250" s="61"/>
      <c r="E250" s="54"/>
      <c r="F250" s="54"/>
      <c r="G250" s="54"/>
      <c r="H250" s="54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3"/>
      <c r="B251" s="61"/>
      <c r="C251" s="61"/>
      <c r="D251" s="61"/>
      <c r="E251" s="54"/>
      <c r="F251" s="54"/>
      <c r="G251" s="54"/>
      <c r="H251" s="54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3"/>
      <c r="B252" s="53"/>
      <c r="C252" s="53"/>
      <c r="D252" s="53"/>
      <c r="E252" s="54"/>
      <c r="F252" s="54"/>
      <c r="G252" s="54"/>
      <c r="H252" s="54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3"/>
      <c r="B253" s="53"/>
      <c r="C253" s="53"/>
      <c r="D253" s="53"/>
      <c r="E253" s="54"/>
      <c r="F253" s="54"/>
      <c r="G253" s="54"/>
      <c r="H253" s="54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3"/>
      <c r="B254" s="53"/>
      <c r="C254" s="53"/>
      <c r="D254" s="53"/>
      <c r="E254" s="54"/>
      <c r="F254" s="54"/>
      <c r="G254" s="54"/>
      <c r="H254" s="54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3"/>
      <c r="B255" s="53"/>
      <c r="C255" s="53"/>
      <c r="D255" s="53"/>
      <c r="E255" s="54"/>
      <c r="F255" s="54"/>
      <c r="G255" s="54"/>
      <c r="H255" s="54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3"/>
      <c r="B256" s="53"/>
      <c r="C256" s="53"/>
      <c r="D256" s="53"/>
      <c r="E256" s="54"/>
      <c r="F256" s="54"/>
      <c r="G256" s="54"/>
      <c r="H256" s="54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53"/>
      <c r="B257" s="53"/>
      <c r="C257" s="53"/>
      <c r="D257" s="53"/>
      <c r="E257" s="54"/>
      <c r="F257" s="54"/>
      <c r="G257" s="54"/>
      <c r="H257" s="54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4"/>
      <c r="F258" s="54"/>
      <c r="G258" s="54"/>
      <c r="H258" s="54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4"/>
      <c r="F259" s="54"/>
      <c r="G259" s="54"/>
      <c r="H259" s="54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4"/>
      <c r="F260" s="54"/>
      <c r="G260" s="54"/>
      <c r="H260" s="54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4"/>
      <c r="F261" s="54"/>
      <c r="G261" s="54"/>
      <c r="H261" s="54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4"/>
      <c r="F262" s="54"/>
      <c r="G262" s="54"/>
      <c r="H262" s="54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4"/>
      <c r="F263" s="54"/>
      <c r="G263" s="54"/>
      <c r="H263" s="54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5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1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88" t="s">
        <v>185</v>
      </c>
      <c r="C268" s="289" t="s">
        <v>186</v>
      </c>
      <c r="D268" s="289"/>
      <c r="E268" s="290" t="s">
        <v>187</v>
      </c>
      <c r="F268" s="291"/>
      <c r="G268" s="291"/>
      <c r="H268" s="292"/>
      <c r="I268" s="100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1"/>
      <c r="C270" s="53"/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1"/>
      <c r="C271" s="53"/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1"/>
      <c r="C272" s="53"/>
      <c r="D272" s="61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1"/>
      <c r="C273" s="53"/>
      <c r="D273" s="61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1"/>
      <c r="C274" s="53"/>
      <c r="D274" s="61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1"/>
      <c r="C275" s="53"/>
      <c r="D275" s="61"/>
      <c r="E275" s="64"/>
      <c r="F275" s="64"/>
      <c r="G275" s="64"/>
      <c r="H275" s="64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1"/>
      <c r="C276" s="53"/>
      <c r="D276" s="61"/>
      <c r="E276" s="64"/>
      <c r="F276" s="64"/>
      <c r="G276" s="64"/>
      <c r="H276" s="64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4"/>
      <c r="F277" s="64"/>
      <c r="G277" s="64"/>
      <c r="H277" s="64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4"/>
      <c r="F278" s="64"/>
      <c r="G278" s="64"/>
      <c r="H278" s="64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4"/>
      <c r="F279" s="64"/>
      <c r="G279" s="64"/>
      <c r="H279" s="6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4"/>
      <c r="F280" s="64"/>
      <c r="G280" s="64"/>
      <c r="H280" s="6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4"/>
      <c r="F281" s="64"/>
      <c r="G281" s="64"/>
      <c r="H281" s="6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5"/>
      <c r="F282" s="65"/>
      <c r="G282" s="65"/>
      <c r="H282" s="65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0"/>
      <c r="B283" s="61"/>
      <c r="C283" s="90"/>
      <c r="D283" s="61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C16" sqref="C16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2"/>
      <c r="K1" s="102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3" t="s">
        <v>191</v>
      </c>
      <c r="C2" s="304"/>
      <c r="D2" s="304"/>
      <c r="E2" s="304"/>
      <c r="F2" s="304"/>
      <c r="G2" s="305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2"/>
      <c r="C4" s="302"/>
      <c r="D4" s="302"/>
      <c r="E4" s="302"/>
      <c r="F4" s="302"/>
      <c r="G4" s="302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3" t="s">
        <v>296</v>
      </c>
      <c r="C5" s="103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3"/>
      <c r="C6" s="233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4"/>
      <c r="B7" s="29" t="s">
        <v>295</v>
      </c>
      <c r="C7" s="105" t="s">
        <v>214</v>
      </c>
      <c r="D7" s="231"/>
      <c r="E7" s="106"/>
      <c r="F7" s="29" t="s">
        <v>295</v>
      </c>
      <c r="G7" s="105" t="s">
        <v>215</v>
      </c>
      <c r="H7" s="232"/>
      <c r="I7" s="232"/>
      <c r="J7" s="232"/>
      <c r="K7" s="232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</row>
    <row r="8" spans="1:38" ht="17.25" customHeight="1" x14ac:dyDescent="0.25">
      <c r="A8" s="110">
        <v>1</v>
      </c>
      <c r="B8" s="62">
        <v>1</v>
      </c>
      <c r="C8" s="52" t="s">
        <v>177</v>
      </c>
      <c r="D8" s="25"/>
      <c r="E8" s="110">
        <v>4</v>
      </c>
      <c r="F8" s="62">
        <v>0</v>
      </c>
      <c r="G8" s="107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0">
        <v>2</v>
      </c>
      <c r="B9" s="62">
        <v>0</v>
      </c>
      <c r="C9" s="113" t="s">
        <v>216</v>
      </c>
      <c r="D9" s="25"/>
      <c r="E9" s="110">
        <v>5</v>
      </c>
      <c r="F9" s="62">
        <v>0</v>
      </c>
      <c r="G9" s="108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0">
        <v>3</v>
      </c>
      <c r="B10" s="62">
        <v>0</v>
      </c>
      <c r="C10" s="114" t="s">
        <v>217</v>
      </c>
      <c r="D10" s="25"/>
      <c r="E10" s="5"/>
      <c r="F10" s="111">
        <f>SUM(F7:F9)</f>
        <v>0</v>
      </c>
      <c r="G10" s="109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1">
        <v>0</v>
      </c>
      <c r="C11" s="109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2"/>
      <c r="B13" s="112"/>
      <c r="C13" s="103" t="s">
        <v>273</v>
      </c>
      <c r="D13" s="232"/>
      <c r="E13" s="104"/>
      <c r="F13" s="112"/>
      <c r="G13" s="103" t="s">
        <v>301</v>
      </c>
      <c r="H13" s="232"/>
      <c r="I13" s="232"/>
      <c r="J13" s="232"/>
      <c r="K13" s="232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</row>
    <row r="14" spans="1:38" s="4" customFormat="1" ht="21" customHeight="1" x14ac:dyDescent="0.25">
      <c r="A14" s="232"/>
      <c r="B14" s="112"/>
      <c r="C14" s="103" t="s">
        <v>309</v>
      </c>
      <c r="D14" s="232"/>
      <c r="E14" s="104"/>
      <c r="F14" s="112"/>
      <c r="G14" s="103" t="s">
        <v>294</v>
      </c>
      <c r="H14" s="232"/>
      <c r="I14" s="232"/>
      <c r="J14" s="232"/>
      <c r="K14" s="232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2">
        <v>0.65500000000000003</v>
      </c>
      <c r="C16" s="115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2">
        <v>0.34499999999999997</v>
      </c>
      <c r="C17" s="115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2">
        <v>0</v>
      </c>
      <c r="C18" s="115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1">
        <f>SUM(B16:B18)</f>
        <v>1</v>
      </c>
      <c r="C19" s="109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5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68" bestFit="1" customWidth="1"/>
    <col min="2" max="4" width="11.42578125" style="68"/>
    <col min="5" max="5" width="9.5703125" style="68" customWidth="1"/>
    <col min="6" max="7" width="11.42578125" style="68"/>
    <col min="8" max="8" width="10.7109375" style="68" customWidth="1"/>
    <col min="9" max="9" width="9.42578125" style="68" customWidth="1"/>
    <col min="10" max="11" width="10.5703125" style="68" bestFit="1" customWidth="1"/>
    <col min="12" max="12" width="14" style="68" bestFit="1" customWidth="1"/>
    <col min="13" max="13" width="14" style="68" customWidth="1"/>
    <col min="14" max="23" width="11.42578125" style="68"/>
    <col min="24" max="24" width="11.7109375" style="68" bestFit="1" customWidth="1"/>
    <col min="25" max="25" width="14.5703125" style="68" bestFit="1" customWidth="1"/>
    <col min="26" max="26" width="12.42578125" style="68" bestFit="1" customWidth="1"/>
    <col min="27" max="27" width="9.7109375" style="68" bestFit="1" customWidth="1"/>
    <col min="28" max="28" width="11" style="68" bestFit="1" customWidth="1"/>
    <col min="29" max="29" width="9.42578125" style="68" bestFit="1" customWidth="1"/>
    <col min="30" max="31" width="9.42578125" style="68" customWidth="1"/>
    <col min="32" max="32" width="11.42578125" style="68"/>
    <col min="33" max="34" width="14" style="68" bestFit="1" customWidth="1"/>
    <col min="35" max="35" width="10.5703125" style="68" bestFit="1" customWidth="1"/>
    <col min="36" max="36" width="9.42578125" style="68" bestFit="1" customWidth="1"/>
    <col min="37" max="38" width="10.5703125" style="68" bestFit="1" customWidth="1"/>
    <col min="39" max="41" width="10.5703125" style="68" customWidth="1"/>
    <col min="42" max="42" width="9" style="68" bestFit="1" customWidth="1"/>
    <col min="43" max="43" width="10.5703125" style="68" bestFit="1" customWidth="1"/>
    <col min="44" max="44" width="9.28515625" style="68" bestFit="1" customWidth="1"/>
    <col min="45" max="45" width="11.7109375" style="68" bestFit="1" customWidth="1"/>
    <col min="46" max="46" width="8.42578125" style="68" bestFit="1" customWidth="1"/>
    <col min="47" max="47" width="9.42578125" style="68" bestFit="1" customWidth="1"/>
    <col min="48" max="48" width="9.7109375" style="68" bestFit="1" customWidth="1"/>
    <col min="49" max="49" width="11" style="68" bestFit="1" customWidth="1"/>
    <col min="50" max="50" width="9.42578125" style="68" bestFit="1" customWidth="1"/>
    <col min="51" max="52" width="9.42578125" style="68" customWidth="1"/>
    <col min="53" max="53" width="10.5703125" style="68" bestFit="1" customWidth="1"/>
    <col min="54" max="54" width="14.28515625" style="68" customWidth="1"/>
    <col min="55" max="55" width="14" style="68" customWidth="1"/>
    <col min="56" max="56" width="10.5703125" style="68" bestFit="1" customWidth="1"/>
    <col min="57" max="57" width="9.42578125" style="68" bestFit="1" customWidth="1"/>
    <col min="58" max="59" width="10.5703125" style="68" bestFit="1" customWidth="1"/>
    <col min="60" max="62" width="10.5703125" style="68" customWidth="1"/>
    <col min="63" max="63" width="9" style="68" bestFit="1" customWidth="1"/>
    <col min="64" max="64" width="10.5703125" style="68" bestFit="1" customWidth="1"/>
    <col min="65" max="65" width="9.28515625" style="68" bestFit="1" customWidth="1"/>
    <col min="66" max="66" width="11.7109375" style="68" bestFit="1" customWidth="1"/>
    <col min="67" max="67" width="8.42578125" style="68" bestFit="1" customWidth="1"/>
    <col min="68" max="68" width="9.42578125" style="68" bestFit="1" customWidth="1"/>
    <col min="69" max="69" width="9.7109375" style="68" bestFit="1" customWidth="1"/>
    <col min="70" max="70" width="11" style="68" bestFit="1" customWidth="1"/>
    <col min="71" max="71" width="9.42578125" style="68" bestFit="1" customWidth="1"/>
    <col min="72" max="73" width="9.42578125" style="68" customWidth="1"/>
    <col min="74" max="74" width="10.5703125" style="68" bestFit="1" customWidth="1"/>
    <col min="75" max="75" width="14" style="68" bestFit="1" customWidth="1"/>
    <col min="76" max="76" width="13.85546875" style="68" customWidth="1"/>
    <col min="77" max="77" width="10.5703125" style="68" bestFit="1" customWidth="1"/>
    <col min="78" max="78" width="9.42578125" style="68" bestFit="1" customWidth="1"/>
    <col min="79" max="80" width="10.5703125" style="68" bestFit="1" customWidth="1"/>
    <col min="81" max="83" width="10.5703125" style="68" customWidth="1"/>
    <col min="84" max="84" width="11.42578125" style="68"/>
    <col min="85" max="85" width="10.5703125" style="68" bestFit="1" customWidth="1"/>
    <col min="86" max="86" width="9.28515625" style="68" bestFit="1" customWidth="1"/>
    <col min="87" max="87" width="11.7109375" style="68" bestFit="1" customWidth="1"/>
    <col min="88" max="88" width="8.42578125" style="68" bestFit="1" customWidth="1"/>
    <col min="89" max="89" width="9.42578125" style="68" bestFit="1" customWidth="1"/>
    <col min="90" max="90" width="9.7109375" style="68" bestFit="1" customWidth="1"/>
    <col min="91" max="91" width="11" style="68" bestFit="1" customWidth="1"/>
    <col min="92" max="92" width="9.42578125" style="68" bestFit="1" customWidth="1"/>
    <col min="93" max="94" width="9.42578125" style="68" customWidth="1"/>
    <col min="95" max="95" width="11.42578125" style="68"/>
    <col min="96" max="97" width="14" style="68" customWidth="1"/>
    <col min="98" max="98" width="10.5703125" style="68" bestFit="1" customWidth="1"/>
    <col min="99" max="99" width="9.42578125" style="68" bestFit="1" customWidth="1"/>
    <col min="100" max="101" width="10.5703125" style="68" bestFit="1" customWidth="1"/>
    <col min="102" max="104" width="10.5703125" style="68" customWidth="1"/>
    <col min="105" max="105" width="9" style="68" bestFit="1" customWidth="1"/>
    <col min="106" max="106" width="10.5703125" style="68" bestFit="1" customWidth="1"/>
    <col min="107" max="107" width="9.28515625" style="68" bestFit="1" customWidth="1"/>
    <col min="108" max="108" width="11.7109375" style="68" bestFit="1" customWidth="1"/>
    <col min="109" max="109" width="8.42578125" style="68" bestFit="1" customWidth="1"/>
    <col min="110" max="110" width="9.42578125" style="68" bestFit="1" customWidth="1"/>
    <col min="111" max="111" width="9.7109375" style="68" bestFit="1" customWidth="1"/>
    <col min="112" max="112" width="11" style="68" bestFit="1" customWidth="1"/>
    <col min="113" max="113" width="9.42578125" style="68" bestFit="1" customWidth="1"/>
    <col min="114" max="115" width="9.42578125" style="68" customWidth="1"/>
    <col min="116" max="116" width="10.5703125" style="68" bestFit="1" customWidth="1"/>
    <col min="117" max="117" width="14.28515625" style="68" customWidth="1"/>
    <col min="118" max="118" width="14" style="68" bestFit="1" customWidth="1"/>
    <col min="119" max="119" width="10.5703125" style="68" bestFit="1" customWidth="1"/>
    <col min="120" max="120" width="9.42578125" style="68" bestFit="1" customWidth="1"/>
    <col min="121" max="122" width="10.5703125" style="68" bestFit="1" customWidth="1"/>
    <col min="123" max="125" width="10.5703125" style="68" customWidth="1"/>
    <col min="126" max="126" width="9" style="68" bestFit="1" customWidth="1"/>
    <col min="127" max="127" width="10.5703125" style="68" bestFit="1" customWidth="1"/>
    <col min="128" max="128" width="9.28515625" style="68" bestFit="1" customWidth="1"/>
    <col min="129" max="129" width="11.7109375" style="68" bestFit="1" customWidth="1"/>
    <col min="130" max="130" width="8.42578125" style="68" bestFit="1" customWidth="1"/>
    <col min="131" max="131" width="9.42578125" style="68" bestFit="1" customWidth="1"/>
    <col min="132" max="132" width="9.7109375" style="68" bestFit="1" customWidth="1"/>
    <col min="133" max="133" width="11" style="68" bestFit="1" customWidth="1"/>
    <col min="134" max="134" width="9.42578125" style="68" bestFit="1" customWidth="1"/>
    <col min="135" max="136" width="9.42578125" style="68" customWidth="1"/>
    <col min="137" max="137" width="10.5703125" style="68" bestFit="1" customWidth="1"/>
    <col min="138" max="139" width="14" style="68" customWidth="1"/>
    <col min="140" max="140" width="10.5703125" style="68" bestFit="1" customWidth="1"/>
    <col min="141" max="141" width="9.42578125" style="68" bestFit="1" customWidth="1"/>
    <col min="142" max="143" width="10.5703125" style="68" bestFit="1" customWidth="1"/>
    <col min="144" max="146" width="10.5703125" style="68" customWidth="1"/>
    <col min="147" max="147" width="9" style="68" bestFit="1" customWidth="1"/>
    <col min="148" max="148" width="10.5703125" style="68" bestFit="1" customWidth="1"/>
    <col min="149" max="149" width="9.28515625" style="68" bestFit="1" customWidth="1"/>
    <col min="150" max="150" width="11.7109375" style="68" bestFit="1" customWidth="1"/>
    <col min="151" max="151" width="8.42578125" style="68" bestFit="1" customWidth="1"/>
    <col min="152" max="152" width="9.42578125" style="68" bestFit="1" customWidth="1"/>
    <col min="153" max="153" width="9.7109375" style="68" bestFit="1" customWidth="1"/>
    <col min="154" max="154" width="11" style="68" bestFit="1" customWidth="1"/>
    <col min="155" max="155" width="9.42578125" style="68" bestFit="1" customWidth="1"/>
    <col min="156" max="157" width="9.42578125" style="68" customWidth="1"/>
    <col min="158" max="158" width="11.42578125" style="68"/>
    <col min="159" max="160" width="14" style="68" bestFit="1" customWidth="1"/>
    <col min="161" max="161" width="10.5703125" style="68" bestFit="1" customWidth="1"/>
    <col min="162" max="162" width="9.42578125" style="68" bestFit="1" customWidth="1"/>
    <col min="163" max="164" width="10.5703125" style="68" bestFit="1" customWidth="1"/>
    <col min="165" max="167" width="10.5703125" style="68" customWidth="1"/>
    <col min="168" max="168" width="9" style="68" bestFit="1" customWidth="1"/>
    <col min="169" max="169" width="10.5703125" style="68" bestFit="1" customWidth="1"/>
    <col min="170" max="170" width="9.28515625" style="68" bestFit="1" customWidth="1"/>
    <col min="171" max="171" width="11.7109375" style="68" bestFit="1" customWidth="1"/>
    <col min="172" max="172" width="8.140625" style="68" bestFit="1" customWidth="1"/>
    <col min="173" max="173" width="9.42578125" style="68" bestFit="1" customWidth="1"/>
    <col min="174" max="174" width="9.7109375" style="68" bestFit="1" customWidth="1"/>
    <col min="175" max="175" width="11" style="68" bestFit="1" customWidth="1"/>
    <col min="176" max="176" width="9.42578125" style="68" bestFit="1" customWidth="1"/>
    <col min="177" max="178" width="9.42578125" style="68" customWidth="1"/>
    <col min="179" max="179" width="10.5703125" style="68" bestFit="1" customWidth="1"/>
    <col min="180" max="181" width="14" style="68" bestFit="1" customWidth="1"/>
    <col min="182" max="182" width="10.5703125" style="68" bestFit="1" customWidth="1"/>
    <col min="183" max="183" width="9.42578125" style="68" bestFit="1" customWidth="1"/>
    <col min="184" max="185" width="10.5703125" style="68" bestFit="1" customWidth="1"/>
    <col min="186" max="188" width="10.5703125" style="68" customWidth="1"/>
    <col min="189" max="189" width="9" style="68" bestFit="1" customWidth="1"/>
    <col min="190" max="190" width="10.5703125" style="68" bestFit="1" customWidth="1"/>
    <col min="191" max="191" width="9.28515625" style="68" bestFit="1" customWidth="1"/>
    <col min="192" max="192" width="11.42578125" style="68"/>
    <col min="193" max="193" width="8.42578125" style="68" bestFit="1" customWidth="1"/>
    <col min="194" max="194" width="9.42578125" style="68" bestFit="1" customWidth="1"/>
    <col min="195" max="195" width="9.7109375" style="68" bestFit="1" customWidth="1"/>
    <col min="196" max="196" width="11" style="68" bestFit="1" customWidth="1"/>
    <col min="197" max="197" width="9.42578125" style="68" bestFit="1" customWidth="1"/>
    <col min="198" max="199" width="9.42578125" style="68" customWidth="1"/>
    <col min="200" max="200" width="10.5703125" style="68" bestFit="1" customWidth="1"/>
    <col min="201" max="201" width="14" style="68" customWidth="1"/>
    <col min="202" max="202" width="14.28515625" style="68" customWidth="1"/>
    <col min="203" max="203" width="10.5703125" style="68" bestFit="1" customWidth="1"/>
    <col min="204" max="204" width="9.42578125" style="68" bestFit="1" customWidth="1"/>
    <col min="205" max="206" width="10.5703125" style="68" bestFit="1" customWidth="1"/>
    <col min="207" max="209" width="10.5703125" style="68" customWidth="1"/>
    <col min="210" max="210" width="9" style="68" bestFit="1" customWidth="1"/>
    <col min="211" max="211" width="10.5703125" style="68" bestFit="1" customWidth="1"/>
    <col min="212" max="212" width="9.28515625" style="68" bestFit="1" customWidth="1"/>
    <col min="213" max="213" width="11.7109375" style="68" bestFit="1" customWidth="1"/>
    <col min="214" max="214" width="8.42578125" style="68" bestFit="1" customWidth="1"/>
    <col min="215" max="215" width="9.42578125" style="68" bestFit="1" customWidth="1"/>
    <col min="216" max="216" width="9.7109375" style="68" bestFit="1" customWidth="1"/>
    <col min="217" max="217" width="11" style="68" bestFit="1" customWidth="1"/>
    <col min="218" max="218" width="9.42578125" style="68" bestFit="1" customWidth="1"/>
    <col min="219" max="16384" width="11.42578125" style="68"/>
  </cols>
  <sheetData>
    <row r="1" spans="1:218" s="5" customFormat="1" ht="27" thickBot="1" x14ac:dyDescent="0.45">
      <c r="B1" s="309" t="s">
        <v>176</v>
      </c>
      <c r="C1" s="310"/>
      <c r="D1" s="310"/>
      <c r="E1" s="310"/>
      <c r="F1" s="310"/>
      <c r="G1" s="310"/>
      <c r="H1" s="311"/>
      <c r="I1" s="306" t="str">
        <f>IF('Données projet'!$B$9="","",'Données projet'!$B$9)</f>
        <v>Chêne pubescent</v>
      </c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8"/>
      <c r="AD1" s="307" t="str">
        <f>IF('Données projet'!$B$10="","",'Données projet'!$B$10)</f>
        <v>Chêne sessile</v>
      </c>
      <c r="AE1" s="307"/>
      <c r="AF1" s="307"/>
      <c r="AG1" s="307"/>
      <c r="AH1" s="307"/>
      <c r="AI1" s="307"/>
      <c r="AJ1" s="307"/>
      <c r="AK1" s="307"/>
      <c r="AL1" s="307"/>
      <c r="AM1" s="307"/>
      <c r="AN1" s="307"/>
      <c r="AO1" s="307"/>
      <c r="AP1" s="307"/>
      <c r="AQ1" s="307"/>
      <c r="AR1" s="307"/>
      <c r="AS1" s="307"/>
      <c r="AT1" s="307"/>
      <c r="AU1" s="307"/>
      <c r="AV1" s="307"/>
      <c r="AW1" s="307"/>
      <c r="AX1" s="308"/>
      <c r="AY1" s="306" t="str">
        <f>IF('Données projet'!$B$11="","",'Données projet'!$B$11)</f>
        <v>Chêne chevelu</v>
      </c>
      <c r="AZ1" s="307"/>
      <c r="BA1" s="307"/>
      <c r="BB1" s="307"/>
      <c r="BC1" s="307"/>
      <c r="BD1" s="307"/>
      <c r="BE1" s="307"/>
      <c r="BF1" s="307"/>
      <c r="BG1" s="307"/>
      <c r="BH1" s="307"/>
      <c r="BI1" s="307"/>
      <c r="BJ1" s="307"/>
      <c r="BK1" s="307"/>
      <c r="BL1" s="307"/>
      <c r="BM1" s="307"/>
      <c r="BN1" s="307"/>
      <c r="BO1" s="307"/>
      <c r="BP1" s="307"/>
      <c r="BQ1" s="307"/>
      <c r="BR1" s="307"/>
      <c r="BS1" s="308"/>
      <c r="BT1" s="306" t="str">
        <f>IF('Données projet'!$B$12="","",'Données projet'!$B$12)</f>
        <v>Cormier</v>
      </c>
      <c r="BU1" s="307"/>
      <c r="BV1" s="307"/>
      <c r="BW1" s="307"/>
      <c r="BX1" s="307"/>
      <c r="BY1" s="307"/>
      <c r="BZ1" s="307"/>
      <c r="CA1" s="307"/>
      <c r="CB1" s="307"/>
      <c r="CC1" s="307"/>
      <c r="CD1" s="307"/>
      <c r="CE1" s="307"/>
      <c r="CF1" s="307"/>
      <c r="CG1" s="307"/>
      <c r="CH1" s="307"/>
      <c r="CI1" s="307"/>
      <c r="CJ1" s="307"/>
      <c r="CK1" s="307"/>
      <c r="CL1" s="307"/>
      <c r="CM1" s="307"/>
      <c r="CN1" s="308"/>
      <c r="CO1" s="306" t="str">
        <f>IF('Données projet'!$B$13="","",'Données projet'!$B$13)</f>
        <v>Erable champêtre</v>
      </c>
      <c r="CP1" s="307"/>
      <c r="CQ1" s="307"/>
      <c r="CR1" s="307"/>
      <c r="CS1" s="307"/>
      <c r="CT1" s="307"/>
      <c r="CU1" s="307"/>
      <c r="CV1" s="307"/>
      <c r="CW1" s="307"/>
      <c r="CX1" s="307"/>
      <c r="CY1" s="307"/>
      <c r="CZ1" s="307"/>
      <c r="DA1" s="307"/>
      <c r="DB1" s="307"/>
      <c r="DC1" s="307"/>
      <c r="DD1" s="307"/>
      <c r="DE1" s="307"/>
      <c r="DF1" s="307"/>
      <c r="DG1" s="307"/>
      <c r="DH1" s="307"/>
      <c r="DI1" s="308"/>
      <c r="DJ1" s="306" t="str">
        <f>IF('Données projet'!$B$14="","",'Données projet'!$B$14)</f>
        <v>Merisier</v>
      </c>
      <c r="DK1" s="307"/>
      <c r="DL1" s="307"/>
      <c r="DM1" s="307"/>
      <c r="DN1" s="307"/>
      <c r="DO1" s="307"/>
      <c r="DP1" s="307"/>
      <c r="DQ1" s="307"/>
      <c r="DR1" s="307"/>
      <c r="DS1" s="307"/>
      <c r="DT1" s="307"/>
      <c r="DU1" s="307"/>
      <c r="DV1" s="307"/>
      <c r="DW1" s="307"/>
      <c r="DX1" s="307"/>
      <c r="DY1" s="307"/>
      <c r="DZ1" s="307"/>
      <c r="EA1" s="307"/>
      <c r="EB1" s="307"/>
      <c r="EC1" s="307"/>
      <c r="ED1" s="308"/>
      <c r="EE1" s="306" t="str">
        <f>IF('Données projet'!$B$15="","",'Données projet'!$B$15)</f>
        <v>Alisier torminal</v>
      </c>
      <c r="EF1" s="307"/>
      <c r="EG1" s="307"/>
      <c r="EH1" s="307"/>
      <c r="EI1" s="307"/>
      <c r="EJ1" s="307"/>
      <c r="EK1" s="307"/>
      <c r="EL1" s="307"/>
      <c r="EM1" s="307"/>
      <c r="EN1" s="307"/>
      <c r="EO1" s="307"/>
      <c r="EP1" s="307"/>
      <c r="EQ1" s="307"/>
      <c r="ER1" s="307"/>
      <c r="ES1" s="307"/>
      <c r="ET1" s="307"/>
      <c r="EU1" s="307"/>
      <c r="EV1" s="307"/>
      <c r="EW1" s="307"/>
      <c r="EX1" s="307"/>
      <c r="EY1" s="308"/>
      <c r="EZ1" s="306" t="str">
        <f>IF('Données projet'!$B$16="","",'Données projet'!$B$16)</f>
        <v/>
      </c>
      <c r="FA1" s="307"/>
      <c r="FB1" s="307"/>
      <c r="FC1" s="307"/>
      <c r="FD1" s="307"/>
      <c r="FE1" s="307"/>
      <c r="FF1" s="307"/>
      <c r="FG1" s="307"/>
      <c r="FH1" s="307"/>
      <c r="FI1" s="307"/>
      <c r="FJ1" s="307"/>
      <c r="FK1" s="307"/>
      <c r="FL1" s="307"/>
      <c r="FM1" s="307"/>
      <c r="FN1" s="307"/>
      <c r="FO1" s="307"/>
      <c r="FP1" s="307"/>
      <c r="FQ1" s="307"/>
      <c r="FR1" s="307"/>
      <c r="FS1" s="307"/>
      <c r="FT1" s="308"/>
      <c r="FU1" s="306" t="str">
        <f>IF('Données projet'!$B$17="","",'Données projet'!$B$17)</f>
        <v/>
      </c>
      <c r="FV1" s="307"/>
      <c r="FW1" s="307"/>
      <c r="FX1" s="307"/>
      <c r="FY1" s="307"/>
      <c r="FZ1" s="307"/>
      <c r="GA1" s="307"/>
      <c r="GB1" s="307"/>
      <c r="GC1" s="307"/>
      <c r="GD1" s="307"/>
      <c r="GE1" s="307"/>
      <c r="GF1" s="307"/>
      <c r="GG1" s="307"/>
      <c r="GH1" s="307"/>
      <c r="GI1" s="307"/>
      <c r="GJ1" s="307"/>
      <c r="GK1" s="307"/>
      <c r="GL1" s="307"/>
      <c r="GM1" s="307"/>
      <c r="GN1" s="307"/>
      <c r="GO1" s="308"/>
      <c r="GP1" s="306" t="str">
        <f>IF('Données projet'!$B$18="","",'Données projet'!$B$18)</f>
        <v/>
      </c>
      <c r="GQ1" s="307"/>
      <c r="GR1" s="307"/>
      <c r="GS1" s="307"/>
      <c r="GT1" s="307"/>
      <c r="GU1" s="307"/>
      <c r="GV1" s="307"/>
      <c r="GW1" s="307"/>
      <c r="GX1" s="307"/>
      <c r="GY1" s="307"/>
      <c r="GZ1" s="307"/>
      <c r="HA1" s="307"/>
      <c r="HB1" s="307"/>
      <c r="HC1" s="307"/>
      <c r="HD1" s="307"/>
      <c r="HE1" s="307"/>
      <c r="HF1" s="307"/>
      <c r="HG1" s="307"/>
      <c r="HH1" s="307"/>
      <c r="HI1" s="307"/>
      <c r="HJ1" s="308"/>
    </row>
    <row r="2" spans="1:218" s="5" customFormat="1" ht="75.75" thickBot="1" x14ac:dyDescent="0.3">
      <c r="A2" s="72" t="s">
        <v>178</v>
      </c>
      <c r="B2" s="73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6" t="s">
        <v>299</v>
      </c>
      <c r="I2" s="69" t="s">
        <v>298</v>
      </c>
      <c r="J2" s="70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0" t="s">
        <v>298</v>
      </c>
      <c r="AE2" s="70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69" t="s">
        <v>298</v>
      </c>
      <c r="AZ2" s="70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69" t="s">
        <v>298</v>
      </c>
      <c r="BU2" s="70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69" t="s">
        <v>298</v>
      </c>
      <c r="CP2" s="70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69" t="s">
        <v>298</v>
      </c>
      <c r="DK2" s="70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69" t="s">
        <v>298</v>
      </c>
      <c r="EF2" s="70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69" t="s">
        <v>298</v>
      </c>
      <c r="FA2" s="70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69" t="s">
        <v>298</v>
      </c>
      <c r="FV2" s="70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69" t="s">
        <v>298</v>
      </c>
      <c r="GQ2" s="70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4">
        <f>'Scénario référence'!$B$16*5+'Scénario référence'!$B$17*0+'Scénario référence'!$B$18*5</f>
        <v>3.2750000000000004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12.008333333333335</v>
      </c>
      <c r="H3" s="67">
        <f>(B3+E3+F3)*44/12+(C3+D3)*0.475*44/12</f>
        <v>208.63333333333333</v>
      </c>
      <c r="I3" s="7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53.625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196.625</v>
      </c>
      <c r="S3" s="60">
        <f ca="1">AVERAGE(OFFSET($R$3,0,0,'Données projet'!$E$9+1,1))-AVERAGE(OFFSET($H$3,0,0,'Données projet'!$E$9+1,1))</f>
        <v>503.64055031157477</v>
      </c>
      <c r="T3" s="60">
        <f>IF('Données projet'!E9&gt;30,$R$33-$H$33,LOOKUP('Données projet'!$E$9,$A$3:$A$203,R3:R203)-LOOKUP('Données projet'!$E$9,$A$3:$A$203,$H$3:$H$203))</f>
        <v>266.76572540460842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53.625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196.625</v>
      </c>
      <c r="AN3" s="60">
        <f ca="1">AVERAGE(OFFSET($AM$3,0,0,'Données projet'!$E$10+1,1))-AVERAGE(OFFSET($H$3,0,0,'Données projet'!$E$10+1,1))</f>
        <v>456.86058467343139</v>
      </c>
      <c r="AO3" s="60">
        <f>IF('Données projet'!E10&gt;30,$AM$33-$H$33,LOOKUP('Données projet'!$E$10,$A$3:$A$203,AM3:AM203)-LOOKUP('Données projet'!$E$10,$A$3:$A$203,$H$3:$H$203))</f>
        <v>243.88495931574937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53.625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196.625</v>
      </c>
      <c r="BI3" s="60">
        <f ca="1">AVERAGE(OFFSET($BH$3,0,0,'Données projet'!$E$11+1,1))-AVERAGE(OFFSET($H$3,0,0,'Données projet'!$E$11+1,1))</f>
        <v>518.47226207416952</v>
      </c>
      <c r="BJ3" s="60">
        <f>IF('Données projet'!E11&gt;30,$BH$33-$H$33,LOOKUP('Données projet'!$E$11,$A$3:$A$203,BH3:BH203)-LOOKUP('Données projet'!$E$11,$A$3:$A$203,$H$3:$H$203))</f>
        <v>314.6379787306804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53.625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196.625</v>
      </c>
      <c r="CD3" s="60">
        <f ca="1">AVERAGE(OFFSET($CC$3,0,0,'Données projet'!$E$12+1,1))-AVERAGE(OFFSET($H$3,0,0,'Données projet'!$E$12+1,1))</f>
        <v>530.32456073177104</v>
      </c>
      <c r="CE3" s="60">
        <f>IF('Données projet'!E12&gt;30,$CC$33-$H$33,LOOKUP('Données projet'!$E$12,$A$3:$A$203,CC3:CC203)-LOOKUP('Données projet'!$E$12,$A$3:$A$203,$H$3:$H$203))</f>
        <v>279.81519428470625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53.625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196.625</v>
      </c>
      <c r="CY3" s="60">
        <f ca="1">AVERAGE(OFFSET($CX$3,0,0,'Données projet'!$E$13+1,1))-AVERAGE(OFFSET($H$3,0,0,'Données projet'!$E$13+1,1))</f>
        <v>355.03862261578701</v>
      </c>
      <c r="CZ3" s="60">
        <f>IF('Données projet'!E13&gt;30,$CX$33-$H$33,LOOKUP('Données projet'!$E$13,$A$3:$A$203,CX3:CX203)-LOOKUP('Données projet'!$E$13,$A$3:$A$203,$H$3:$H$203))</f>
        <v>382.84441399266029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53.625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0">
        <f>DR3+(DJ3+DK3)*44/12</f>
        <v>196.625</v>
      </c>
      <c r="DT3" s="60">
        <f ca="1">AVERAGE(OFFSET($DS$3,0,0,'Données projet'!$E$14+1,1))-AVERAGE(OFFSET($H$3,0,0,'Données projet'!$E$14+1,1))</f>
        <v>305.68891030516761</v>
      </c>
      <c r="DU3" s="60">
        <f>IF('Données projet'!E14&gt;30,$DS$33-$H$33,LOOKUP('Données projet'!$E$14,$A$3:$A$203,DS3:DS203)-LOOKUP('Données projet'!$E$14,$A$3:$A$203,$H$3:$H$203))</f>
        <v>296.00275062228275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53.625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0">
        <f>EM3+(EE3+EF3)*44/12</f>
        <v>196.625</v>
      </c>
      <c r="EO3" s="60">
        <f ca="1">AVERAGE(OFFSET($EN$3,0,0,'Données projet'!$E$15+1,1))-AVERAGE(OFFSET($H$3,0,0,'Données projet'!$E$15+1,1))</f>
        <v>483.60545605360528</v>
      </c>
      <c r="EP3" s="60">
        <f>IF('Données projet'!E15&gt;30,$EN$33-$H$33,LOOKUP('Données projet'!$E$15,$A$3:$A$203,EN3:EN203)-LOOKUP('Données projet'!$E$15,$A$3:$A$203,$H$3:$H$203))</f>
        <v>256.96685577560345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53.625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0" t="e">
        <f>FH3+(EZ3+FA3)*44/12</f>
        <v>#N/A</v>
      </c>
      <c r="FJ3" s="60" t="e">
        <f ca="1">AVERAGE(OFFSET($FI$3,0,0,'Données projet'!$E$16+1,1))-AVERAGE(OFFSET($H$3,0,0,'Données projet'!$E$16+1,1))</f>
        <v>#N/A</v>
      </c>
      <c r="FK3" s="60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53.625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0" t="e">
        <f>GC3+(FU3+FV3)*44/12</f>
        <v>#N/A</v>
      </c>
      <c r="GE3" s="60" t="e">
        <f ca="1">AVERAGE(OFFSET($GD$3,0,0,'Données projet'!$E$17+1,1))-AVERAGE(OFFSET($H$3,0,0,'Données projet'!$E$17+1,1))</f>
        <v>#N/A</v>
      </c>
      <c r="GF3" s="60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53.625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4">
        <f>'Scénario référence'!$B$16*5+'Scénario référence'!$B$17*0+'Scénario référence'!$B$18*5</f>
        <v>3.2750000000000004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12.008333333333335</v>
      </c>
      <c r="H4" s="67">
        <f t="shared" ref="H4:H67" si="1">(B4+E4+F4)*44/12+(C4+D4)*0.475*44/12</f>
        <v>208.63333333333333</v>
      </c>
      <c r="I4" s="7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53.909069640984427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projet'!$B$9,Paramètres!$A$1:$I$89,3,0)*VLOOKUP('Données projet'!$B$9,Paramètres!$A$1:$I$89,5,0)</f>
        <v>1.2223636300497438</v>
      </c>
      <c r="P4" s="14">
        <f>EXP(-1.0587+0.8836*LN(O4)+0.284)</f>
        <v>0.55030360208821416</v>
      </c>
      <c r="Q4" s="22">
        <f t="shared" ref="Q4:Q34" si="2">(O4+P4)*0.475*44/12</f>
        <v>3.0873954293069432</v>
      </c>
      <c r="R4" s="60">
        <f t="shared" si="0"/>
        <v>201.97620633513873</v>
      </c>
      <c r="S4" s="60">
        <f ca="1">AVERAGE(OFFSET($R$3,0,0,'Données projet'!$E$9+1,1))-AVERAGE(OFFSET($H$3,0,0,'Données projet'!$E$9+1,1))</f>
        <v>503.64055031157477</v>
      </c>
      <c r="T4" s="60">
        <f>$T$3</f>
        <v>266.76572540460842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53.909069640984427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IF('Données projet'!$A$62&gt;35,AI3+AH4-AQ3,IF(A4&lt;'Données projet'!$A$62,$AF$205^A4,IF(A4='Données projet'!$A$62,'Données projet'!$B$62,AI3+AH4-AQ3)))</f>
        <v>1.2054868146447177</v>
      </c>
      <c r="AJ4" s="14">
        <f>AI4*VLOOKUP('Données projet'!$B$10,Paramètres!$A$1:$I$89,3,0)*VLOOKUP('Données projet'!$B$10,Paramètres!$A$1:$I$89,5,0)</f>
        <v>1.0907244698905405</v>
      </c>
      <c r="AK4" s="14">
        <f>EXP(-1.0587+0.8836*LN(AJ4)+0.284)</f>
        <v>0.49759623852608204</v>
      </c>
      <c r="AL4" s="22">
        <f t="shared" ref="AL4:AL67" si="4">(AJ4+AK4)*0.475*44/12</f>
        <v>2.7663252338256172</v>
      </c>
      <c r="AM4" s="60">
        <f t="shared" ref="AM4:AM67" si="5">AL4+(AD4+AE4)*44/12</f>
        <v>201.6551361396574</v>
      </c>
      <c r="AN4" s="60">
        <f ca="1">AVERAGE(OFFSET($AM$3,0,0,'Données projet'!$E$10+1,1))-AVERAGE(OFFSET($H$3,0,0,'Données projet'!$E$10+1,1))</f>
        <v>456.86058467343139</v>
      </c>
      <c r="AO4" s="60">
        <f>$AO$3</f>
        <v>243.88495931574937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53.909069640984427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2.0085470085470085</v>
      </c>
      <c r="BD4" s="13">
        <f>IF('Données projet'!$A$88&gt;35,BD3+BC4-BL3,IF(A4&lt;'Données projet'!$A$88,$BA$205^A4,IF(A4='Données projet'!$A$88,'Données projet'!$B$88,BD3+BC4-BL3)))</f>
        <v>1.2548684989282006</v>
      </c>
      <c r="BE4" s="14">
        <f>BD4*VLOOKUP('Données projet'!$B$11,Paramètres!$A$1:$I$89,3,0)*VLOOKUP('Données projet'!$B$11,Paramètres!$A$1:$I$89,5,0)</f>
        <v>1.3115885550797555</v>
      </c>
      <c r="BF4" s="14">
        <f>EXP(-1.0587+0.8836*LN(BE4)+0.284)</f>
        <v>0.5856498554818651</v>
      </c>
      <c r="BG4" s="22">
        <f t="shared" ref="BG4:BG67" si="7">(BE4+BF4)*0.475*44/12</f>
        <v>3.3043568983948219</v>
      </c>
      <c r="BH4" s="60">
        <f t="shared" ref="BH4:BH67" si="8">BG4+(AY4+AZ4)*44/12</f>
        <v>202.19316780422659</v>
      </c>
      <c r="BI4" s="60">
        <f ca="1">AVERAGE(OFFSET($BH$3,0,0,'Données projet'!$E$11+1,1))-AVERAGE(OFFSET($H$3,0,0,'Données projet'!$E$11+1,1))</f>
        <v>518.47226207416952</v>
      </c>
      <c r="BJ4" s="60">
        <f>$BJ$3</f>
        <v>314.6379787306804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53.909069640984427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2.1</v>
      </c>
      <c r="BY4" s="13">
        <f>IF('Données projet'!$A$114&gt;35,BY3+BX4-CG3,IF(A4&lt;'Données projet'!$A$114,$BV$205^A4,IF(A4='Données projet'!$A$114,'Données projet'!$B$114,BY3+BX4-CG3)))</f>
        <v>1.2054868146447177</v>
      </c>
      <c r="BZ4" s="14">
        <f>BY4*VLOOKUP('Données projet'!$B$12,Paramètres!$A$1:$I$89,3,0)*VLOOKUP('Données projet'!$B$12,Paramètres!$A$1:$I$89,5,0)</f>
        <v>1.2975860072835741</v>
      </c>
      <c r="CA4" s="14">
        <f>EXP(-1.0587+0.8836*LN(BZ4)+0.284)</f>
        <v>0.58012177912374829</v>
      </c>
      <c r="CB4" s="22">
        <f t="shared" ref="CB4:CB67" si="10">(BZ4+CA4)*0.475*44/12</f>
        <v>3.2703410613260862</v>
      </c>
      <c r="CC4" s="60">
        <f t="shared" ref="CC4:CC67" si="11">CB4+(BT4+BU4)*44/12</f>
        <v>202.15915196715787</v>
      </c>
      <c r="CD4" s="60">
        <f ca="1">AVERAGE(OFFSET($CC$3,0,0,'Données projet'!$E$12+1,1))-AVERAGE(OFFSET($H$3,0,0,'Données projet'!$E$12+1,1))</f>
        <v>530.32456073177104</v>
      </c>
      <c r="CE4" s="60">
        <f>$CE$3</f>
        <v>279.81519428470625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53.909069640984427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2.4933333333333332</v>
      </c>
      <c r="CT4" s="13">
        <f>IF('Données projet'!$A$140&gt;35,CT3+CS4-DB3,IF(A4&lt;'Données projet'!$A$140,$CQ$205^A4,IF(A4='Données projet'!$A$140,'Données projet'!$B$140,CT3+CS4-DB3)))</f>
        <v>1.2730870686066207</v>
      </c>
      <c r="CU4" s="18">
        <f>CT4*VLOOKUP('Données projet'!$B$13,Paramètres!$A$1:$I$89,3,0)*VLOOKUP('Données projet'!$B$13,Paramètres!$A$1:$I$89,5,0)</f>
        <v>1.1121688631347439</v>
      </c>
      <c r="CV4" s="14">
        <f>EXP(-1.0587+0.8836*LN(CU4)+0.284)</f>
        <v>0.50623075212543323</v>
      </c>
      <c r="CW4" s="22">
        <f t="shared" ref="CW4:CW67" si="13">(CU4+CV4)*0.475*44/12</f>
        <v>2.8187126632448081</v>
      </c>
      <c r="CX4" s="60">
        <f t="shared" ref="CX4:CX67" si="14">CW4+(CO4+CP4)*44/12</f>
        <v>201.70752356907659</v>
      </c>
      <c r="CY4" s="60">
        <f ca="1">AVERAGE(OFFSET($CX$3,0,0,'Données projet'!$E$13+1,1))-AVERAGE(OFFSET($H$3,0,0,'Données projet'!$E$13+1,1))</f>
        <v>355.03862261578701</v>
      </c>
      <c r="CZ4" s="60">
        <f>$CZ$3</f>
        <v>382.84441399266029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53.909069640984427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2.6666666666666665</v>
      </c>
      <c r="DO4" s="13">
        <f>IF('Données projet'!$A$166&gt;35,DO3+DN4-DW3,IF(A4&lt;'Données projet'!$A$166,$DL$205^A4,IF(A4='Données projet'!$A$166,'Données projet'!$B$166,DO3+DN4-DW3)))</f>
        <v>1.2788040393997409</v>
      </c>
      <c r="DP4" s="18">
        <f>DO4*VLOOKUP('Données projet'!$B$14,Paramètres!$A$1:$I$89,3,0)*VLOOKUP('Données projet'!$B$14,Paramètres!$A$1:$I$89,5,0)</f>
        <v>0.99746715073179792</v>
      </c>
      <c r="DQ4" s="14">
        <f>EXP(-1.0587+0.8836*LN(DP4)+0.284)</f>
        <v>0.45981048445793882</v>
      </c>
      <c r="DR4" s="22">
        <f t="shared" ref="DR4:DR67" si="16">(DP4+DQ4)*0.475*44/12</f>
        <v>2.5380918812887914</v>
      </c>
      <c r="DS4" s="60">
        <f t="shared" ref="DS4:DS67" si="17">DR4+(DJ4+DK4)*44/12</f>
        <v>201.42690278712055</v>
      </c>
      <c r="DT4" s="60">
        <f ca="1">AVERAGE(OFFSET($DS$3,0,0,'Données projet'!$E$14+1,1))-AVERAGE(OFFSET($H$3,0,0,'Données projet'!$E$14+1,1))</f>
        <v>305.68891030516761</v>
      </c>
      <c r="DU4" s="60">
        <f>$DU$3</f>
        <v>296.00275062228275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53.909069640984427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2.1</v>
      </c>
      <c r="EJ4" s="13">
        <f>IF('Données projet'!$A$192&gt;35,EJ3+EI4-ER3,IF(A4&lt;'Données projet'!$A$192,$EG$205^A4,IF(A4='Données projet'!$A$192,'Données projet'!$B$192,EJ3+EI4-ER3)))</f>
        <v>1.2054868146447177</v>
      </c>
      <c r="EK4" s="18">
        <f>EJ4*VLOOKUP('Données projet'!$B$15,Paramètres!$A$1:$I$89,3,0)*VLOOKUP('Données projet'!$B$15,Paramètres!$A$1:$I$89,5,0)</f>
        <v>1.165946847124371</v>
      </c>
      <c r="EL4" s="14">
        <f>EXP(-1.0587+0.8836*LN(EK4)+0.284)</f>
        <v>0.52780002987456354</v>
      </c>
      <c r="EM4" s="22">
        <f t="shared" ref="EM4:EM67" si="19">(EK4+EL4)*0.475*44/12</f>
        <v>2.9499424774398109</v>
      </c>
      <c r="EN4" s="60">
        <f t="shared" ref="EN4:EN67" si="20">EM4+(EE4+EF4)*44/12</f>
        <v>201.83875338327158</v>
      </c>
      <c r="EO4" s="60">
        <f ca="1">AVERAGE(OFFSET($EN$3,0,0,'Données projet'!$E$15+1,1))-AVERAGE(OFFSET($H$3,0,0,'Données projet'!$E$15+1,1))</f>
        <v>483.60545605360528</v>
      </c>
      <c r="EP4" s="60">
        <f>$EP$3</f>
        <v>256.96685577560345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53.909069640984427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0" t="e">
        <f t="shared" ref="FI4:FI67" si="23">FH4+(EZ4+FA4)*44/12</f>
        <v>#N/A</v>
      </c>
      <c r="FJ4" s="60" t="e">
        <f ca="1">AVERAGE(OFFSET($FI$3,0,0,'Données projet'!$E$16+1,1))-AVERAGE(OFFSET($H$3,0,0,'Données projet'!$E$16+1,1))</f>
        <v>#N/A</v>
      </c>
      <c r="FK4" s="60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53.909069640984427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0" t="e">
        <f t="shared" ref="GD4:GD67" si="26">GC4+(FU4+FV4)*44/12</f>
        <v>#N/A</v>
      </c>
      <c r="GE4" s="60" t="e">
        <f ca="1">AVERAGE(OFFSET($GD$3,0,0,'Données projet'!$E$17+1,1))-AVERAGE(OFFSET($H$3,0,0,'Données projet'!$E$17+1,1))</f>
        <v>#N/A</v>
      </c>
      <c r="GF4" s="60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53.909069640984427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4">
        <f>'Scénario référence'!$B$16*5+'Scénario référence'!$B$17*0+'Scénario référence'!$B$18*5</f>
        <v>3.2750000000000004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12.008333333333335</v>
      </c>
      <c r="H5" s="67">
        <f t="shared" si="1"/>
        <v>208.63333333333333</v>
      </c>
      <c r="I5" s="7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54.188211308782343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projet'!$B$9,Paramètres!$A$1:$I$89,3,0)*VLOOKUP('Données projet'!$B$9,Paramètres!$A$1:$I$89,5,0)</f>
        <v>1.47354323872622</v>
      </c>
      <c r="P5" s="14">
        <f t="shared" ref="P5:P68" si="33">EXP(-1.0587+0.8836*LN(O5)+0.284)</f>
        <v>0.64910881835703094</v>
      </c>
      <c r="Q5" s="22">
        <f t="shared" si="2"/>
        <v>3.6969523327533285</v>
      </c>
      <c r="R5" s="60">
        <f t="shared" si="0"/>
        <v>204.83150490939968</v>
      </c>
      <c r="S5" s="60">
        <f ca="1">AVERAGE(OFFSET($R$3,0,0,'Données projet'!$E$9+1,1))-AVERAGE(OFFSET($H$3,0,0,'Données projet'!$E$9+1,1))</f>
        <v>503.64055031157477</v>
      </c>
      <c r="T5" s="60">
        <f t="shared" ref="T5:T68" si="34">$T$3</f>
        <v>266.76572540460842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54.188211308782343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IF('Données projet'!$A$62&gt;35,AI4+AH5-AQ4,IF(A5&lt;'Données projet'!$A$62,$AF$205^A5,IF(A5='Données projet'!$A$62,'Données projet'!$B$62,AI4+AH5-AQ4)))</f>
        <v>1.4531984602822681</v>
      </c>
      <c r="AJ5" s="14">
        <f>AI5*VLOOKUP('Données projet'!$B$10,Paramètres!$A$1:$I$89,3,0)*VLOOKUP('Données projet'!$B$10,Paramètres!$A$1:$I$89,5,0)</f>
        <v>1.3148539668633961</v>
      </c>
      <c r="AK5" s="14">
        <f t="shared" ref="AK5:AK68" si="35">EXP(-1.0587+0.8836*LN(AJ5)+0.284)</f>
        <v>0.58693801963664449</v>
      </c>
      <c r="AL5" s="22">
        <f t="shared" si="4"/>
        <v>3.3122877098209038</v>
      </c>
      <c r="AM5" s="60">
        <f t="shared" si="5"/>
        <v>204.44684028646725</v>
      </c>
      <c r="AN5" s="60">
        <f ca="1">AVERAGE(OFFSET($AM$3,0,0,'Données projet'!$E$10+1,1))-AVERAGE(OFFSET($H$3,0,0,'Données projet'!$E$10+1,1))</f>
        <v>456.86058467343139</v>
      </c>
      <c r="AO5" s="60">
        <f t="shared" ref="AO5:AO68" si="36">$AO$3</f>
        <v>243.88495931574937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54.188211308782343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2.0085470085470085</v>
      </c>
      <c r="BD5" s="13">
        <f>IF('Données projet'!$A$88&gt;35,BD4+BC5-BL4,IF(A5&lt;'Données projet'!$A$88,$BA$205^A5,IF(A5='Données projet'!$A$88,'Données projet'!$B$88,BD4+BC5-BL4)))</f>
        <v>1.5746949496023155</v>
      </c>
      <c r="BE5" s="14">
        <f>BD5*VLOOKUP('Données projet'!$B$11,Paramètres!$A$1:$I$89,3,0)*VLOOKUP('Données projet'!$B$11,Paramètres!$A$1:$I$89,5,0)</f>
        <v>1.6458711613243404</v>
      </c>
      <c r="BF5" s="14">
        <f t="shared" ref="BF5:BF68" si="37">EXP(-1.0587+0.8836*LN(BE5)+0.284)</f>
        <v>0.71574681686586372</v>
      </c>
      <c r="BG5" s="22">
        <f t="shared" si="7"/>
        <v>4.1131513120146055</v>
      </c>
      <c r="BH5" s="60">
        <f t="shared" si="8"/>
        <v>205.24770388866094</v>
      </c>
      <c r="BI5" s="60">
        <f ca="1">AVERAGE(OFFSET($BH$3,0,0,'Données projet'!$E$11+1,1))-AVERAGE(OFFSET($H$3,0,0,'Données projet'!$E$11+1,1))</f>
        <v>518.47226207416952</v>
      </c>
      <c r="BJ5" s="60">
        <f t="shared" ref="BJ5:BJ68" si="38">$BJ$3</f>
        <v>314.6379787306804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54.188211308782343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2.1</v>
      </c>
      <c r="BY5" s="13">
        <f>IF('Données projet'!$A$114&gt;35,BY4+BX5-CG4,IF(A5&lt;'Données projet'!$A$114,$BV$205^A5,IF(A5='Données projet'!$A$114,'Données projet'!$B$114,BY4+BX5-CG4)))</f>
        <v>1.4531984602822681</v>
      </c>
      <c r="BZ5" s="14">
        <f>BY5*VLOOKUP('Données projet'!$B$12,Paramètres!$A$1:$I$89,3,0)*VLOOKUP('Données projet'!$B$12,Paramètres!$A$1:$I$89,5,0)</f>
        <v>1.5642228226478332</v>
      </c>
      <c r="CA5" s="14">
        <f t="shared" ref="CA5:CA68" si="39">EXP(-1.0587+0.8836*LN(BZ5)+0.284)</f>
        <v>0.68428075179095682</v>
      </c>
      <c r="CB5" s="22">
        <f t="shared" si="10"/>
        <v>3.9161437254808931</v>
      </c>
      <c r="CC5" s="60">
        <f t="shared" si="11"/>
        <v>205.05069630212722</v>
      </c>
      <c r="CD5" s="60">
        <f ca="1">AVERAGE(OFFSET($CC$3,0,0,'Données projet'!$E$12+1,1))-AVERAGE(OFFSET($H$3,0,0,'Données projet'!$E$12+1,1))</f>
        <v>530.32456073177104</v>
      </c>
      <c r="CE5" s="60">
        <f t="shared" ref="CE5:CE68" si="40">$CE$3</f>
        <v>279.81519428470625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54.188211308782343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2.4933333333333332</v>
      </c>
      <c r="CT5" s="13">
        <f>IF('Données projet'!$A$140&gt;35,CT4+CS5-DB4,IF(A5&lt;'Données projet'!$A$140,$CQ$205^A5,IF(A5='Données projet'!$A$140,'Données projet'!$B$140,CT4+CS5-DB4)))</f>
        <v>1.6207506842533985</v>
      </c>
      <c r="CU5" s="18">
        <f>CT5*VLOOKUP('Données projet'!$B$13,Paramètres!$A$1:$I$89,3,0)*VLOOKUP('Données projet'!$B$13,Paramètres!$A$1:$I$89,5,0)</f>
        <v>1.4158877977637692</v>
      </c>
      <c r="CV5" s="14">
        <f t="shared" ref="CV5:CV68" si="41">EXP(-1.0587+0.8836*LN(CU5)+0.284)</f>
        <v>0.62661551960081552</v>
      </c>
      <c r="CW5" s="22">
        <f t="shared" si="13"/>
        <v>3.5573599444099848</v>
      </c>
      <c r="CX5" s="60">
        <f t="shared" si="14"/>
        <v>204.69191252105634</v>
      </c>
      <c r="CY5" s="60">
        <f ca="1">AVERAGE(OFFSET($CX$3,0,0,'Données projet'!$E$13+1,1))-AVERAGE(OFFSET($H$3,0,0,'Données projet'!$E$13+1,1))</f>
        <v>355.03862261578701</v>
      </c>
      <c r="CZ5" s="60">
        <f t="shared" ref="CZ5:CZ68" si="42">$CZ$3</f>
        <v>382.84441399266029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54.188211308782343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2.6666666666666665</v>
      </c>
      <c r="DO5" s="13">
        <f>IF('Données projet'!$A$166&gt;35,DO4+DN5-DW4,IF(A5&lt;'Données projet'!$A$166,$DL$205^A5,IF(A5='Données projet'!$A$166,'Données projet'!$B$166,DO4+DN5-DW4)))</f>
        <v>1.6353397711850939</v>
      </c>
      <c r="DP5" s="18">
        <f>DO5*VLOOKUP('Données projet'!$B$14,Paramètres!$A$1:$I$89,3,0)*VLOOKUP('Données projet'!$B$14,Paramètres!$A$1:$I$89,5,0)</f>
        <v>1.2755650215243732</v>
      </c>
      <c r="DQ5" s="14">
        <f t="shared" ref="DQ5:DQ68" si="43">EXP(-1.0587+0.8836*LN(DP5)+0.284)</f>
        <v>0.57141400910743001</v>
      </c>
      <c r="DR5" s="22">
        <f t="shared" si="16"/>
        <v>3.2168218116837237</v>
      </c>
      <c r="DS5" s="60">
        <f t="shared" si="17"/>
        <v>204.35137438833007</v>
      </c>
      <c r="DT5" s="60">
        <f ca="1">AVERAGE(OFFSET($DS$3,0,0,'Données projet'!$E$14+1,1))-AVERAGE(OFFSET($H$3,0,0,'Données projet'!$E$14+1,1))</f>
        <v>305.68891030516761</v>
      </c>
      <c r="DU5" s="60">
        <f t="shared" ref="DU5:DU68" si="44">$DU$3</f>
        <v>296.00275062228275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54.188211308782343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2.1</v>
      </c>
      <c r="EJ5" s="13">
        <f>IF('Données projet'!$A$192&gt;35,EJ4+EI5-ER4,IF(A5&lt;'Données projet'!$A$192,$EG$205^A5,IF(A5='Données projet'!$A$192,'Données projet'!$B$192,EJ4+EI5-ER4)))</f>
        <v>1.4531984602822681</v>
      </c>
      <c r="EK5" s="18">
        <f>EJ5*VLOOKUP('Données projet'!$B$15,Paramètres!$A$1:$I$89,3,0)*VLOOKUP('Données projet'!$B$15,Paramètres!$A$1:$I$89,5,0)</f>
        <v>1.4055335507850097</v>
      </c>
      <c r="EL5" s="14">
        <f t="shared" ref="EL5:EL68" si="45">EXP(-1.0587+0.8836*LN(EK5)+0.284)</f>
        <v>0.62256480317525631</v>
      </c>
      <c r="EM5" s="22">
        <f t="shared" si="19"/>
        <v>3.5322712998141292</v>
      </c>
      <c r="EN5" s="60">
        <f t="shared" si="20"/>
        <v>204.66682387646048</v>
      </c>
      <c r="EO5" s="60">
        <f ca="1">AVERAGE(OFFSET($EN$3,0,0,'Données projet'!$E$15+1,1))-AVERAGE(OFFSET($H$3,0,0,'Données projet'!$E$15+1,1))</f>
        <v>483.60545605360528</v>
      </c>
      <c r="EP5" s="60">
        <f t="shared" ref="EP5:EP68" si="46">$EP$3</f>
        <v>256.96685577560345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54.188211308782343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0" t="e">
        <f t="shared" si="23"/>
        <v>#N/A</v>
      </c>
      <c r="FJ5" s="60" t="e">
        <f ca="1">AVERAGE(OFFSET($FI$3,0,0,'Données projet'!$E$16+1,1))-AVERAGE(OFFSET($H$3,0,0,'Données projet'!$E$16+1,1))</f>
        <v>#N/A</v>
      </c>
      <c r="FK5" s="60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54.188211308782343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0" t="e">
        <f t="shared" si="26"/>
        <v>#N/A</v>
      </c>
      <c r="GE5" s="60" t="e">
        <f ca="1">AVERAGE(OFFSET($GD$3,0,0,'Données projet'!$E$17+1,1))-AVERAGE(OFFSET($H$3,0,0,'Données projet'!$E$17+1,1))</f>
        <v>#N/A</v>
      </c>
      <c r="GF5" s="60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54.188211308782343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4">
        <f>'Scénario référence'!$B$16*5+'Scénario référence'!$B$17*0+'Scénario référence'!$B$18*5</f>
        <v>3.2750000000000004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12.008333333333335</v>
      </c>
      <c r="H6" s="67">
        <f t="shared" si="1"/>
        <v>208.63333333333333</v>
      </c>
      <c r="I6" s="7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54.462510492711253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projet'!$B$9,Paramètres!$A$1:$I$89,3,0)*VLOOKUP('Données projet'!$B$9,Paramètres!$A$1:$I$89,5,0)</f>
        <v>1.7763369450933317</v>
      </c>
      <c r="P6" s="14">
        <f t="shared" si="33"/>
        <v>0.76565418883323866</v>
      </c>
      <c r="Q6" s="22">
        <f t="shared" si="2"/>
        <v>4.4273012249221102</v>
      </c>
      <c r="R6" s="60">
        <f t="shared" si="0"/>
        <v>207.78983969819672</v>
      </c>
      <c r="S6" s="60">
        <f ca="1">AVERAGE(OFFSET($R$3,0,0,'Données projet'!$E$9+1,1))-AVERAGE(OFFSET($H$3,0,0,'Données projet'!$E$9+1,1))</f>
        <v>503.64055031157477</v>
      </c>
      <c r="T6" s="60">
        <f t="shared" si="34"/>
        <v>266.76572540460842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54.462510492711253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IF('Données projet'!$A$62&gt;35,AI5+AH6-AQ5,IF(A6&lt;'Données projet'!$A$62,$AF$205^A6,IF(A6='Données projet'!$A$62,'Données projet'!$B$62,AI5+AH6-AQ5)))</f>
        <v>1.7518115829322798</v>
      </c>
      <c r="AJ6" s="14">
        <f>AI6*VLOOKUP('Données projet'!$B$10,Paramètres!$A$1:$I$89,3,0)*VLOOKUP('Données projet'!$B$10,Paramètres!$A$1:$I$89,5,0)</f>
        <v>1.5850391202371266</v>
      </c>
      <c r="AK6" s="14">
        <f t="shared" si="35"/>
        <v>0.69232082604846479</v>
      </c>
      <c r="AL6" s="22">
        <f t="shared" si="4"/>
        <v>3.966401906447405</v>
      </c>
      <c r="AM6" s="60">
        <f t="shared" si="5"/>
        <v>207.32894037972201</v>
      </c>
      <c r="AN6" s="60">
        <f ca="1">AVERAGE(OFFSET($AM$3,0,0,'Données projet'!$E$10+1,1))-AVERAGE(OFFSET($H$3,0,0,'Données projet'!$E$10+1,1))</f>
        <v>456.86058467343139</v>
      </c>
      <c r="AO6" s="60">
        <f t="shared" si="36"/>
        <v>243.88495931574937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54.462510492711253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2.0085470085470085</v>
      </c>
      <c r="BD6" s="13">
        <f>IF('Données projet'!$A$88&gt;35,BD5+BC6-BL5,IF(A6&lt;'Données projet'!$A$88,$BA$205^A6,IF(A6='Données projet'!$A$88,'Données projet'!$B$88,BD5+BC6-BL5)))</f>
        <v>1.9760350876772761</v>
      </c>
      <c r="BE6" s="14">
        <f>BD6*VLOOKUP('Données projet'!$B$11,Paramètres!$A$1:$I$89,3,0)*VLOOKUP('Données projet'!$B$11,Paramètres!$A$1:$I$89,5,0)</f>
        <v>2.0653518736402892</v>
      </c>
      <c r="BF6" s="14">
        <f t="shared" si="37"/>
        <v>0.87474367330306557</v>
      </c>
      <c r="BG6" s="22">
        <f t="shared" si="7"/>
        <v>5.1206664109263427</v>
      </c>
      <c r="BH6" s="60">
        <f t="shared" si="8"/>
        <v>208.48320488420094</v>
      </c>
      <c r="BI6" s="60">
        <f ca="1">AVERAGE(OFFSET($BH$3,0,0,'Données projet'!$E$11+1,1))-AVERAGE(OFFSET($H$3,0,0,'Données projet'!$E$11+1,1))</f>
        <v>518.47226207416952</v>
      </c>
      <c r="BJ6" s="60">
        <f t="shared" si="38"/>
        <v>314.6379787306804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54.462510492711253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2.1</v>
      </c>
      <c r="BY6" s="13">
        <f>IF('Données projet'!$A$114&gt;35,BY5+BX6-CG5,IF(A6&lt;'Données projet'!$A$114,$BV$205^A6,IF(A6='Données projet'!$A$114,'Données projet'!$B$114,BY5+BX6-CG5)))</f>
        <v>1.7518115829322798</v>
      </c>
      <c r="BZ6" s="14">
        <f>BY6*VLOOKUP('Données projet'!$B$12,Paramètres!$A$1:$I$89,3,0)*VLOOKUP('Données projet'!$B$12,Paramètres!$A$1:$I$89,5,0)</f>
        <v>1.885649987868306</v>
      </c>
      <c r="CA6" s="14">
        <f t="shared" si="39"/>
        <v>0.8071411281590839</v>
      </c>
      <c r="CB6" s="22">
        <f t="shared" si="10"/>
        <v>4.6899445270810372</v>
      </c>
      <c r="CC6" s="60">
        <f t="shared" si="11"/>
        <v>208.05248300035564</v>
      </c>
      <c r="CD6" s="60">
        <f ca="1">AVERAGE(OFFSET($CC$3,0,0,'Données projet'!$E$12+1,1))-AVERAGE(OFFSET($H$3,0,0,'Données projet'!$E$12+1,1))</f>
        <v>530.32456073177104</v>
      </c>
      <c r="CE6" s="60">
        <f t="shared" si="40"/>
        <v>279.81519428470625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54.462510492711253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2.4933333333333332</v>
      </c>
      <c r="CT6" s="13">
        <f>IF('Données projet'!$A$140&gt;35,CT5+CS6-DB5,IF(A6&lt;'Données projet'!$A$140,$CQ$205^A6,IF(A6='Données projet'!$A$140,'Données projet'!$B$140,CT5+CS6-DB5)))</f>
        <v>2.0633567375583337</v>
      </c>
      <c r="CU6" s="18">
        <f>CT6*VLOOKUP('Données projet'!$B$13,Paramètres!$A$1:$I$89,3,0)*VLOOKUP('Données projet'!$B$13,Paramètres!$A$1:$I$89,5,0)</f>
        <v>1.8025484459309604</v>
      </c>
      <c r="CV6" s="14">
        <f t="shared" si="41"/>
        <v>0.77562852070138621</v>
      </c>
      <c r="CW6" s="22">
        <f t="shared" si="13"/>
        <v>4.4903248835513372</v>
      </c>
      <c r="CX6" s="60">
        <f t="shared" si="14"/>
        <v>207.85286335682594</v>
      </c>
      <c r="CY6" s="60">
        <f ca="1">AVERAGE(OFFSET($CX$3,0,0,'Données projet'!$E$13+1,1))-AVERAGE(OFFSET($H$3,0,0,'Données projet'!$E$13+1,1))</f>
        <v>355.03862261578701</v>
      </c>
      <c r="CZ6" s="60">
        <f t="shared" si="42"/>
        <v>382.84441399266029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54.462510492711253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2.6666666666666665</v>
      </c>
      <c r="DO6" s="13">
        <f>IF('Données projet'!$A$166&gt;35,DO5+DN6-DW5,IF(A6&lt;'Données projet'!$A$166,$DL$205^A6,IF(A6='Données projet'!$A$166,'Données projet'!$B$166,DO5+DN6-DW5)))</f>
        <v>2.0912791051825459</v>
      </c>
      <c r="DP6" s="18">
        <f>DO6*VLOOKUP('Données projet'!$B$14,Paramètres!$A$1:$I$89,3,0)*VLOOKUP('Données projet'!$B$14,Paramètres!$A$1:$I$89,5,0)</f>
        <v>1.6311977020423858</v>
      </c>
      <c r="DQ6" s="14">
        <f t="shared" si="43"/>
        <v>0.71010553443370616</v>
      </c>
      <c r="DR6" s="22">
        <f t="shared" si="16"/>
        <v>4.0777698035291934</v>
      </c>
      <c r="DS6" s="60">
        <f t="shared" si="17"/>
        <v>207.44030827680382</v>
      </c>
      <c r="DT6" s="60">
        <f ca="1">AVERAGE(OFFSET($DS$3,0,0,'Données projet'!$E$14+1,1))-AVERAGE(OFFSET($H$3,0,0,'Données projet'!$E$14+1,1))</f>
        <v>305.68891030516761</v>
      </c>
      <c r="DU6" s="60">
        <f t="shared" si="44"/>
        <v>296.00275062228275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54.462510492711253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2.1</v>
      </c>
      <c r="EJ6" s="13">
        <f>IF('Données projet'!$A$192&gt;35,EJ5+EI6-ER5,IF(A6&lt;'Données projet'!$A$192,$EG$205^A6,IF(A6='Données projet'!$A$192,'Données projet'!$B$192,EJ5+EI6-ER5)))</f>
        <v>1.7518115829322798</v>
      </c>
      <c r="EK6" s="18">
        <f>EJ6*VLOOKUP('Données projet'!$B$15,Paramètres!$A$1:$I$89,3,0)*VLOOKUP('Données projet'!$B$15,Paramètres!$A$1:$I$89,5,0)</f>
        <v>1.694352163012101</v>
      </c>
      <c r="EL6" s="14">
        <f t="shared" si="45"/>
        <v>0.73434428233124405</v>
      </c>
      <c r="EM6" s="22">
        <f t="shared" si="19"/>
        <v>4.2299796423063247</v>
      </c>
      <c r="EN6" s="60">
        <f t="shared" si="20"/>
        <v>207.59251811558093</v>
      </c>
      <c r="EO6" s="60">
        <f ca="1">AVERAGE(OFFSET($EN$3,0,0,'Données projet'!$E$15+1,1))-AVERAGE(OFFSET($H$3,0,0,'Données projet'!$E$15+1,1))</f>
        <v>483.60545605360528</v>
      </c>
      <c r="EP6" s="60">
        <f t="shared" si="46"/>
        <v>256.96685577560345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54.462510492711253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0" t="e">
        <f t="shared" si="23"/>
        <v>#N/A</v>
      </c>
      <c r="FJ6" s="60" t="e">
        <f ca="1">AVERAGE(OFFSET($FI$3,0,0,'Données projet'!$E$16+1,1))-AVERAGE(OFFSET($H$3,0,0,'Données projet'!$E$16+1,1))</f>
        <v>#N/A</v>
      </c>
      <c r="FK6" s="60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54.462510492711253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0" t="e">
        <f t="shared" si="26"/>
        <v>#N/A</v>
      </c>
      <c r="GE6" s="60" t="e">
        <f ca="1">AVERAGE(OFFSET($GD$3,0,0,'Données projet'!$E$17+1,1))-AVERAGE(OFFSET($H$3,0,0,'Données projet'!$E$17+1,1))</f>
        <v>#N/A</v>
      </c>
      <c r="GF6" s="60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54.462510492711253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4">
        <f>'Scénario référence'!$B$16*5+'Scénario référence'!$B$17*0+'Scénario référence'!$B$18*5</f>
        <v>3.2750000000000004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12.008333333333335</v>
      </c>
      <c r="H7" s="67">
        <f t="shared" si="1"/>
        <v>208.63333333333333</v>
      </c>
      <c r="I7" s="7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54.7320511990401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projet'!$B$9,Paramètres!$A$1:$I$89,3,0)*VLOOKUP('Données projet'!$B$9,Paramètres!$A$1:$I$89,5,0)</f>
        <v>2.1413507656762891</v>
      </c>
      <c r="P7" s="14">
        <f t="shared" si="33"/>
        <v>0.9031249003236328</v>
      </c>
      <c r="Q7" s="22">
        <f t="shared" si="2"/>
        <v>5.3024617849498643</v>
      </c>
      <c r="R7" s="60">
        <f t="shared" si="0"/>
        <v>210.87553840365243</v>
      </c>
      <c r="S7" s="60">
        <f ca="1">AVERAGE(OFFSET($R$3,0,0,'Données projet'!$E$9+1,1))-AVERAGE(OFFSET($H$3,0,0,'Données projet'!$E$9+1,1))</f>
        <v>503.64055031157477</v>
      </c>
      <c r="T7" s="60">
        <f t="shared" si="34"/>
        <v>266.76572540460842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54.7320511990401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IF('Données projet'!$A$62&gt;35,AI6+AH7-AQ6,IF(A7&lt;'Données projet'!$A$62,$AF$205^A7,IF(A7='Données projet'!$A$62,'Données projet'!$B$62,AI6+AH7-AQ6)))</f>
        <v>2.1117857649667546</v>
      </c>
      <c r="AJ7" s="14">
        <f>AI7*VLOOKUP('Données projet'!$B$10,Paramètres!$A$1:$I$89,3,0)*VLOOKUP('Données projet'!$B$10,Paramètres!$A$1:$I$89,5,0)</f>
        <v>1.9107437601419195</v>
      </c>
      <c r="AK7" s="14">
        <f t="shared" si="35"/>
        <v>0.81662477151702284</v>
      </c>
      <c r="AL7" s="22">
        <f t="shared" si="4"/>
        <v>4.7501668593059909</v>
      </c>
      <c r="AM7" s="60">
        <f t="shared" si="5"/>
        <v>210.32324347800855</v>
      </c>
      <c r="AN7" s="60">
        <f ca="1">AVERAGE(OFFSET($AM$3,0,0,'Données projet'!$E$10+1,1))-AVERAGE(OFFSET($H$3,0,0,'Données projet'!$E$10+1,1))</f>
        <v>456.86058467343139</v>
      </c>
      <c r="AO7" s="60">
        <f t="shared" si="36"/>
        <v>243.88495931574937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54.7320511990401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2.0085470085470085</v>
      </c>
      <c r="BD7" s="13">
        <f>IF('Données projet'!$A$88&gt;35,BD6+BC7-BL6,IF(A7&lt;'Données projet'!$A$88,$BA$205^A7,IF(A7='Données projet'!$A$88,'Données projet'!$B$88,BD6+BC7-BL6)))</f>
        <v>2.4796641843030387</v>
      </c>
      <c r="BE7" s="14">
        <f>BD7*VLOOKUP('Données projet'!$B$11,Paramètres!$A$1:$I$89,3,0)*VLOOKUP('Données projet'!$B$11,Paramètres!$A$1:$I$89,5,0)</f>
        <v>2.5917450054335363</v>
      </c>
      <c r="BF7" s="14">
        <f t="shared" si="37"/>
        <v>1.069060282146026</v>
      </c>
      <c r="BG7" s="22">
        <f t="shared" si="7"/>
        <v>6.375902542534404</v>
      </c>
      <c r="BH7" s="60">
        <f t="shared" si="8"/>
        <v>211.94897916123696</v>
      </c>
      <c r="BI7" s="60">
        <f ca="1">AVERAGE(OFFSET($BH$3,0,0,'Données projet'!$E$11+1,1))-AVERAGE(OFFSET($H$3,0,0,'Données projet'!$E$11+1,1))</f>
        <v>518.47226207416952</v>
      </c>
      <c r="BJ7" s="60">
        <f t="shared" si="38"/>
        <v>314.6379787306804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54.7320511990401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2.1</v>
      </c>
      <c r="BY7" s="13">
        <f>IF('Données projet'!$A$114&gt;35,BY6+BX7-CG6,IF(A7&lt;'Données projet'!$A$114,$BV$205^A7,IF(A7='Données projet'!$A$114,'Données projet'!$B$114,BY6+BX7-CG6)))</f>
        <v>2.1117857649667546</v>
      </c>
      <c r="BZ7" s="14">
        <f>BY7*VLOOKUP('Données projet'!$B$12,Paramètres!$A$1:$I$89,3,0)*VLOOKUP('Données projet'!$B$12,Paramètres!$A$1:$I$89,5,0)</f>
        <v>2.2731261974102144</v>
      </c>
      <c r="CA7" s="14">
        <f t="shared" si="39"/>
        <v>0.95206068424520052</v>
      </c>
      <c r="CB7" s="22">
        <f t="shared" si="10"/>
        <v>5.617200485549847</v>
      </c>
      <c r="CC7" s="60">
        <f t="shared" si="11"/>
        <v>211.19027710425243</v>
      </c>
      <c r="CD7" s="60">
        <f ca="1">AVERAGE(OFFSET($CC$3,0,0,'Données projet'!$E$12+1,1))-AVERAGE(OFFSET($H$3,0,0,'Données projet'!$E$12+1,1))</f>
        <v>530.32456073177104</v>
      </c>
      <c r="CE7" s="60">
        <f t="shared" si="40"/>
        <v>279.81519428470625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54.7320511990401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2.4933333333333332</v>
      </c>
      <c r="CT7" s="13">
        <f>IF('Données projet'!$A$140&gt;35,CT6+CS7-DB6,IF(A7&lt;'Données projet'!$A$140,$CQ$205^A7,IF(A7='Données projet'!$A$140,'Données projet'!$B$140,CT6+CS7-DB6)))</f>
        <v>2.6268327805078595</v>
      </c>
      <c r="CU7" s="18">
        <f>CT7*VLOOKUP('Données projet'!$B$13,Paramètres!$A$1:$I$89,3,0)*VLOOKUP('Données projet'!$B$13,Paramètres!$A$1:$I$89,5,0)</f>
        <v>2.2948011170516667</v>
      </c>
      <c r="CV7" s="14">
        <f t="shared" si="41"/>
        <v>0.96007772438938166</v>
      </c>
      <c r="CW7" s="22">
        <f t="shared" si="13"/>
        <v>5.6689139821764911</v>
      </c>
      <c r="CX7" s="60">
        <f t="shared" si="14"/>
        <v>211.24199060087906</v>
      </c>
      <c r="CY7" s="60">
        <f ca="1">AVERAGE(OFFSET($CX$3,0,0,'Données projet'!$E$13+1,1))-AVERAGE(OFFSET($H$3,0,0,'Données projet'!$E$13+1,1))</f>
        <v>355.03862261578701</v>
      </c>
      <c r="CZ7" s="60">
        <f t="shared" si="42"/>
        <v>382.84441399266029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54.7320511990401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2.6666666666666665</v>
      </c>
      <c r="DO7" s="13">
        <f>IF('Données projet'!$A$166&gt;35,DO6+DN7-DW6,IF(A7&lt;'Données projet'!$A$166,$DL$205^A7,IF(A7='Données projet'!$A$166,'Données projet'!$B$166,DO6+DN7-DW6)))</f>
        <v>2.6743361672197152</v>
      </c>
      <c r="DP7" s="18">
        <f>DO7*VLOOKUP('Données projet'!$B$14,Paramètres!$A$1:$I$89,3,0)*VLOOKUP('Données projet'!$B$14,Paramètres!$A$1:$I$89,5,0)</f>
        <v>2.0859822104313781</v>
      </c>
      <c r="DQ7" s="14">
        <f t="shared" si="43"/>
        <v>0.88245976121767966</v>
      </c>
      <c r="DR7" s="22">
        <f t="shared" si="16"/>
        <v>5.1700364339554419</v>
      </c>
      <c r="DS7" s="60">
        <f t="shared" si="17"/>
        <v>210.743113052658</v>
      </c>
      <c r="DT7" s="60">
        <f ca="1">AVERAGE(OFFSET($DS$3,0,0,'Données projet'!$E$14+1,1))-AVERAGE(OFFSET($H$3,0,0,'Données projet'!$E$14+1,1))</f>
        <v>305.68891030516761</v>
      </c>
      <c r="DU7" s="60">
        <f t="shared" si="44"/>
        <v>296.00275062228275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54.7320511990401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2.1</v>
      </c>
      <c r="EJ7" s="13">
        <f>IF('Données projet'!$A$192&gt;35,EJ6+EI7-ER6,IF(A7&lt;'Données projet'!$A$192,$EG$205^A7,IF(A7='Données projet'!$A$192,'Données projet'!$B$192,EJ6+EI7-ER6)))</f>
        <v>2.1117857649667546</v>
      </c>
      <c r="EK7" s="18">
        <f>EJ7*VLOOKUP('Données projet'!$B$15,Paramètres!$A$1:$I$89,3,0)*VLOOKUP('Données projet'!$B$15,Paramètres!$A$1:$I$89,5,0)</f>
        <v>2.042519191875845</v>
      </c>
      <c r="EL7" s="14">
        <f t="shared" si="45"/>
        <v>0.86619340226463792</v>
      </c>
      <c r="EM7" s="22">
        <f t="shared" si="19"/>
        <v>5.0660077681280073</v>
      </c>
      <c r="EN7" s="60">
        <f t="shared" si="20"/>
        <v>210.63908438683058</v>
      </c>
      <c r="EO7" s="60">
        <f ca="1">AVERAGE(OFFSET($EN$3,0,0,'Données projet'!$E$15+1,1))-AVERAGE(OFFSET($H$3,0,0,'Données projet'!$E$15+1,1))</f>
        <v>483.60545605360528</v>
      </c>
      <c r="EP7" s="60">
        <f t="shared" si="46"/>
        <v>256.96685577560345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54.7320511990401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0" t="e">
        <f t="shared" si="23"/>
        <v>#N/A</v>
      </c>
      <c r="FJ7" s="60" t="e">
        <f ca="1">AVERAGE(OFFSET($FI$3,0,0,'Données projet'!$E$16+1,1))-AVERAGE(OFFSET($H$3,0,0,'Données projet'!$E$16+1,1))</f>
        <v>#N/A</v>
      </c>
      <c r="FK7" s="60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54.7320511990401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0" t="e">
        <f t="shared" si="26"/>
        <v>#N/A</v>
      </c>
      <c r="GE7" s="60" t="e">
        <f ca="1">AVERAGE(OFFSET($GD$3,0,0,'Données projet'!$E$17+1,1))-AVERAGE(OFFSET($H$3,0,0,'Données projet'!$E$17+1,1))</f>
        <v>#N/A</v>
      </c>
      <c r="GF7" s="60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54.7320511990401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4">
        <f>'Scénario référence'!$B$16*5+'Scénario référence'!$B$17*0+'Scénario référence'!$B$18*5</f>
        <v>3.2750000000000004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12.008333333333335</v>
      </c>
      <c r="H8" s="67">
        <f t="shared" si="1"/>
        <v>208.63333333333333</v>
      </c>
      <c r="I8" s="7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54.996915976716878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projet'!$B$9,Paramètres!$A$1:$I$89,3,0)*VLOOKUP('Données projet'!$B$9,Paramètres!$A$1:$I$89,5,0)</f>
        <v>2.5813701135521372</v>
      </c>
      <c r="P8" s="14">
        <f t="shared" si="33"/>
        <v>1.0652780295337991</v>
      </c>
      <c r="Q8" s="22">
        <f t="shared" si="2"/>
        <v>6.3512455158746723</v>
      </c>
      <c r="R8" s="60">
        <f t="shared" si="0"/>
        <v>214.11771520828097</v>
      </c>
      <c r="S8" s="60">
        <f ca="1">AVERAGE(OFFSET($R$3,0,0,'Données projet'!$E$9+1,1))-AVERAGE(OFFSET($H$3,0,0,'Données projet'!$E$9+1,1))</f>
        <v>503.64055031157477</v>
      </c>
      <c r="T8" s="60">
        <f t="shared" si="34"/>
        <v>266.76572540460842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54.996915976716878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IF('Données projet'!$A$62&gt;35,AI7+AH8-AQ7,IF(A8&lt;'Données projet'!$A$62,$AF$205^A8,IF(A8='Données projet'!$A$62,'Données projet'!$B$62,AI7+AH8-AQ7)))</f>
        <v>2.5457298950218314</v>
      </c>
      <c r="AJ8" s="14">
        <f>AI8*VLOOKUP('Données projet'!$B$10,Paramètres!$A$1:$I$89,3,0)*VLOOKUP('Données projet'!$B$10,Paramètres!$A$1:$I$89,5,0)</f>
        <v>2.3033764090157529</v>
      </c>
      <c r="AK8" s="14">
        <f t="shared" si="35"/>
        <v>0.96324708482559218</v>
      </c>
      <c r="AL8" s="22">
        <f t="shared" si="4"/>
        <v>5.6893692517736758</v>
      </c>
      <c r="AM8" s="60">
        <f t="shared" si="5"/>
        <v>213.45583894417999</v>
      </c>
      <c r="AN8" s="60">
        <f ca="1">AVERAGE(OFFSET($AM$3,0,0,'Données projet'!$E$10+1,1))-AVERAGE(OFFSET($H$3,0,0,'Données projet'!$E$10+1,1))</f>
        <v>456.86058467343139</v>
      </c>
      <c r="AO8" s="60">
        <f t="shared" si="36"/>
        <v>243.88495931574937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54.996915976716878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2.0085470085470085</v>
      </c>
      <c r="BD8" s="13">
        <f>IF('Données projet'!$A$88&gt;35,BD7+BC8-BL7,IF(A8&lt;'Données projet'!$A$88,$BA$205^A8,IF(A8='Données projet'!$A$88,'Données projet'!$B$88,BD7+BC8-BL7)))</f>
        <v>3.1116524728023753</v>
      </c>
      <c r="BE8" s="14">
        <f>BD8*VLOOKUP('Données projet'!$B$11,Paramètres!$A$1:$I$89,3,0)*VLOOKUP('Données projet'!$B$11,Paramètres!$A$1:$I$89,5,0)</f>
        <v>3.2522991645730426</v>
      </c>
      <c r="BF8" s="14">
        <f t="shared" si="37"/>
        <v>1.3065426155602187</v>
      </c>
      <c r="BG8" s="22">
        <f t="shared" si="7"/>
        <v>7.9399827670654304</v>
      </c>
      <c r="BH8" s="60">
        <f t="shared" si="8"/>
        <v>215.70645245947173</v>
      </c>
      <c r="BI8" s="60">
        <f ca="1">AVERAGE(OFFSET($BH$3,0,0,'Données projet'!$E$11+1,1))-AVERAGE(OFFSET($H$3,0,0,'Données projet'!$E$11+1,1))</f>
        <v>518.47226207416952</v>
      </c>
      <c r="BJ8" s="60">
        <f t="shared" si="38"/>
        <v>314.6379787306804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54.996915976716878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2.1</v>
      </c>
      <c r="BY8" s="13">
        <f>IF('Données projet'!$A$114&gt;35,BY7+BX8-CG7,IF(A8&lt;'Données projet'!$A$114,$BV$205^A8,IF(A8='Données projet'!$A$114,'Données projet'!$B$114,BY7+BX8-CG7)))</f>
        <v>2.5457298950218314</v>
      </c>
      <c r="BZ8" s="14">
        <f>BY8*VLOOKUP('Données projet'!$B$12,Paramètres!$A$1:$I$89,3,0)*VLOOKUP('Données projet'!$B$12,Paramètres!$A$1:$I$89,5,0)</f>
        <v>2.740223659001499</v>
      </c>
      <c r="CA8" s="14">
        <f t="shared" si="39"/>
        <v>1.1230000737947632</v>
      </c>
      <c r="CB8" s="22">
        <f t="shared" si="10"/>
        <v>6.7284480012868242</v>
      </c>
      <c r="CC8" s="60">
        <f t="shared" si="11"/>
        <v>214.49491769369314</v>
      </c>
      <c r="CD8" s="60">
        <f ca="1">AVERAGE(OFFSET($CC$3,0,0,'Données projet'!$E$12+1,1))-AVERAGE(OFFSET($H$3,0,0,'Données projet'!$E$12+1,1))</f>
        <v>530.32456073177104</v>
      </c>
      <c r="CE8" s="60">
        <f t="shared" si="40"/>
        <v>279.81519428470625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54.996915976716878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2.4933333333333332</v>
      </c>
      <c r="CT8" s="13">
        <f>IF('Données projet'!$A$140&gt;35,CT7+CS8-DB7,IF(A8&lt;'Données projet'!$A$140,$CQ$205^A8,IF(A8='Données projet'!$A$140,'Données projet'!$B$140,CT7+CS8-DB7)))</f>
        <v>3.3441868442565297</v>
      </c>
      <c r="CU8" s="18">
        <f>CT8*VLOOKUP('Données projet'!$B$13,Paramètres!$A$1:$I$89,3,0)*VLOOKUP('Données projet'!$B$13,Paramètres!$A$1:$I$89,5,0)</f>
        <v>2.9214816271425046</v>
      </c>
      <c r="CV8" s="14">
        <f t="shared" si="41"/>
        <v>1.1883900762637927</v>
      </c>
      <c r="CW8" s="22">
        <f t="shared" si="13"/>
        <v>7.1580265500992999</v>
      </c>
      <c r="CX8" s="60">
        <f t="shared" si="14"/>
        <v>214.9244962425056</v>
      </c>
      <c r="CY8" s="60">
        <f ca="1">AVERAGE(OFFSET($CX$3,0,0,'Données projet'!$E$13+1,1))-AVERAGE(OFFSET($H$3,0,0,'Données projet'!$E$13+1,1))</f>
        <v>355.03862261578701</v>
      </c>
      <c r="CZ8" s="60">
        <f t="shared" si="42"/>
        <v>382.84441399266029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54.996915976716878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2.6666666666666665</v>
      </c>
      <c r="DO8" s="13">
        <f>IF('Données projet'!$A$166&gt;35,DO7+DN8-DW7,IF(A8&lt;'Données projet'!$A$166,$DL$205^A8,IF(A8='Données projet'!$A$166,'Données projet'!$B$166,DO7+DN8-DW7)))</f>
        <v>3.4199518933533928</v>
      </c>
      <c r="DP8" s="18">
        <f>DO8*VLOOKUP('Données projet'!$B$14,Paramètres!$A$1:$I$89,3,0)*VLOOKUP('Données projet'!$B$14,Paramètres!$A$1:$I$89,5,0)</f>
        <v>2.6675624768156463</v>
      </c>
      <c r="DQ8" s="14">
        <f t="shared" si="43"/>
        <v>1.0966471776471767</v>
      </c>
      <c r="DR8" s="22">
        <f t="shared" si="16"/>
        <v>6.5559984815227494</v>
      </c>
      <c r="DS8" s="60">
        <f t="shared" si="17"/>
        <v>214.32246817392905</v>
      </c>
      <c r="DT8" s="60">
        <f ca="1">AVERAGE(OFFSET($DS$3,0,0,'Données projet'!$E$14+1,1))-AVERAGE(OFFSET($H$3,0,0,'Données projet'!$E$14+1,1))</f>
        <v>305.68891030516761</v>
      </c>
      <c r="DU8" s="60">
        <f t="shared" si="44"/>
        <v>296.00275062228275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54.996915976716878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2.1</v>
      </c>
      <c r="EJ8" s="13">
        <f>IF('Données projet'!$A$192&gt;35,EJ7+EI8-ER7,IF(A8&lt;'Données projet'!$A$192,$EG$205^A8,IF(A8='Données projet'!$A$192,'Données projet'!$B$192,EJ7+EI8-ER7)))</f>
        <v>2.5457298950218314</v>
      </c>
      <c r="EK8" s="18">
        <f>EJ8*VLOOKUP('Données projet'!$B$15,Paramètres!$A$1:$I$89,3,0)*VLOOKUP('Données projet'!$B$15,Paramètres!$A$1:$I$89,5,0)</f>
        <v>2.4622299544651152</v>
      </c>
      <c r="EL8" s="14">
        <f t="shared" si="45"/>
        <v>1.021715601495419</v>
      </c>
      <c r="EM8" s="22">
        <f t="shared" si="19"/>
        <v>6.0678718432979295</v>
      </c>
      <c r="EN8" s="60">
        <f t="shared" si="20"/>
        <v>213.83434153570423</v>
      </c>
      <c r="EO8" s="60">
        <f ca="1">AVERAGE(OFFSET($EN$3,0,0,'Données projet'!$E$15+1,1))-AVERAGE(OFFSET($H$3,0,0,'Données projet'!$E$15+1,1))</f>
        <v>483.60545605360528</v>
      </c>
      <c r="EP8" s="60">
        <f t="shared" si="46"/>
        <v>256.96685577560345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54.996915976716878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0" t="e">
        <f t="shared" si="23"/>
        <v>#N/A</v>
      </c>
      <c r="FJ8" s="60" t="e">
        <f ca="1">AVERAGE(OFFSET($FI$3,0,0,'Données projet'!$E$16+1,1))-AVERAGE(OFFSET($H$3,0,0,'Données projet'!$E$16+1,1))</f>
        <v>#N/A</v>
      </c>
      <c r="FK8" s="60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54.996915976716878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0" t="e">
        <f t="shared" si="26"/>
        <v>#N/A</v>
      </c>
      <c r="GE8" s="60" t="e">
        <f ca="1">AVERAGE(OFFSET($GD$3,0,0,'Données projet'!$E$17+1,1))-AVERAGE(OFFSET($H$3,0,0,'Données projet'!$E$17+1,1))</f>
        <v>#N/A</v>
      </c>
      <c r="GF8" s="60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54.996915976716878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4">
        <f>'Scénario référence'!$B$16*5+'Scénario référence'!$B$17*0+'Scénario référence'!$B$18*5</f>
        <v>3.2750000000000004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12.008333333333335</v>
      </c>
      <c r="H9" s="67">
        <f t="shared" si="1"/>
        <v>208.63333333333333</v>
      </c>
      <c r="I9" s="7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55.257185942649897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projet'!$B$9,Paramètres!$A$1:$I$89,3,0)*VLOOKUP('Données projet'!$B$9,Paramètres!$A$1:$I$89,5,0)</f>
        <v>3.111807635605039</v>
      </c>
      <c r="P9" s="14">
        <f t="shared" si="33"/>
        <v>1.2565452240335246</v>
      </c>
      <c r="Q9" s="22">
        <f t="shared" si="2"/>
        <v>7.6082145638704972</v>
      </c>
      <c r="R9" s="60">
        <f t="shared" si="0"/>
        <v>217.5512296869201</v>
      </c>
      <c r="S9" s="60">
        <f ca="1">AVERAGE(OFFSET($R$3,0,0,'Données projet'!$E$9+1,1))-AVERAGE(OFFSET($H$3,0,0,'Données projet'!$E$9+1,1))</f>
        <v>503.64055031157477</v>
      </c>
      <c r="T9" s="60">
        <f t="shared" si="34"/>
        <v>266.76572540460842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55.257185942649897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IF('Données projet'!$A$62&gt;35,AI8+AH9-AQ8,IF(A9&lt;'Données projet'!$A$62,$AF$205^A9,IF(A9='Données projet'!$A$62,'Données projet'!$B$62,AI8+AH9-AQ8)))</f>
        <v>3.0688438220956993</v>
      </c>
      <c r="AJ9" s="14">
        <f>AI9*VLOOKUP('Données projet'!$B$10,Paramètres!$A$1:$I$89,3,0)*VLOOKUP('Données projet'!$B$10,Paramètres!$A$1:$I$89,5,0)</f>
        <v>2.7766898902321886</v>
      </c>
      <c r="AK9" s="14">
        <f t="shared" si="35"/>
        <v>1.1361949561012803</v>
      </c>
      <c r="AL9" s="22">
        <f t="shared" si="4"/>
        <v>6.8149411073641248</v>
      </c>
      <c r="AM9" s="60">
        <f t="shared" si="5"/>
        <v>216.75795623041373</v>
      </c>
      <c r="AN9" s="60">
        <f ca="1">AVERAGE(OFFSET($AM$3,0,0,'Données projet'!$E$10+1,1))-AVERAGE(OFFSET($H$3,0,0,'Données projet'!$E$10+1,1))</f>
        <v>456.86058467343139</v>
      </c>
      <c r="AO9" s="60">
        <f t="shared" si="36"/>
        <v>243.88495931574937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55.257185942649897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2.0085470085470085</v>
      </c>
      <c r="BD9" s="13">
        <f>IF('Données projet'!$A$88&gt;35,BD8+BC9-BL8,IF(A9&lt;'Données projet'!$A$88,$BA$205^A9,IF(A9='Données projet'!$A$88,'Données projet'!$B$88,BD8+BC9-BL8)))</f>
        <v>3.9047146677317404</v>
      </c>
      <c r="BE9" s="14">
        <f>BD9*VLOOKUP('Données projet'!$B$11,Paramètres!$A$1:$I$89,3,0)*VLOOKUP('Données projet'!$B$11,Paramètres!$A$1:$I$89,5,0)</f>
        <v>4.0812077707132151</v>
      </c>
      <c r="BF9" s="14">
        <f t="shared" si="37"/>
        <v>1.5967795593792025</v>
      </c>
      <c r="BG9" s="22">
        <f t="shared" si="7"/>
        <v>9.8891612665776254</v>
      </c>
      <c r="BH9" s="60">
        <f t="shared" si="8"/>
        <v>219.83217638962722</v>
      </c>
      <c r="BI9" s="60">
        <f ca="1">AVERAGE(OFFSET($BH$3,0,0,'Données projet'!$E$11+1,1))-AVERAGE(OFFSET($H$3,0,0,'Données projet'!$E$11+1,1))</f>
        <v>518.47226207416952</v>
      </c>
      <c r="BJ9" s="60">
        <f t="shared" si="38"/>
        <v>314.6379787306804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55.257185942649897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2.1</v>
      </c>
      <c r="BY9" s="13">
        <f>IF('Données projet'!$A$114&gt;35,BY8+BX9-CG8,IF(A9&lt;'Données projet'!$A$114,$BV$205^A9,IF(A9='Données projet'!$A$114,'Données projet'!$B$114,BY8+BX9-CG8)))</f>
        <v>3.0688438220956993</v>
      </c>
      <c r="BZ9" s="14">
        <f>BY9*VLOOKUP('Données projet'!$B$12,Paramètres!$A$1:$I$89,3,0)*VLOOKUP('Données projet'!$B$12,Paramètres!$A$1:$I$89,5,0)</f>
        <v>3.3033034901038101</v>
      </c>
      <c r="CA9" s="14">
        <f t="shared" si="39"/>
        <v>1.3246310730107231</v>
      </c>
      <c r="CB9" s="22">
        <f t="shared" si="10"/>
        <v>8.0603193640911446</v>
      </c>
      <c r="CC9" s="60">
        <f t="shared" si="11"/>
        <v>218.00333448714076</v>
      </c>
      <c r="CD9" s="60">
        <f ca="1">AVERAGE(OFFSET($CC$3,0,0,'Données projet'!$E$12+1,1))-AVERAGE(OFFSET($H$3,0,0,'Données projet'!$E$12+1,1))</f>
        <v>530.32456073177104</v>
      </c>
      <c r="CE9" s="60">
        <f t="shared" si="40"/>
        <v>279.81519428470625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55.257185942649897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2.4933333333333332</v>
      </c>
      <c r="CT9" s="13">
        <f>IF('Données projet'!$A$140&gt;35,CT8+CS9-DB8,IF(A9&lt;'Données projet'!$A$140,$CQ$205^A9,IF(A9='Données projet'!$A$140,'Données projet'!$B$140,CT8+CS9-DB8)))</f>
        <v>4.2574410264273705</v>
      </c>
      <c r="CU9" s="18">
        <f>CT9*VLOOKUP('Données projet'!$B$13,Paramètres!$A$1:$I$89,3,0)*VLOOKUP('Données projet'!$B$13,Paramètres!$A$1:$I$89,5,0)</f>
        <v>3.7193004806869516</v>
      </c>
      <c r="CV9" s="14">
        <f t="shared" si="41"/>
        <v>1.4709965011014925</v>
      </c>
      <c r="CW9" s="22">
        <f t="shared" si="13"/>
        <v>9.0397672432815401</v>
      </c>
      <c r="CX9" s="60">
        <f t="shared" si="14"/>
        <v>218.98278236633115</v>
      </c>
      <c r="CY9" s="60">
        <f ca="1">AVERAGE(OFFSET($CX$3,0,0,'Données projet'!$E$13+1,1))-AVERAGE(OFFSET($H$3,0,0,'Données projet'!$E$13+1,1))</f>
        <v>355.03862261578701</v>
      </c>
      <c r="CZ9" s="60">
        <f t="shared" si="42"/>
        <v>382.84441399266029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55.257185942649897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2.6666666666666665</v>
      </c>
      <c r="DO9" s="13">
        <f>IF('Données projet'!$A$166&gt;35,DO8+DN9-DW8,IF(A9&lt;'Données projet'!$A$166,$DL$205^A9,IF(A9='Données projet'!$A$166,'Données projet'!$B$166,DO8+DN9-DW8)))</f>
        <v>4.3734482957731098</v>
      </c>
      <c r="DP9" s="18">
        <f>DO9*VLOOKUP('Données projet'!$B$14,Paramètres!$A$1:$I$89,3,0)*VLOOKUP('Données projet'!$B$14,Paramètres!$A$1:$I$89,5,0)</f>
        <v>3.4112896707030256</v>
      </c>
      <c r="DQ9" s="14">
        <f t="shared" si="43"/>
        <v>1.3628213830192535</v>
      </c>
      <c r="DR9" s="22">
        <f t="shared" si="16"/>
        <v>8.3149100852329703</v>
      </c>
      <c r="DS9" s="60">
        <f t="shared" si="17"/>
        <v>218.25792520828259</v>
      </c>
      <c r="DT9" s="60">
        <f ca="1">AVERAGE(OFFSET($DS$3,0,0,'Données projet'!$E$14+1,1))-AVERAGE(OFFSET($H$3,0,0,'Données projet'!$E$14+1,1))</f>
        <v>305.68891030516761</v>
      </c>
      <c r="DU9" s="60">
        <f t="shared" si="44"/>
        <v>296.00275062228275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55.257185942649897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2.1</v>
      </c>
      <c r="EJ9" s="13">
        <f>IF('Données projet'!$A$192&gt;35,EJ8+EI9-ER8,IF(A9&lt;'Données projet'!$A$192,$EG$205^A9,IF(A9='Données projet'!$A$192,'Données projet'!$B$192,EJ8+EI9-ER8)))</f>
        <v>3.0688438220956993</v>
      </c>
      <c r="EK9" s="18">
        <f>EJ9*VLOOKUP('Données projet'!$B$15,Paramètres!$A$1:$I$89,3,0)*VLOOKUP('Données projet'!$B$15,Paramètres!$A$1:$I$89,5,0)</f>
        <v>2.9681857447309605</v>
      </c>
      <c r="EL9" s="14">
        <f t="shared" si="45"/>
        <v>1.2051613041728233</v>
      </c>
      <c r="EM9" s="22">
        <f t="shared" si="19"/>
        <v>7.2685794435074236</v>
      </c>
      <c r="EN9" s="60">
        <f t="shared" si="20"/>
        <v>217.21159456655704</v>
      </c>
      <c r="EO9" s="60">
        <f ca="1">AVERAGE(OFFSET($EN$3,0,0,'Données projet'!$E$15+1,1))-AVERAGE(OFFSET($H$3,0,0,'Données projet'!$E$15+1,1))</f>
        <v>483.60545605360528</v>
      </c>
      <c r="EP9" s="60">
        <f t="shared" si="46"/>
        <v>256.96685577560345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55.257185942649897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0" t="e">
        <f t="shared" si="23"/>
        <v>#N/A</v>
      </c>
      <c r="FJ9" s="60" t="e">
        <f ca="1">AVERAGE(OFFSET($FI$3,0,0,'Données projet'!$E$16+1,1))-AVERAGE(OFFSET($H$3,0,0,'Données projet'!$E$16+1,1))</f>
        <v>#N/A</v>
      </c>
      <c r="FK9" s="60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55.257185942649897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0" t="e">
        <f t="shared" si="26"/>
        <v>#N/A</v>
      </c>
      <c r="GE9" s="60" t="e">
        <f ca="1">AVERAGE(OFFSET($GD$3,0,0,'Données projet'!$E$17+1,1))-AVERAGE(OFFSET($H$3,0,0,'Données projet'!$E$17+1,1))</f>
        <v>#N/A</v>
      </c>
      <c r="GF9" s="60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55.257185942649897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4">
        <f>'Scénario référence'!$B$16*5+'Scénario référence'!$B$17*0+'Scénario référence'!$B$18*5</f>
        <v>3.2750000000000004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12.008333333333335</v>
      </c>
      <c r="H10" s="67">
        <f t="shared" si="1"/>
        <v>208.63333333333333</v>
      </c>
      <c r="I10" s="7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55.512940806550461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projet'!$B$9,Paramètres!$A$1:$I$89,3,0)*VLOOKUP('Données projet'!$B$9,Paramètres!$A$1:$I$89,5,0)</f>
        <v>3.7512430744326299</v>
      </c>
      <c r="P10" s="14">
        <f t="shared" si="33"/>
        <v>1.4821538192545303</v>
      </c>
      <c r="Q10" s="22">
        <f t="shared" si="2"/>
        <v>9.1148329231718037</v>
      </c>
      <c r="R10" s="60">
        <f t="shared" si="0"/>
        <v>221.2178381027457</v>
      </c>
      <c r="S10" s="60">
        <f ca="1">AVERAGE(OFFSET($R$3,0,0,'Données projet'!$E$9+1,1))-AVERAGE(OFFSET($H$3,0,0,'Données projet'!$E$9+1,1))</f>
        <v>503.64055031157477</v>
      </c>
      <c r="T10" s="60">
        <f t="shared" si="34"/>
        <v>266.76572540460842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55.512940806550461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IF('Données projet'!$A$62&gt;35,AI9+AH10-AQ9,IF(A10&lt;'Données projet'!$A$62,$AF$205^A10,IF(A10='Données projet'!$A$62,'Données projet'!$B$62,AI9+AH10-AQ9)))</f>
        <v>3.6994507637402658</v>
      </c>
      <c r="AJ10" s="14">
        <f>AI10*VLOOKUP('Données projet'!$B$10,Paramètres!$A$1:$I$89,3,0)*VLOOKUP('Données projet'!$B$10,Paramètres!$A$1:$I$89,5,0)</f>
        <v>3.3472630510321921</v>
      </c>
      <c r="AK10" s="14">
        <f t="shared" si="35"/>
        <v>1.34019505338418</v>
      </c>
      <c r="AL10" s="22">
        <f t="shared" si="4"/>
        <v>8.1639895318585136</v>
      </c>
      <c r="AM10" s="60">
        <f t="shared" si="5"/>
        <v>220.2669947114324</v>
      </c>
      <c r="AN10" s="60">
        <f ca="1">AVERAGE(OFFSET($AM$3,0,0,'Données projet'!$E$10+1,1))-AVERAGE(OFFSET($H$3,0,0,'Données projet'!$E$10+1,1))</f>
        <v>456.86058467343139</v>
      </c>
      <c r="AO10" s="60">
        <f t="shared" si="36"/>
        <v>243.88495931574937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55.512940806550461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2.0085470085470085</v>
      </c>
      <c r="BD10" s="13">
        <f>IF('Données projet'!$A$88&gt;35,BD9+BC10-BL9,IF(A10&lt;'Données projet'!$A$88,$BA$205^A10,IF(A10='Données projet'!$A$88,'Données projet'!$B$88,BD9+BC10-BL9)))</f>
        <v>4.899903433839456</v>
      </c>
      <c r="BE10" s="14">
        <f>BD10*VLOOKUP('Données projet'!$B$11,Paramètres!$A$1:$I$89,3,0)*VLOOKUP('Données projet'!$B$11,Paramètres!$A$1:$I$89,5,0)</f>
        <v>5.1213790690489995</v>
      </c>
      <c r="BF10" s="14">
        <f t="shared" si="37"/>
        <v>1.9514900860374758</v>
      </c>
      <c r="BG10" s="22">
        <f t="shared" si="7"/>
        <v>12.318580445108942</v>
      </c>
      <c r="BH10" s="60">
        <f t="shared" si="8"/>
        <v>224.42158562468285</v>
      </c>
      <c r="BI10" s="60">
        <f ca="1">AVERAGE(OFFSET($BH$3,0,0,'Données projet'!$E$11+1,1))-AVERAGE(OFFSET($H$3,0,0,'Données projet'!$E$11+1,1))</f>
        <v>518.47226207416952</v>
      </c>
      <c r="BJ10" s="60">
        <f t="shared" si="38"/>
        <v>314.6379787306804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55.512940806550461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2.1</v>
      </c>
      <c r="BY10" s="13">
        <f>IF('Données projet'!$A$114&gt;35,BY9+BX10-CG9,IF(A10&lt;'Données projet'!$A$114,$BV$205^A10,IF(A10='Données projet'!$A$114,'Données projet'!$B$114,BY9+BX10-CG9)))</f>
        <v>3.6994507637402658</v>
      </c>
      <c r="BZ10" s="14">
        <f>BY10*VLOOKUP('Données projet'!$B$12,Paramètres!$A$1:$I$89,3,0)*VLOOKUP('Données projet'!$B$12,Paramètres!$A$1:$I$89,5,0)</f>
        <v>3.982088802090022</v>
      </c>
      <c r="CA10" s="14">
        <f t="shared" si="39"/>
        <v>1.5624642602705792</v>
      </c>
      <c r="CB10" s="22">
        <f t="shared" si="10"/>
        <v>9.6567632502780452</v>
      </c>
      <c r="CC10" s="60">
        <f t="shared" si="11"/>
        <v>221.75976842985193</v>
      </c>
      <c r="CD10" s="60">
        <f ca="1">AVERAGE(OFFSET($CC$3,0,0,'Données projet'!$E$12+1,1))-AVERAGE(OFFSET($H$3,0,0,'Données projet'!$E$12+1,1))</f>
        <v>530.32456073177104</v>
      </c>
      <c r="CE10" s="60">
        <f t="shared" si="40"/>
        <v>279.81519428470625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55.512940806550461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2.4933333333333332</v>
      </c>
      <c r="CT10" s="13">
        <f>IF('Données projet'!$A$140&gt;35,CT9+CS10-DB9,IF(A10&lt;'Données projet'!$A$140,$CQ$205^A10,IF(A10='Données projet'!$A$140,'Données projet'!$B$140,CT9+CS10-DB9)))</f>
        <v>5.4200931160999835</v>
      </c>
      <c r="CU10" s="18">
        <f>CT10*VLOOKUP('Données projet'!$B$13,Paramètres!$A$1:$I$89,3,0)*VLOOKUP('Données projet'!$B$13,Paramètres!$A$1:$I$89,5,0)</f>
        <v>4.7349933462249458</v>
      </c>
      <c r="CV10" s="14">
        <f t="shared" si="41"/>
        <v>1.8208084613561826</v>
      </c>
      <c r="CW10" s="22">
        <f t="shared" si="13"/>
        <v>11.418021481537131</v>
      </c>
      <c r="CX10" s="60">
        <f t="shared" si="14"/>
        <v>223.52102666111102</v>
      </c>
      <c r="CY10" s="60">
        <f ca="1">AVERAGE(OFFSET($CX$3,0,0,'Données projet'!$E$13+1,1))-AVERAGE(OFFSET($H$3,0,0,'Données projet'!$E$13+1,1))</f>
        <v>355.03862261578701</v>
      </c>
      <c r="CZ10" s="60">
        <f t="shared" si="42"/>
        <v>382.84441399266029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55.512940806550461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2.6666666666666665</v>
      </c>
      <c r="DO10" s="13">
        <f>IF('Données projet'!$A$166&gt;35,DO9+DN10-DW9,IF(A10&lt;'Données projet'!$A$166,$DL$205^A10,IF(A10='Données projet'!$A$166,'Données projet'!$B$166,DO9+DN10-DW9)))</f>
        <v>5.5927833467405659</v>
      </c>
      <c r="DP10" s="18">
        <f>DO10*VLOOKUP('Données projet'!$B$14,Paramètres!$A$1:$I$89,3,0)*VLOOKUP('Données projet'!$B$14,Paramètres!$A$1:$I$89,5,0)</f>
        <v>4.3623710104576414</v>
      </c>
      <c r="DQ10" s="14">
        <f t="shared" si="43"/>
        <v>1.6936004212396314</v>
      </c>
      <c r="DR10" s="22">
        <f t="shared" si="16"/>
        <v>10.54748357687275</v>
      </c>
      <c r="DS10" s="60">
        <f t="shared" si="17"/>
        <v>222.65048875644663</v>
      </c>
      <c r="DT10" s="60">
        <f ca="1">AVERAGE(OFFSET($DS$3,0,0,'Données projet'!$E$14+1,1))-AVERAGE(OFFSET($H$3,0,0,'Données projet'!$E$14+1,1))</f>
        <v>305.68891030516761</v>
      </c>
      <c r="DU10" s="60">
        <f t="shared" si="44"/>
        <v>296.00275062228275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55.512940806550461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2.1</v>
      </c>
      <c r="EJ10" s="13">
        <f>IF('Données projet'!$A$192&gt;35,EJ9+EI10-ER9,IF(A10&lt;'Données projet'!$A$192,$EG$205^A10,IF(A10='Données projet'!$A$192,'Données projet'!$B$192,EJ9+EI10-ER9)))</f>
        <v>3.6994507637402658</v>
      </c>
      <c r="EK10" s="18">
        <f>EJ10*VLOOKUP('Données projet'!$B$15,Paramètres!$A$1:$I$89,3,0)*VLOOKUP('Données projet'!$B$15,Paramètres!$A$1:$I$89,5,0)</f>
        <v>3.5781087786895851</v>
      </c>
      <c r="EL10" s="14">
        <f t="shared" si="45"/>
        <v>1.4215440842341414</v>
      </c>
      <c r="EM10" s="22">
        <f t="shared" si="19"/>
        <v>8.707728736258824</v>
      </c>
      <c r="EN10" s="60">
        <f t="shared" si="20"/>
        <v>220.81073391583271</v>
      </c>
      <c r="EO10" s="60">
        <f ca="1">AVERAGE(OFFSET($EN$3,0,0,'Données projet'!$E$15+1,1))-AVERAGE(OFFSET($H$3,0,0,'Données projet'!$E$15+1,1))</f>
        <v>483.60545605360528</v>
      </c>
      <c r="EP10" s="60">
        <f t="shared" si="46"/>
        <v>256.96685577560345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55.512940806550461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0" t="e">
        <f t="shared" si="23"/>
        <v>#N/A</v>
      </c>
      <c r="FJ10" s="60" t="e">
        <f ca="1">AVERAGE(OFFSET($FI$3,0,0,'Données projet'!$E$16+1,1))-AVERAGE(OFFSET($H$3,0,0,'Données projet'!$E$16+1,1))</f>
        <v>#N/A</v>
      </c>
      <c r="FK10" s="60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55.512940806550461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0" t="e">
        <f t="shared" si="26"/>
        <v>#N/A</v>
      </c>
      <c r="GE10" s="60" t="e">
        <f ca="1">AVERAGE(OFFSET($GD$3,0,0,'Données projet'!$E$17+1,1))-AVERAGE(OFFSET($H$3,0,0,'Données projet'!$E$17+1,1))</f>
        <v>#N/A</v>
      </c>
      <c r="GF10" s="60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55.512940806550461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4">
        <f>'Scénario référence'!$B$16*5+'Scénario référence'!$B$17*0+'Scénario référence'!$B$18*5</f>
        <v>3.2750000000000004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12.008333333333335</v>
      </c>
      <c r="H11" s="67">
        <f t="shared" si="1"/>
        <v>208.63333333333333</v>
      </c>
      <c r="I11" s="7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55.764258895344554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projet'!$B$9,Paramètres!$A$1:$I$89,3,0)*VLOOKUP('Données projet'!$B$9,Paramètres!$A$1:$I$89,5,0)</f>
        <v>4.5220740647558486</v>
      </c>
      <c r="P11" s="14">
        <f t="shared" si="33"/>
        <v>1.7482697016499746</v>
      </c>
      <c r="Q11" s="22">
        <f t="shared" si="2"/>
        <v>10.92084872649014</v>
      </c>
      <c r="R11" s="60">
        <f t="shared" si="0"/>
        <v>225.16757578719793</v>
      </c>
      <c r="S11" s="60">
        <f ca="1">AVERAGE(OFFSET($R$3,0,0,'Données projet'!$E$9+1,1))-AVERAGE(OFFSET($H$3,0,0,'Données projet'!$E$9+1,1))</f>
        <v>503.64055031157477</v>
      </c>
      <c r="T11" s="60">
        <f t="shared" si="34"/>
        <v>266.76572540460842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55.764258895344554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IF('Données projet'!$A$62&gt;35,AI10+AH11-AQ10,IF(A11&lt;'Données projet'!$A$62,$AF$205^A11,IF(A11='Données projet'!$A$62,'Données projet'!$B$62,AI10+AH11-AQ10)))</f>
        <v>4.4596391171162209</v>
      </c>
      <c r="AJ11" s="14">
        <f>AI11*VLOOKUP('Données projet'!$B$10,Paramètres!$A$1:$I$89,3,0)*VLOOKUP('Données projet'!$B$10,Paramètres!$A$1:$I$89,5,0)</f>
        <v>4.0350814731667564</v>
      </c>
      <c r="AK11" s="14">
        <f t="shared" si="35"/>
        <v>1.5808227025391921</v>
      </c>
      <c r="AL11" s="22">
        <f t="shared" si="4"/>
        <v>9.7810331060211926</v>
      </c>
      <c r="AM11" s="60">
        <f t="shared" si="5"/>
        <v>224.027760166729</v>
      </c>
      <c r="AN11" s="60">
        <f ca="1">AVERAGE(OFFSET($AM$3,0,0,'Données projet'!$E$10+1,1))-AVERAGE(OFFSET($H$3,0,0,'Données projet'!$E$10+1,1))</f>
        <v>456.86058467343139</v>
      </c>
      <c r="AO11" s="60">
        <f t="shared" si="36"/>
        <v>243.88495931574937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55.764258895344554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2.0085470085470085</v>
      </c>
      <c r="BD11" s="13">
        <f>IF('Données projet'!$A$88&gt;35,BD10+BC11-BL10,IF(A11&lt;'Données projet'!$A$88,$BA$205^A11,IF(A11='Données projet'!$A$88,'Données projet'!$B$88,BD10+BC11-BL10)))</f>
        <v>6.1487344669152542</v>
      </c>
      <c r="BE11" s="14">
        <f>BD11*VLOOKUP('Données projet'!$B$11,Paramètres!$A$1:$I$89,3,0)*VLOOKUP('Données projet'!$B$11,Paramètres!$A$1:$I$89,5,0)</f>
        <v>6.4266572648198244</v>
      </c>
      <c r="BF11" s="14">
        <f t="shared" si="37"/>
        <v>2.3849964345630501</v>
      </c>
      <c r="BG11" s="22">
        <f t="shared" si="7"/>
        <v>15.346963526425172</v>
      </c>
      <c r="BH11" s="60">
        <f t="shared" si="8"/>
        <v>229.59369058713298</v>
      </c>
      <c r="BI11" s="60">
        <f ca="1">AVERAGE(OFFSET($BH$3,0,0,'Données projet'!$E$11+1,1))-AVERAGE(OFFSET($H$3,0,0,'Données projet'!$E$11+1,1))</f>
        <v>518.47226207416952</v>
      </c>
      <c r="BJ11" s="60">
        <f t="shared" si="38"/>
        <v>314.6379787306804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55.764258895344554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2.1</v>
      </c>
      <c r="BY11" s="13">
        <f>IF('Données projet'!$A$114&gt;35,BY10+BX11-CG10,IF(A11&lt;'Données projet'!$A$114,$BV$205^A11,IF(A11='Données projet'!$A$114,'Données projet'!$B$114,BY10+BX11-CG10)))</f>
        <v>4.4596391171162209</v>
      </c>
      <c r="BZ11" s="14">
        <f>BY11*VLOOKUP('Données projet'!$B$12,Paramètres!$A$1:$I$89,3,0)*VLOOKUP('Données projet'!$B$12,Paramètres!$A$1:$I$89,5,0)</f>
        <v>4.8003555456638995</v>
      </c>
      <c r="CA11" s="14">
        <f t="shared" si="39"/>
        <v>1.8429996203200378</v>
      </c>
      <c r="CB11" s="22">
        <f t="shared" si="10"/>
        <v>11.570510247422023</v>
      </c>
      <c r="CC11" s="60">
        <f t="shared" si="11"/>
        <v>225.81723730812982</v>
      </c>
      <c r="CD11" s="60">
        <f ca="1">AVERAGE(OFFSET($CC$3,0,0,'Données projet'!$E$12+1,1))-AVERAGE(OFFSET($H$3,0,0,'Données projet'!$E$12+1,1))</f>
        <v>530.32456073177104</v>
      </c>
      <c r="CE11" s="60">
        <f t="shared" si="40"/>
        <v>279.81519428470625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55.764258895344554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2.4933333333333332</v>
      </c>
      <c r="CT11" s="13">
        <f>IF('Données projet'!$A$140&gt;35,CT10+CS11-DB10,IF(A11&lt;'Données projet'!$A$140,$CQ$205^A11,IF(A11='Données projet'!$A$140,'Données projet'!$B$140,CT10+CS11-DB10)))</f>
        <v>6.9002504567506522</v>
      </c>
      <c r="CU11" s="18">
        <f>CT11*VLOOKUP('Données projet'!$B$13,Paramètres!$A$1:$I$89,3,0)*VLOOKUP('Données projet'!$B$13,Paramètres!$A$1:$I$89,5,0)</f>
        <v>6.0280587990173711</v>
      </c>
      <c r="CV11" s="14">
        <f t="shared" si="41"/>
        <v>2.2538078441816265</v>
      </c>
      <c r="CW11" s="22">
        <f t="shared" si="13"/>
        <v>14.424251070238251</v>
      </c>
      <c r="CX11" s="60">
        <f t="shared" si="14"/>
        <v>228.67097813094605</v>
      </c>
      <c r="CY11" s="60">
        <f ca="1">AVERAGE(OFFSET($CX$3,0,0,'Données projet'!$E$13+1,1))-AVERAGE(OFFSET($H$3,0,0,'Données projet'!$E$13+1,1))</f>
        <v>355.03862261578701</v>
      </c>
      <c r="CZ11" s="60">
        <f t="shared" si="42"/>
        <v>382.84441399266029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55.764258895344554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2.6666666666666665</v>
      </c>
      <c r="DO11" s="13">
        <f>IF('Données projet'!$A$166&gt;35,DO10+DN11-DW10,IF(A11&lt;'Données projet'!$A$166,$DL$205^A11,IF(A11='Données projet'!$A$166,'Données projet'!$B$166,DO10+DN11-DW10)))</f>
        <v>7.1520739352994367</v>
      </c>
      <c r="DP11" s="18">
        <f>DO11*VLOOKUP('Données projet'!$B$14,Paramètres!$A$1:$I$89,3,0)*VLOOKUP('Données projet'!$B$14,Paramètres!$A$1:$I$89,5,0)</f>
        <v>5.5786176695335605</v>
      </c>
      <c r="DQ11" s="14">
        <f t="shared" si="43"/>
        <v>2.1046649418345189</v>
      </c>
      <c r="DR11" s="22">
        <f t="shared" si="16"/>
        <v>13.381717214799407</v>
      </c>
      <c r="DS11" s="60">
        <f t="shared" si="17"/>
        <v>227.62844427550721</v>
      </c>
      <c r="DT11" s="60">
        <f ca="1">AVERAGE(OFFSET($DS$3,0,0,'Données projet'!$E$14+1,1))-AVERAGE(OFFSET($H$3,0,0,'Données projet'!$E$14+1,1))</f>
        <v>305.68891030516761</v>
      </c>
      <c r="DU11" s="60">
        <f t="shared" si="44"/>
        <v>296.00275062228275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55.764258895344554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2.1</v>
      </c>
      <c r="EJ11" s="13">
        <f>IF('Données projet'!$A$192&gt;35,EJ10+EI11-ER10,IF(A11&lt;'Données projet'!$A$192,$EG$205^A11,IF(A11='Données projet'!$A$192,'Données projet'!$B$192,EJ10+EI11-ER10)))</f>
        <v>4.4596391171162209</v>
      </c>
      <c r="EK11" s="18">
        <f>EJ11*VLOOKUP('Données projet'!$B$15,Paramètres!$A$1:$I$89,3,0)*VLOOKUP('Données projet'!$B$15,Paramètres!$A$1:$I$89,5,0)</f>
        <v>4.3133629540748091</v>
      </c>
      <c r="EL11" s="14">
        <f t="shared" si="45"/>
        <v>1.6767776864592203</v>
      </c>
      <c r="EM11" s="22">
        <f t="shared" si="19"/>
        <v>10.432828282263435</v>
      </c>
      <c r="EN11" s="60">
        <f t="shared" si="20"/>
        <v>224.67955534297124</v>
      </c>
      <c r="EO11" s="60">
        <f ca="1">AVERAGE(OFFSET($EN$3,0,0,'Données projet'!$E$15+1,1))-AVERAGE(OFFSET($H$3,0,0,'Données projet'!$E$15+1,1))</f>
        <v>483.60545605360528</v>
      </c>
      <c r="EP11" s="60">
        <f t="shared" si="46"/>
        <v>256.96685577560345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55.764258895344554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0" t="e">
        <f t="shared" si="23"/>
        <v>#N/A</v>
      </c>
      <c r="FJ11" s="60" t="e">
        <f ca="1">AVERAGE(OFFSET($FI$3,0,0,'Données projet'!$E$16+1,1))-AVERAGE(OFFSET($H$3,0,0,'Données projet'!$E$16+1,1))</f>
        <v>#N/A</v>
      </c>
      <c r="FK11" s="60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55.764258895344554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0" t="e">
        <f t="shared" si="26"/>
        <v>#N/A</v>
      </c>
      <c r="GE11" s="60" t="e">
        <f ca="1">AVERAGE(OFFSET($GD$3,0,0,'Données projet'!$E$17+1,1))-AVERAGE(OFFSET($H$3,0,0,'Données projet'!$E$17+1,1))</f>
        <v>#N/A</v>
      </c>
      <c r="GF11" s="60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55.764258895344554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4">
        <f>'Scénario référence'!$B$16*5+'Scénario référence'!$B$17*0+'Scénario référence'!$B$18*5</f>
        <v>3.2750000000000004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12.008333333333335</v>
      </c>
      <c r="H12" s="67">
        <f t="shared" si="1"/>
        <v>208.63333333333333</v>
      </c>
      <c r="I12" s="7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56.01121717716115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projet'!$B$9,Paramètres!$A$1:$I$89,3,0)*VLOOKUP('Données projet'!$B$9,Paramètres!$A$1:$I$89,5,0)</f>
        <v>5.4513006599100189</v>
      </c>
      <c r="P12" s="14">
        <f t="shared" si="33"/>
        <v>2.062165822468125</v>
      </c>
      <c r="Q12" s="22">
        <f t="shared" si="2"/>
        <v>13.085954123475267</v>
      </c>
      <c r="R12" s="60">
        <f t="shared" si="0"/>
        <v>229.46041710639949</v>
      </c>
      <c r="S12" s="60">
        <f ca="1">AVERAGE(OFFSET($R$3,0,0,'Données projet'!$E$9+1,1))-AVERAGE(OFFSET($H$3,0,0,'Données projet'!$E$9+1,1))</f>
        <v>503.64055031157477</v>
      </c>
      <c r="T12" s="60">
        <f t="shared" si="34"/>
        <v>266.76572540460842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56.01121717716115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IF('Données projet'!$A$62&gt;35,AI11+AH12-AQ11,IF(A12&lt;'Données projet'!$A$62,$AF$205^A12,IF(A12='Données projet'!$A$62,'Données projet'!$B$62,AI11+AH12-AQ11)))</f>
        <v>5.3760361537574148</v>
      </c>
      <c r="AJ12" s="14">
        <f>AI12*VLOOKUP('Données projet'!$B$10,Paramètres!$A$1:$I$89,3,0)*VLOOKUP('Données projet'!$B$10,Paramètres!$A$1:$I$89,5,0)</f>
        <v>4.8642375119197085</v>
      </c>
      <c r="AK12" s="14">
        <f t="shared" si="35"/>
        <v>1.8646542609995393</v>
      </c>
      <c r="AL12" s="22">
        <f t="shared" si="4"/>
        <v>11.719486504501022</v>
      </c>
      <c r="AM12" s="60">
        <f t="shared" si="5"/>
        <v>228.09394948742525</v>
      </c>
      <c r="AN12" s="60">
        <f ca="1">AVERAGE(OFFSET($AM$3,0,0,'Données projet'!$E$10+1,1))-AVERAGE(OFFSET($H$3,0,0,'Données projet'!$E$10+1,1))</f>
        <v>456.86058467343139</v>
      </c>
      <c r="AO12" s="60">
        <f t="shared" si="36"/>
        <v>243.88495931574937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56.01121717716115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2.0085470085470085</v>
      </c>
      <c r="BD12" s="13">
        <f>IF('Données projet'!$A$88&gt;35,BD11+BC12-BL11,IF(A12&lt;'Données projet'!$A$88,$BA$205^A12,IF(A12='Données projet'!$A$88,'Données projet'!$B$88,BD11+BC12-BL11)))</f>
        <v>7.715853190806035</v>
      </c>
      <c r="BE12" s="14">
        <f>BD12*VLOOKUP('Données projet'!$B$11,Paramètres!$A$1:$I$89,3,0)*VLOOKUP('Données projet'!$B$11,Paramètres!$A$1:$I$89,5,0)</f>
        <v>8.0646097550304692</v>
      </c>
      <c r="BF12" s="14">
        <f t="shared" si="37"/>
        <v>2.9148024033411493</v>
      </c>
      <c r="BG12" s="22">
        <f t="shared" si="7"/>
        <v>19.122476175830567</v>
      </c>
      <c r="BH12" s="60">
        <f t="shared" si="8"/>
        <v>235.4969391587548</v>
      </c>
      <c r="BI12" s="60">
        <f ca="1">AVERAGE(OFFSET($BH$3,0,0,'Données projet'!$E$11+1,1))-AVERAGE(OFFSET($H$3,0,0,'Données projet'!$E$11+1,1))</f>
        <v>518.47226207416952</v>
      </c>
      <c r="BJ12" s="60">
        <f t="shared" si="38"/>
        <v>314.6379787306804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56.01121717716115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2.1</v>
      </c>
      <c r="BY12" s="13">
        <f>IF('Données projet'!$A$114&gt;35,BY11+BX12-CG11,IF(A12&lt;'Données projet'!$A$114,$BV$205^A12,IF(A12='Données projet'!$A$114,'Données projet'!$B$114,BY11+BX12-CG11)))</f>
        <v>5.3760361537574148</v>
      </c>
      <c r="BZ12" s="14">
        <f>BY12*VLOOKUP('Données projet'!$B$12,Paramètres!$A$1:$I$89,3,0)*VLOOKUP('Données projet'!$B$12,Paramètres!$A$1:$I$89,5,0)</f>
        <v>5.7867653159044812</v>
      </c>
      <c r="CA12" s="14">
        <f t="shared" si="39"/>
        <v>2.1739041889582755</v>
      </c>
      <c r="CB12" s="22">
        <f t="shared" si="10"/>
        <v>13.864832720969302</v>
      </c>
      <c r="CC12" s="60">
        <f t="shared" si="11"/>
        <v>230.23929570389353</v>
      </c>
      <c r="CD12" s="60">
        <f ca="1">AVERAGE(OFFSET($CC$3,0,0,'Données projet'!$E$12+1,1))-AVERAGE(OFFSET($H$3,0,0,'Données projet'!$E$12+1,1))</f>
        <v>530.32456073177104</v>
      </c>
      <c r="CE12" s="60">
        <f t="shared" si="40"/>
        <v>279.81519428470625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56.01121717716115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2.4933333333333332</v>
      </c>
      <c r="CT12" s="13">
        <f>IF('Données projet'!$A$140&gt;35,CT11+CS12-DB11,IF(A12&lt;'Données projet'!$A$140,$CQ$205^A12,IF(A12='Données projet'!$A$140,'Données projet'!$B$140,CT11+CS12-DB11)))</f>
        <v>8.784619626636184</v>
      </c>
      <c r="CU12" s="18">
        <f>CT12*VLOOKUP('Données projet'!$B$13,Paramètres!$A$1:$I$89,3,0)*VLOOKUP('Données projet'!$B$13,Paramètres!$A$1:$I$89,5,0)</f>
        <v>7.6742437058293707</v>
      </c>
      <c r="CV12" s="14">
        <f t="shared" si="41"/>
        <v>2.7897771271950154</v>
      </c>
      <c r="CW12" s="22">
        <f t="shared" si="13"/>
        <v>18.224836284184136</v>
      </c>
      <c r="CX12" s="60">
        <f t="shared" si="14"/>
        <v>234.59929926710836</v>
      </c>
      <c r="CY12" s="60">
        <f ca="1">AVERAGE(OFFSET($CX$3,0,0,'Données projet'!$E$13+1,1))-AVERAGE(OFFSET($H$3,0,0,'Données projet'!$E$13+1,1))</f>
        <v>355.03862261578701</v>
      </c>
      <c r="CZ12" s="60">
        <f t="shared" si="42"/>
        <v>382.84441399266029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56.01121717716115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2.6666666666666665</v>
      </c>
      <c r="DO12" s="13">
        <f>IF('Données projet'!$A$166&gt;35,DO11+DN12-DW11,IF(A12&lt;'Données projet'!$A$166,$DL$205^A12,IF(A12='Données projet'!$A$166,'Données projet'!$B$166,DO11+DN12-DW11)))</f>
        <v>9.1461010385465205</v>
      </c>
      <c r="DP12" s="18">
        <f>DO12*VLOOKUP('Données projet'!$B$14,Paramètres!$A$1:$I$89,3,0)*VLOOKUP('Données projet'!$B$14,Paramètres!$A$1:$I$89,5,0)</f>
        <v>7.1339588100662858</v>
      </c>
      <c r="DQ12" s="14">
        <f t="shared" si="43"/>
        <v>2.6155015444227643</v>
      </c>
      <c r="DR12" s="22">
        <f t="shared" si="16"/>
        <v>16.980310117401761</v>
      </c>
      <c r="DS12" s="60">
        <f t="shared" si="17"/>
        <v>233.35477310032599</v>
      </c>
      <c r="DT12" s="60">
        <f ca="1">AVERAGE(OFFSET($DS$3,0,0,'Données projet'!$E$14+1,1))-AVERAGE(OFFSET($H$3,0,0,'Données projet'!$E$14+1,1))</f>
        <v>305.68891030516761</v>
      </c>
      <c r="DU12" s="60">
        <f t="shared" si="44"/>
        <v>296.00275062228275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56.01121717716115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2.1</v>
      </c>
      <c r="EJ12" s="13">
        <f>IF('Données projet'!$A$192&gt;35,EJ11+EI12-ER11,IF(A12&lt;'Données projet'!$A$192,$EG$205^A12,IF(A12='Données projet'!$A$192,'Données projet'!$B$192,EJ11+EI12-ER11)))</f>
        <v>5.3760361537574148</v>
      </c>
      <c r="EK12" s="18">
        <f>EJ12*VLOOKUP('Données projet'!$B$15,Paramètres!$A$1:$I$89,3,0)*VLOOKUP('Données projet'!$B$15,Paramètres!$A$1:$I$89,5,0)</f>
        <v>5.1997021679141717</v>
      </c>
      <c r="EL12" s="14">
        <f t="shared" si="45"/>
        <v>1.977837649208241</v>
      </c>
      <c r="EM12" s="22">
        <f t="shared" si="19"/>
        <v>12.500881848154869</v>
      </c>
      <c r="EN12" s="60">
        <f t="shared" si="20"/>
        <v>228.8753448310791</v>
      </c>
      <c r="EO12" s="60">
        <f ca="1">AVERAGE(OFFSET($EN$3,0,0,'Données projet'!$E$15+1,1))-AVERAGE(OFFSET($H$3,0,0,'Données projet'!$E$15+1,1))</f>
        <v>483.60545605360528</v>
      </c>
      <c r="EP12" s="60">
        <f t="shared" si="46"/>
        <v>256.96685577560345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56.01121717716115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0" t="e">
        <f t="shared" si="23"/>
        <v>#N/A</v>
      </c>
      <c r="FJ12" s="60" t="e">
        <f ca="1">AVERAGE(OFFSET($FI$3,0,0,'Données projet'!$E$16+1,1))-AVERAGE(OFFSET($H$3,0,0,'Données projet'!$E$16+1,1))</f>
        <v>#N/A</v>
      </c>
      <c r="FK12" s="60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56.01121717716115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0" t="e">
        <f t="shared" si="26"/>
        <v>#N/A</v>
      </c>
      <c r="GE12" s="60" t="e">
        <f ca="1">AVERAGE(OFFSET($GD$3,0,0,'Données projet'!$E$17+1,1))-AVERAGE(OFFSET($H$3,0,0,'Données projet'!$E$17+1,1))</f>
        <v>#N/A</v>
      </c>
      <c r="GF12" s="60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56.01121717716115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4">
        <f>'Scénario référence'!$B$16*5+'Scénario référence'!$B$17*0+'Scénario référence'!$B$18*5</f>
        <v>3.2750000000000004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12.008333333333335</v>
      </c>
      <c r="H13" s="67">
        <f t="shared" si="1"/>
        <v>208.63333333333333</v>
      </c>
      <c r="I13" s="7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56.253891284904235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projet'!$B$9,Paramètres!$A$1:$I$89,3,0)*VLOOKUP('Données projet'!$B$9,Paramètres!$A$1:$I$89,5,0)</f>
        <v>6.5714710681855761</v>
      </c>
      <c r="P13" s="14">
        <f t="shared" si="33"/>
        <v>2.4324209676242781</v>
      </c>
      <c r="Q13" s="22">
        <f t="shared" si="2"/>
        <v>15.681778629035497</v>
      </c>
      <c r="R13" s="60">
        <f t="shared" si="0"/>
        <v>234.16826889590661</v>
      </c>
      <c r="S13" s="60">
        <f ca="1">AVERAGE(OFFSET($R$3,0,0,'Données projet'!$E$9+1,1))-AVERAGE(OFFSET($H$3,0,0,'Données projet'!$E$9+1,1))</f>
        <v>503.64055031157477</v>
      </c>
      <c r="T13" s="60">
        <f t="shared" si="34"/>
        <v>266.76572540460842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56.253891284904235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IF('Données projet'!$A$62&gt;35,AI12+AH13-AQ12,IF(A13&lt;'Données projet'!$A$62,$AF$205^A13,IF(A13='Données projet'!$A$62,'Données projet'!$B$62,AI12+AH13-AQ12)))</f>
        <v>6.4807406984078657</v>
      </c>
      <c r="AJ13" s="14">
        <f>AI13*VLOOKUP('Données projet'!$B$10,Paramètres!$A$1:$I$89,3,0)*VLOOKUP('Données projet'!$B$10,Paramètres!$A$1:$I$89,5,0)</f>
        <v>5.8637741839194364</v>
      </c>
      <c r="AK13" s="14">
        <f t="shared" si="35"/>
        <v>2.1994468497187687</v>
      </c>
      <c r="AL13" s="22">
        <f t="shared" si="4"/>
        <v>14.043443300253207</v>
      </c>
      <c r="AM13" s="60">
        <f t="shared" si="5"/>
        <v>232.52993356712432</v>
      </c>
      <c r="AN13" s="60">
        <f ca="1">AVERAGE(OFFSET($AM$3,0,0,'Données projet'!$E$10+1,1))-AVERAGE(OFFSET($H$3,0,0,'Données projet'!$E$10+1,1))</f>
        <v>456.86058467343139</v>
      </c>
      <c r="AO13" s="60">
        <f t="shared" si="36"/>
        <v>243.88495931574937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56.253891284904235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2.0085470085470085</v>
      </c>
      <c r="BD13" s="13">
        <f>IF('Données projet'!$A$88&gt;35,BD12+BC13-BL12,IF(A13&lt;'Données projet'!$A$88,$BA$205^A13,IF(A13='Données projet'!$A$88,'Données projet'!$B$88,BD12+BC13-BL12)))</f>
        <v>9.6823811114971363</v>
      </c>
      <c r="BE13" s="14">
        <f>BD13*VLOOKUP('Données projet'!$B$11,Paramètres!$A$1:$I$89,3,0)*VLOOKUP('Données projet'!$B$11,Paramètres!$A$1:$I$89,5,0)</f>
        <v>10.120024737736808</v>
      </c>
      <c r="BF13" s="14">
        <f t="shared" si="37"/>
        <v>3.5623001055261061</v>
      </c>
      <c r="BG13" s="22">
        <f t="shared" si="7"/>
        <v>23.830049102016243</v>
      </c>
      <c r="BH13" s="60">
        <f t="shared" si="8"/>
        <v>242.31653936888733</v>
      </c>
      <c r="BI13" s="60">
        <f ca="1">AVERAGE(OFFSET($BH$3,0,0,'Données projet'!$E$11+1,1))-AVERAGE(OFFSET($H$3,0,0,'Données projet'!$E$11+1,1))</f>
        <v>518.47226207416952</v>
      </c>
      <c r="BJ13" s="60">
        <f t="shared" si="38"/>
        <v>314.6379787306804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56.253891284904235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2.1</v>
      </c>
      <c r="BY13" s="13">
        <f>IF('Données projet'!$A$114&gt;35,BY12+BX13-CG12,IF(A13&lt;'Données projet'!$A$114,$BV$205^A13,IF(A13='Données projet'!$A$114,'Données projet'!$B$114,BY12+BX13-CG12)))</f>
        <v>6.4807406984078657</v>
      </c>
      <c r="BZ13" s="14">
        <f>BY13*VLOOKUP('Données projet'!$B$12,Paramètres!$A$1:$I$89,3,0)*VLOOKUP('Données projet'!$B$12,Paramètres!$A$1:$I$89,5,0)</f>
        <v>6.9758692877662263</v>
      </c>
      <c r="CA13" s="14">
        <f t="shared" si="39"/>
        <v>2.5642215932468222</v>
      </c>
      <c r="CB13" s="22">
        <f t="shared" si="10"/>
        <v>16.61565828443106</v>
      </c>
      <c r="CC13" s="60">
        <f t="shared" si="11"/>
        <v>235.10214855130215</v>
      </c>
      <c r="CD13" s="60">
        <f ca="1">AVERAGE(OFFSET($CC$3,0,0,'Données projet'!$E$12+1,1))-AVERAGE(OFFSET($H$3,0,0,'Données projet'!$E$12+1,1))</f>
        <v>530.32456073177104</v>
      </c>
      <c r="CE13" s="60">
        <f t="shared" si="40"/>
        <v>279.81519428470625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56.253891284904235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2.4933333333333332</v>
      </c>
      <c r="CT13" s="13">
        <f>IF('Données projet'!$A$140&gt;35,CT12+CS13-DB12,IF(A13&lt;'Données projet'!$A$140,$CQ$205^A13,IF(A13='Données projet'!$A$140,'Données projet'!$B$140,CT12+CS13-DB12)))</f>
        <v>11.183585649298445</v>
      </c>
      <c r="CU13" s="18">
        <f>CT13*VLOOKUP('Données projet'!$B$13,Paramètres!$A$1:$I$89,3,0)*VLOOKUP('Données projet'!$B$13,Paramètres!$A$1:$I$89,5,0)</f>
        <v>9.769980423227123</v>
      </c>
      <c r="CV13" s="14">
        <f t="shared" si="41"/>
        <v>3.4532031821224263</v>
      </c>
      <c r="CW13" s="22">
        <f t="shared" si="13"/>
        <v>23.030378112650464</v>
      </c>
      <c r="CX13" s="60">
        <f t="shared" si="14"/>
        <v>241.51686837952155</v>
      </c>
      <c r="CY13" s="60">
        <f ca="1">AVERAGE(OFFSET($CX$3,0,0,'Données projet'!$E$13+1,1))-AVERAGE(OFFSET($H$3,0,0,'Données projet'!$E$13+1,1))</f>
        <v>355.03862261578701</v>
      </c>
      <c r="CZ13" s="60">
        <f t="shared" si="42"/>
        <v>382.84441399266029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56.253891284904235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2.6666666666666665</v>
      </c>
      <c r="DO13" s="13">
        <f>IF('Données projet'!$A$166&gt;35,DO12+DN13-DW12,IF(A13&lt;'Données projet'!$A$166,$DL$205^A13,IF(A13='Données projet'!$A$166,'Données projet'!$B$166,DO12+DN13-DW12)))</f>
        <v>11.696070952851455</v>
      </c>
      <c r="DP13" s="18">
        <f>DO13*VLOOKUP('Données projet'!$B$14,Paramètres!$A$1:$I$89,3,0)*VLOOKUP('Données projet'!$B$14,Paramètres!$A$1:$I$89,5,0)</f>
        <v>9.1229353432241354</v>
      </c>
      <c r="DQ13" s="14">
        <f t="shared" si="43"/>
        <v>3.2503265450485803</v>
      </c>
      <c r="DR13" s="22">
        <f t="shared" si="16"/>
        <v>21.550097788741649</v>
      </c>
      <c r="DS13" s="60">
        <f t="shared" si="17"/>
        <v>240.03658805561275</v>
      </c>
      <c r="DT13" s="60">
        <f ca="1">AVERAGE(OFFSET($DS$3,0,0,'Données projet'!$E$14+1,1))-AVERAGE(OFFSET($H$3,0,0,'Données projet'!$E$14+1,1))</f>
        <v>305.68891030516761</v>
      </c>
      <c r="DU13" s="60">
        <f t="shared" si="44"/>
        <v>296.00275062228275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56.253891284904235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2.1</v>
      </c>
      <c r="EJ13" s="13">
        <f>IF('Données projet'!$A$192&gt;35,EJ12+EI13-ER12,IF(A13&lt;'Données projet'!$A$192,$EG$205^A13,IF(A13='Données projet'!$A$192,'Données projet'!$B$192,EJ12+EI13-ER12)))</f>
        <v>6.4807406984078657</v>
      </c>
      <c r="EK13" s="18">
        <f>EJ13*VLOOKUP('Données projet'!$B$15,Paramètres!$A$1:$I$89,3,0)*VLOOKUP('Données projet'!$B$15,Paramètres!$A$1:$I$89,5,0)</f>
        <v>6.2681724035000874</v>
      </c>
      <c r="EL13" s="14">
        <f t="shared" si="45"/>
        <v>2.3329519459947301</v>
      </c>
      <c r="EM13" s="22">
        <f t="shared" si="19"/>
        <v>14.98029157537014</v>
      </c>
      <c r="EN13" s="60">
        <f t="shared" si="20"/>
        <v>233.46678184224123</v>
      </c>
      <c r="EO13" s="60">
        <f ca="1">AVERAGE(OFFSET($EN$3,0,0,'Données projet'!$E$15+1,1))-AVERAGE(OFFSET($H$3,0,0,'Données projet'!$E$15+1,1))</f>
        <v>483.60545605360528</v>
      </c>
      <c r="EP13" s="60">
        <f t="shared" si="46"/>
        <v>256.96685577560345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56.253891284904235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0" t="e">
        <f t="shared" si="23"/>
        <v>#N/A</v>
      </c>
      <c r="FJ13" s="60" t="e">
        <f ca="1">AVERAGE(OFFSET($FI$3,0,0,'Données projet'!$E$16+1,1))-AVERAGE(OFFSET($H$3,0,0,'Données projet'!$E$16+1,1))</f>
        <v>#N/A</v>
      </c>
      <c r="FK13" s="60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56.253891284904235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0" t="e">
        <f t="shared" si="26"/>
        <v>#N/A</v>
      </c>
      <c r="GE13" s="60" t="e">
        <f ca="1">AVERAGE(OFFSET($GD$3,0,0,'Données projet'!$E$17+1,1))-AVERAGE(OFFSET($H$3,0,0,'Données projet'!$E$17+1,1))</f>
        <v>#N/A</v>
      </c>
      <c r="GF13" s="60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56.253891284904235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4">
        <f>'Scénario référence'!$B$16*5+'Scénario référence'!$B$17*0+'Scénario référence'!$B$18*5</f>
        <v>3.2750000000000004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12.008333333333335</v>
      </c>
      <c r="H14" s="67">
        <f t="shared" si="1"/>
        <v>208.63333333333333</v>
      </c>
      <c r="I14" s="7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56.492355539415996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projet'!$B$9,Paramètres!$A$1:$I$89,3,0)*VLOOKUP('Données projet'!$B$9,Paramètres!$A$1:$I$89,5,0)</f>
        <v>7.921821725516951</v>
      </c>
      <c r="P14" s="14">
        <f t="shared" si="33"/>
        <v>2.869154216054651</v>
      </c>
      <c r="Q14" s="22">
        <f t="shared" si="2"/>
        <v>18.794283098237205</v>
      </c>
      <c r="R14" s="60">
        <f t="shared" si="0"/>
        <v>239.37736452054028</v>
      </c>
      <c r="S14" s="60">
        <f ca="1">AVERAGE(OFFSET($R$3,0,0,'Données projet'!$E$9+1,1))-AVERAGE(OFFSET($H$3,0,0,'Données projet'!$E$9+1,1))</f>
        <v>503.64055031157477</v>
      </c>
      <c r="T14" s="60">
        <f t="shared" si="34"/>
        <v>266.76572540460842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56.492355539415996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IF('Données projet'!$A$62&gt;35,AI13+AH14-AQ13,IF(A14&lt;'Données projet'!$A$62,$AF$205^A14,IF(A14='Données projet'!$A$62,'Données projet'!$B$62,AI13+AH14-AQ13)))</f>
        <v>7.8124474610620815</v>
      </c>
      <c r="AJ14" s="14">
        <f>AI14*VLOOKUP('Données projet'!$B$10,Paramètres!$A$1:$I$89,3,0)*VLOOKUP('Données projet'!$B$10,Paramètres!$A$1:$I$89,5,0)</f>
        <v>7.0687024627689707</v>
      </c>
      <c r="AK14" s="14">
        <f t="shared" si="35"/>
        <v>2.5943503554083325</v>
      </c>
      <c r="AL14" s="22">
        <f t="shared" si="4"/>
        <v>16.829816991658799</v>
      </c>
      <c r="AM14" s="60">
        <f t="shared" si="5"/>
        <v>237.41289841396187</v>
      </c>
      <c r="AN14" s="60">
        <f ca="1">AVERAGE(OFFSET($AM$3,0,0,'Données projet'!$E$10+1,1))-AVERAGE(OFFSET($H$3,0,0,'Données projet'!$E$10+1,1))</f>
        <v>456.86058467343139</v>
      </c>
      <c r="AO14" s="60">
        <f t="shared" si="36"/>
        <v>243.88495931574937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56.492355539415996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2.0085470085470085</v>
      </c>
      <c r="BD14" s="13">
        <f>IF('Données projet'!$A$88&gt;35,BD13+BC14-BL13,IF(A14&lt;'Données projet'!$A$88,$BA$205^A14,IF(A14='Données projet'!$A$88,'Données projet'!$B$88,BD13+BC14-BL13)))</f>
        <v>12.150115051435174</v>
      </c>
      <c r="BE14" s="14">
        <f>BD14*VLOOKUP('Données projet'!$B$11,Paramètres!$A$1:$I$89,3,0)*VLOOKUP('Données projet'!$B$11,Paramètres!$A$1:$I$89,5,0)</f>
        <v>12.699300251760045</v>
      </c>
      <c r="BF14" s="14">
        <f t="shared" si="37"/>
        <v>4.3536337239482048</v>
      </c>
      <c r="BG14" s="22">
        <f t="shared" si="7"/>
        <v>29.700526674358532</v>
      </c>
      <c r="BH14" s="60">
        <f t="shared" si="8"/>
        <v>250.28360809666162</v>
      </c>
      <c r="BI14" s="60">
        <f ca="1">AVERAGE(OFFSET($BH$3,0,0,'Données projet'!$E$11+1,1))-AVERAGE(OFFSET($H$3,0,0,'Données projet'!$E$11+1,1))</f>
        <v>518.47226207416952</v>
      </c>
      <c r="BJ14" s="60">
        <f t="shared" si="38"/>
        <v>314.6379787306804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56.492355539415996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2.1</v>
      </c>
      <c r="BY14" s="13">
        <f>IF('Données projet'!$A$114&gt;35,BY13+BX14-CG13,IF(A14&lt;'Données projet'!$A$114,$BV$205^A14,IF(A14='Données projet'!$A$114,'Données projet'!$B$114,BY13+BX14-CG13)))</f>
        <v>7.8124474610620815</v>
      </c>
      <c r="BZ14" s="14">
        <f>BY14*VLOOKUP('Données projet'!$B$12,Paramètres!$A$1:$I$89,3,0)*VLOOKUP('Données projet'!$B$12,Paramètres!$A$1:$I$89,5,0)</f>
        <v>8.4093184470872249</v>
      </c>
      <c r="CA14" s="14">
        <f t="shared" si="39"/>
        <v>3.0246192139792929</v>
      </c>
      <c r="CB14" s="22">
        <f t="shared" si="10"/>
        <v>19.914108093024186</v>
      </c>
      <c r="CC14" s="60">
        <f t="shared" si="11"/>
        <v>240.49718951532728</v>
      </c>
      <c r="CD14" s="60">
        <f ca="1">AVERAGE(OFFSET($CC$3,0,0,'Données projet'!$E$12+1,1))-AVERAGE(OFFSET($H$3,0,0,'Données projet'!$E$12+1,1))</f>
        <v>530.32456073177104</v>
      </c>
      <c r="CE14" s="60">
        <f t="shared" si="40"/>
        <v>279.81519428470625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56.492355539415996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2.4933333333333332</v>
      </c>
      <c r="CT14" s="13">
        <f>IF('Données projet'!$A$140&gt;35,CT13+CS14-DB13,IF(A14&lt;'Données projet'!$A$140,$CQ$205^A14,IF(A14='Données projet'!$A$140,'Données projet'!$B$140,CT13+CS14-DB13)))</f>
        <v>14.237678270776428</v>
      </c>
      <c r="CU14" s="18">
        <f>CT14*VLOOKUP('Données projet'!$B$13,Paramètres!$A$1:$I$89,3,0)*VLOOKUP('Données projet'!$B$13,Paramètres!$A$1:$I$89,5,0)</f>
        <v>12.438035737350289</v>
      </c>
      <c r="CV14" s="14">
        <f t="shared" si="41"/>
        <v>4.2743960084761534</v>
      </c>
      <c r="CW14" s="22">
        <f t="shared" si="13"/>
        <v>29.10748529064772</v>
      </c>
      <c r="CX14" s="60">
        <f t="shared" si="14"/>
        <v>249.69056671295081</v>
      </c>
      <c r="CY14" s="60">
        <f ca="1">AVERAGE(OFFSET($CX$3,0,0,'Données projet'!$E$13+1,1))-AVERAGE(OFFSET($H$3,0,0,'Données projet'!$E$13+1,1))</f>
        <v>355.03862261578701</v>
      </c>
      <c r="CZ14" s="60">
        <f t="shared" si="42"/>
        <v>382.84441399266029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56.492355539415996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2.6666666666666665</v>
      </c>
      <c r="DO14" s="13">
        <f>IF('Données projet'!$A$166&gt;35,DO13+DN14-DW13,IF(A14&lt;'Données projet'!$A$166,$DL$205^A14,IF(A14='Données projet'!$A$166,'Données projet'!$B$166,DO13+DN14-DW13)))</f>
        <v>14.956982779612416</v>
      </c>
      <c r="DP14" s="18">
        <f>DO14*VLOOKUP('Données projet'!$B$14,Paramètres!$A$1:$I$89,3,0)*VLOOKUP('Données projet'!$B$14,Paramètres!$A$1:$I$89,5,0)</f>
        <v>11.666446568097685</v>
      </c>
      <c r="DQ14" s="14">
        <f t="shared" si="43"/>
        <v>4.0392339557111736</v>
      </c>
      <c r="DR14" s="22">
        <f t="shared" si="16"/>
        <v>27.354060245633761</v>
      </c>
      <c r="DS14" s="60">
        <f t="shared" si="17"/>
        <v>247.93714166793683</v>
      </c>
      <c r="DT14" s="60">
        <f ca="1">AVERAGE(OFFSET($DS$3,0,0,'Données projet'!$E$14+1,1))-AVERAGE(OFFSET($H$3,0,0,'Données projet'!$E$14+1,1))</f>
        <v>305.68891030516761</v>
      </c>
      <c r="DU14" s="60">
        <f t="shared" si="44"/>
        <v>296.00275062228275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56.492355539415996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2.1</v>
      </c>
      <c r="EJ14" s="13">
        <f>IF('Données projet'!$A$192&gt;35,EJ13+EI14-ER13,IF(A14&lt;'Données projet'!$A$192,$EG$205^A14,IF(A14='Données projet'!$A$192,'Données projet'!$B$192,EJ13+EI14-ER13)))</f>
        <v>7.8124474610620815</v>
      </c>
      <c r="EK14" s="18">
        <f>EJ14*VLOOKUP('Données projet'!$B$15,Paramètres!$A$1:$I$89,3,0)*VLOOKUP('Données projet'!$B$15,Paramètres!$A$1:$I$89,5,0)</f>
        <v>7.5561991843392455</v>
      </c>
      <c r="EL14" s="14">
        <f t="shared" si="45"/>
        <v>2.7518258561310041</v>
      </c>
      <c r="EM14" s="22">
        <f t="shared" si="19"/>
        <v>17.953143612152349</v>
      </c>
      <c r="EN14" s="60">
        <f t="shared" si="20"/>
        <v>238.53622503445544</v>
      </c>
      <c r="EO14" s="60">
        <f ca="1">AVERAGE(OFFSET($EN$3,0,0,'Données projet'!$E$15+1,1))-AVERAGE(OFFSET($H$3,0,0,'Données projet'!$E$15+1,1))</f>
        <v>483.60545605360528</v>
      </c>
      <c r="EP14" s="60">
        <f t="shared" si="46"/>
        <v>256.96685577560345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56.492355539415996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0" t="e">
        <f t="shared" si="23"/>
        <v>#N/A</v>
      </c>
      <c r="FJ14" s="60" t="e">
        <f ca="1">AVERAGE(OFFSET($FI$3,0,0,'Données projet'!$E$16+1,1))-AVERAGE(OFFSET($H$3,0,0,'Données projet'!$E$16+1,1))</f>
        <v>#N/A</v>
      </c>
      <c r="FK14" s="60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56.492355539415996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0" t="e">
        <f t="shared" si="26"/>
        <v>#N/A</v>
      </c>
      <c r="GE14" s="60" t="e">
        <f ca="1">AVERAGE(OFFSET($GD$3,0,0,'Données projet'!$E$17+1,1))-AVERAGE(OFFSET($H$3,0,0,'Données projet'!$E$17+1,1))</f>
        <v>#N/A</v>
      </c>
      <c r="GF14" s="60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56.492355539415996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4">
        <f>'Scénario référence'!$B$16*5+'Scénario référence'!$B$17*0+'Scénario référence'!$B$18*5</f>
        <v>3.2750000000000004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12.008333333333335</v>
      </c>
      <c r="H15" s="67">
        <f t="shared" si="1"/>
        <v>208.63333333333333</v>
      </c>
      <c r="I15" s="7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56.726682972238187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projet'!$B$9,Paramètres!$A$1:$I$89,3,0)*VLOOKUP('Données projet'!$B$9,Paramètres!$A$1:$I$89,5,0)</f>
        <v>9.5496516380767513</v>
      </c>
      <c r="P15" s="14">
        <f t="shared" si="33"/>
        <v>3.3843014943027487</v>
      </c>
      <c r="Q15" s="22">
        <f t="shared" si="2"/>
        <v>22.526635038894295</v>
      </c>
      <c r="R15" s="60">
        <f t="shared" si="0"/>
        <v>245.19113927043432</v>
      </c>
      <c r="S15" s="60">
        <f ca="1">AVERAGE(OFFSET($R$3,0,0,'Données projet'!$E$9+1,1))-AVERAGE(OFFSET($H$3,0,0,'Données projet'!$E$9+1,1))</f>
        <v>503.64055031157477</v>
      </c>
      <c r="T15" s="60">
        <f t="shared" si="34"/>
        <v>266.76572540460842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56.726682972238187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IF('Données projet'!$A$62&gt;35,AI14+AH15-AQ14,IF(A15&lt;'Données projet'!$A$62,$AF$205^A15,IF(A15='Données projet'!$A$62,'Données projet'!$B$62,AI14+AH15-AQ14)))</f>
        <v>9.4178024044149407</v>
      </c>
      <c r="AJ15" s="14">
        <f>AI15*VLOOKUP('Données projet'!$B$10,Paramètres!$A$1:$I$89,3,0)*VLOOKUP('Données projet'!$B$10,Paramètres!$A$1:$I$89,5,0)</f>
        <v>8.521227615514638</v>
      </c>
      <c r="AK15" s="14">
        <f t="shared" si="35"/>
        <v>3.0601574970852128</v>
      </c>
      <c r="AL15" s="22">
        <f t="shared" si="4"/>
        <v>20.170912404444739</v>
      </c>
      <c r="AM15" s="60">
        <f t="shared" si="5"/>
        <v>242.83541663598479</v>
      </c>
      <c r="AN15" s="60">
        <f ca="1">AVERAGE(OFFSET($AM$3,0,0,'Données projet'!$E$10+1,1))-AVERAGE(OFFSET($H$3,0,0,'Données projet'!$E$10+1,1))</f>
        <v>456.86058467343139</v>
      </c>
      <c r="AO15" s="60">
        <f t="shared" si="36"/>
        <v>243.88495931574937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56.726682972238187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2.0085470085470085</v>
      </c>
      <c r="BD15" s="13">
        <f>IF('Données projet'!$A$88&gt;35,BD14+BC15-BL14,IF(A15&lt;'Données projet'!$A$88,$BA$205^A15,IF(A15='Données projet'!$A$88,'Données projet'!$B$88,BD14+BC15-BL14)))</f>
        <v>15.246796636399393</v>
      </c>
      <c r="BE15" s="14">
        <f>BD15*VLOOKUP('Données projet'!$B$11,Paramètres!$A$1:$I$89,3,0)*VLOOKUP('Données projet'!$B$11,Paramètres!$A$1:$I$89,5,0)</f>
        <v>15.935951844364647</v>
      </c>
      <c r="BF15" s="14">
        <f t="shared" si="37"/>
        <v>5.3207551415716088</v>
      </c>
      <c r="BG15" s="22">
        <f t="shared" si="7"/>
        <v>37.022098000505643</v>
      </c>
      <c r="BH15" s="60">
        <f t="shared" si="8"/>
        <v>259.68660223204569</v>
      </c>
      <c r="BI15" s="60">
        <f ca="1">AVERAGE(OFFSET($BH$3,0,0,'Données projet'!$E$11+1,1))-AVERAGE(OFFSET($H$3,0,0,'Données projet'!$E$11+1,1))</f>
        <v>518.47226207416952</v>
      </c>
      <c r="BJ15" s="60">
        <f t="shared" si="38"/>
        <v>314.6379787306804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56.726682972238187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2.1</v>
      </c>
      <c r="BY15" s="13">
        <f>IF('Données projet'!$A$114&gt;35,BY14+BX15-CG14,IF(A15&lt;'Données projet'!$A$114,$BV$205^A15,IF(A15='Données projet'!$A$114,'Données projet'!$B$114,BY14+BX15-CG14)))</f>
        <v>9.4178024044149407</v>
      </c>
      <c r="BZ15" s="14">
        <f>BY15*VLOOKUP('Données projet'!$B$12,Paramètres!$A$1:$I$89,3,0)*VLOOKUP('Données projet'!$B$12,Paramètres!$A$1:$I$89,5,0)</f>
        <v>10.137322508112241</v>
      </c>
      <c r="CA15" s="14">
        <f t="shared" si="39"/>
        <v>3.5676797253661268</v>
      </c>
      <c r="CB15" s="22">
        <f t="shared" si="10"/>
        <v>23.869545556641487</v>
      </c>
      <c r="CC15" s="60">
        <f t="shared" si="11"/>
        <v>246.53404978818153</v>
      </c>
      <c r="CD15" s="60">
        <f ca="1">AVERAGE(OFFSET($CC$3,0,0,'Données projet'!$E$12+1,1))-AVERAGE(OFFSET($H$3,0,0,'Données projet'!$E$12+1,1))</f>
        <v>530.32456073177104</v>
      </c>
      <c r="CE15" s="60">
        <f t="shared" si="40"/>
        <v>279.81519428470625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56.726682972238187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2.4933333333333332</v>
      </c>
      <c r="CT15" s="13">
        <f>IF('Données projet'!$A$140&gt;35,CT14+CS15-DB14,IF(A15&lt;'Données projet'!$A$140,$CQ$205^A15,IF(A15='Données projet'!$A$140,'Données projet'!$B$140,CT14+CS15-DB14)))</f>
        <v>18.125804093506943</v>
      </c>
      <c r="CU15" s="18">
        <f>CT15*VLOOKUP('Données projet'!$B$13,Paramètres!$A$1:$I$89,3,0)*VLOOKUP('Données projet'!$B$13,Paramètres!$A$1:$I$89,5,0)</f>
        <v>15.834702456087667</v>
      </c>
      <c r="CV15" s="14">
        <f t="shared" si="41"/>
        <v>5.2908735089394296</v>
      </c>
      <c r="CW15" s="22">
        <f t="shared" si="13"/>
        <v>36.793711472422189</v>
      </c>
      <c r="CX15" s="60">
        <f t="shared" si="14"/>
        <v>259.4582157039622</v>
      </c>
      <c r="CY15" s="60">
        <f ca="1">AVERAGE(OFFSET($CX$3,0,0,'Données projet'!$E$13+1,1))-AVERAGE(OFFSET($H$3,0,0,'Données projet'!$E$13+1,1))</f>
        <v>355.03862261578701</v>
      </c>
      <c r="CZ15" s="60">
        <f t="shared" si="42"/>
        <v>382.84441399266029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56.726682972238187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2.6666666666666665</v>
      </c>
      <c r="DO15" s="13">
        <f>IF('Données projet'!$A$166&gt;35,DO14+DN15-DW14,IF(A15&lt;'Données projet'!$A$166,$DL$205^A15,IF(A15='Données projet'!$A$166,'Données projet'!$B$166,DO14+DN15-DW14)))</f>
        <v>19.127049995800721</v>
      </c>
      <c r="DP15" s="18">
        <f>DO15*VLOOKUP('Données projet'!$B$14,Paramètres!$A$1:$I$89,3,0)*VLOOKUP('Données projet'!$B$14,Paramètres!$A$1:$I$89,5,0)</f>
        <v>14.919098996724562</v>
      </c>
      <c r="DQ15" s="14">
        <f t="shared" si="43"/>
        <v>5.019622097301081</v>
      </c>
      <c r="DR15" s="22">
        <f t="shared" si="16"/>
        <v>34.726605905427995</v>
      </c>
      <c r="DS15" s="60">
        <f t="shared" si="17"/>
        <v>257.39111013696805</v>
      </c>
      <c r="DT15" s="60">
        <f ca="1">AVERAGE(OFFSET($DS$3,0,0,'Données projet'!$E$14+1,1))-AVERAGE(OFFSET($H$3,0,0,'Données projet'!$E$14+1,1))</f>
        <v>305.68891030516761</v>
      </c>
      <c r="DU15" s="60">
        <f t="shared" si="44"/>
        <v>296.00275062228275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56.726682972238187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2.1</v>
      </c>
      <c r="EJ15" s="13">
        <f>IF('Données projet'!$A$192&gt;35,EJ14+EI15-ER14,IF(A15&lt;'Données projet'!$A$192,$EG$205^A15,IF(A15='Données projet'!$A$192,'Données projet'!$B$192,EJ14+EI15-ER14)))</f>
        <v>9.4178024044149407</v>
      </c>
      <c r="EK15" s="18">
        <f>EJ15*VLOOKUP('Données projet'!$B$15,Paramètres!$A$1:$I$89,3,0)*VLOOKUP('Données projet'!$B$15,Paramètres!$A$1:$I$89,5,0)</f>
        <v>9.1088984855501316</v>
      </c>
      <c r="EL15" s="14">
        <f t="shared" si="45"/>
        <v>3.2459072101643005</v>
      </c>
      <c r="EM15" s="22">
        <f t="shared" si="19"/>
        <v>21.517953253369303</v>
      </c>
      <c r="EN15" s="60">
        <f t="shared" si="20"/>
        <v>244.18245748490935</v>
      </c>
      <c r="EO15" s="60">
        <f ca="1">AVERAGE(OFFSET($EN$3,0,0,'Données projet'!$E$15+1,1))-AVERAGE(OFFSET($H$3,0,0,'Données projet'!$E$15+1,1))</f>
        <v>483.60545605360528</v>
      </c>
      <c r="EP15" s="60">
        <f t="shared" si="46"/>
        <v>256.96685577560345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56.726682972238187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0" t="e">
        <f t="shared" si="23"/>
        <v>#N/A</v>
      </c>
      <c r="FJ15" s="60" t="e">
        <f ca="1">AVERAGE(OFFSET($FI$3,0,0,'Données projet'!$E$16+1,1))-AVERAGE(OFFSET($H$3,0,0,'Données projet'!$E$16+1,1))</f>
        <v>#N/A</v>
      </c>
      <c r="FK15" s="60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56.726682972238187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0" t="e">
        <f t="shared" si="26"/>
        <v>#N/A</v>
      </c>
      <c r="GE15" s="60" t="e">
        <f ca="1">AVERAGE(OFFSET($GD$3,0,0,'Données projet'!$E$17+1,1))-AVERAGE(OFFSET($H$3,0,0,'Données projet'!$E$17+1,1))</f>
        <v>#N/A</v>
      </c>
      <c r="GF15" s="60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56.726682972238187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4">
        <f>'Scénario référence'!$B$16*5+'Scénario référence'!$B$17*0+'Scénario référence'!$B$18*5</f>
        <v>3.2750000000000004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12.008333333333335</v>
      </c>
      <c r="H16" s="67">
        <f t="shared" si="1"/>
        <v>208.63333333333333</v>
      </c>
      <c r="I16" s="7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56.956945347978568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projet'!$B$9,Paramètres!$A$1:$I$89,3,0)*VLOOKUP('Données projet'!$B$9,Paramètres!$A$1:$I$89,5,0)</f>
        <v>11.511979134151852</v>
      </c>
      <c r="P16" s="14">
        <f t="shared" si="33"/>
        <v>3.9919417855793822</v>
      </c>
      <c r="Q16" s="22">
        <f t="shared" si="2"/>
        <v>27.002662268531896</v>
      </c>
      <c r="R16" s="60">
        <f t="shared" si="0"/>
        <v>251.73368410000887</v>
      </c>
      <c r="S16" s="60">
        <f ca="1">AVERAGE(OFFSET($R$3,0,0,'Données projet'!$E$9+1,1))-AVERAGE(OFFSET($H$3,0,0,'Données projet'!$E$9+1,1))</f>
        <v>503.64055031157477</v>
      </c>
      <c r="T16" s="60">
        <f t="shared" si="34"/>
        <v>266.76572540460842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56.956945347978568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IF('Données projet'!$A$62&gt;35,AI15+AH16-AQ15,IF(A16&lt;'Données projet'!$A$62,$AF$205^A16,IF(A16='Données projet'!$A$62,'Données projet'!$B$62,AI15+AH16-AQ15)))</f>
        <v>11.35303662145153</v>
      </c>
      <c r="AJ16" s="14">
        <f>AI16*VLOOKUP('Données projet'!$B$10,Paramètres!$A$1:$I$89,3,0)*VLOOKUP('Données projet'!$B$10,Paramètres!$A$1:$I$89,5,0)</f>
        <v>10.272227535089344</v>
      </c>
      <c r="AK16" s="14">
        <f t="shared" si="35"/>
        <v>3.6095987912522753</v>
      </c>
      <c r="AL16" s="22">
        <f t="shared" si="4"/>
        <v>24.177514185044988</v>
      </c>
      <c r="AM16" s="60">
        <f t="shared" si="5"/>
        <v>248.90853601652196</v>
      </c>
      <c r="AN16" s="60">
        <f ca="1">AVERAGE(OFFSET($AM$3,0,0,'Données projet'!$E$10+1,1))-AVERAGE(OFFSET($H$3,0,0,'Données projet'!$E$10+1,1))</f>
        <v>456.86058467343139</v>
      </c>
      <c r="AO16" s="60">
        <f t="shared" si="36"/>
        <v>243.88495931574937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56.956945347978568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2.0085470085470085</v>
      </c>
      <c r="BD16" s="13">
        <f>IF('Données projet'!$A$88&gt;35,BD15+BC16-BL15,IF(A16&lt;'Données projet'!$A$88,$BA$205^A16,IF(A16='Données projet'!$A$88,'Données projet'!$B$88,BD15+BC16-BL15)))</f>
        <v>19.132724808582047</v>
      </c>
      <c r="BE16" s="14">
        <f>BD16*VLOOKUP('Données projet'!$B$11,Paramètres!$A$1:$I$89,3,0)*VLOOKUP('Données projet'!$B$11,Paramètres!$A$1:$I$89,5,0)</f>
        <v>19.997523969929958</v>
      </c>
      <c r="BF16" s="14">
        <f t="shared" si="37"/>
        <v>6.5027140709684383</v>
      </c>
      <c r="BG16" s="22">
        <f t="shared" si="7"/>
        <v>46.154581254564704</v>
      </c>
      <c r="BH16" s="60">
        <f t="shared" si="8"/>
        <v>270.88560308604167</v>
      </c>
      <c r="BI16" s="60">
        <f ca="1">AVERAGE(OFFSET($BH$3,0,0,'Données projet'!$E$11+1,1))-AVERAGE(OFFSET($H$3,0,0,'Données projet'!$E$11+1,1))</f>
        <v>518.47226207416952</v>
      </c>
      <c r="BJ16" s="60">
        <f t="shared" si="38"/>
        <v>314.6379787306804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56.956945347978568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2.1</v>
      </c>
      <c r="BY16" s="13">
        <f>IF('Données projet'!$A$114&gt;35,BY15+BX16-CG15,IF(A16&lt;'Données projet'!$A$114,$BV$205^A16,IF(A16='Données projet'!$A$114,'Données projet'!$B$114,BY15+BX16-CG15)))</f>
        <v>11.35303662145153</v>
      </c>
      <c r="BZ16" s="14">
        <f>BY16*VLOOKUP('Données projet'!$B$12,Paramètres!$A$1:$I$89,3,0)*VLOOKUP('Données projet'!$B$12,Paramètres!$A$1:$I$89,5,0)</f>
        <v>12.220408619330426</v>
      </c>
      <c r="CA16" s="14">
        <f t="shared" si="39"/>
        <v>4.2082449797185175</v>
      </c>
      <c r="CB16" s="22">
        <f t="shared" si="10"/>
        <v>28.613238351676909</v>
      </c>
      <c r="CC16" s="60">
        <f t="shared" si="11"/>
        <v>253.34426018315386</v>
      </c>
      <c r="CD16" s="60">
        <f ca="1">AVERAGE(OFFSET($CC$3,0,0,'Données projet'!$E$12+1,1))-AVERAGE(OFFSET($H$3,0,0,'Données projet'!$E$12+1,1))</f>
        <v>530.32456073177104</v>
      </c>
      <c r="CE16" s="60">
        <f t="shared" si="40"/>
        <v>279.81519428470625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56.956945347978568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2.4933333333333332</v>
      </c>
      <c r="CT16" s="13">
        <f>IF('Données projet'!$A$140&gt;35,CT15+CS16-DB15,IF(A16&lt;'Données projet'!$A$140,$CQ$205^A16,IF(A16='Données projet'!$A$140,'Données projet'!$B$140,CT15+CS16-DB15)))</f>
        <v>23.075726799540639</v>
      </c>
      <c r="CU16" s="18">
        <f>CT16*VLOOKUP('Données projet'!$B$13,Paramètres!$A$1:$I$89,3,0)*VLOOKUP('Données projet'!$B$13,Paramètres!$A$1:$I$89,5,0)</f>
        <v>20.158954932078704</v>
      </c>
      <c r="CV16" s="14">
        <f t="shared" si="41"/>
        <v>6.5490755728028107</v>
      </c>
      <c r="CW16" s="22">
        <f t="shared" si="13"/>
        <v>46.516486462668638</v>
      </c>
      <c r="CX16" s="60">
        <f t="shared" si="14"/>
        <v>271.24750829414563</v>
      </c>
      <c r="CY16" s="60">
        <f ca="1">AVERAGE(OFFSET($CX$3,0,0,'Données projet'!$E$13+1,1))-AVERAGE(OFFSET($H$3,0,0,'Données projet'!$E$13+1,1))</f>
        <v>355.03862261578701</v>
      </c>
      <c r="CZ16" s="60">
        <f t="shared" si="42"/>
        <v>382.84441399266029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56.956945347978568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2.6666666666666665</v>
      </c>
      <c r="DO16" s="13">
        <f>IF('Données projet'!$A$166&gt;35,DO15+DN16-DW15,IF(A16&lt;'Données projet'!$A$166,$DL$205^A16,IF(A16='Données projet'!$A$166,'Données projet'!$B$166,DO15+DN16-DW15)))</f>
        <v>24.459748796430759</v>
      </c>
      <c r="DP16" s="18">
        <f>DO16*VLOOKUP('Données projet'!$B$14,Paramètres!$A$1:$I$89,3,0)*VLOOKUP('Données projet'!$B$14,Paramètres!$A$1:$I$89,5,0)</f>
        <v>19.078604061215994</v>
      </c>
      <c r="DQ16" s="14">
        <f t="shared" si="43"/>
        <v>6.2379664748280286</v>
      </c>
      <c r="DR16" s="22">
        <f t="shared" si="16"/>
        <v>44.093027016943331</v>
      </c>
      <c r="DS16" s="60">
        <f t="shared" si="17"/>
        <v>268.82404884842032</v>
      </c>
      <c r="DT16" s="60">
        <f ca="1">AVERAGE(OFFSET($DS$3,0,0,'Données projet'!$E$14+1,1))-AVERAGE(OFFSET($H$3,0,0,'Données projet'!$E$14+1,1))</f>
        <v>305.68891030516761</v>
      </c>
      <c r="DU16" s="60">
        <f t="shared" si="44"/>
        <v>296.00275062228275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56.956945347978568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2.1</v>
      </c>
      <c r="EJ16" s="13">
        <f>IF('Données projet'!$A$192&gt;35,EJ15+EI16-ER15,IF(A16&lt;'Données projet'!$A$192,$EG$205^A16,IF(A16='Données projet'!$A$192,'Données projet'!$B$192,EJ15+EI16-ER15)))</f>
        <v>11.35303662145153</v>
      </c>
      <c r="EK16" s="18">
        <f>EJ16*VLOOKUP('Données projet'!$B$15,Paramètres!$A$1:$I$89,3,0)*VLOOKUP('Données projet'!$B$15,Paramètres!$A$1:$I$89,5,0)</f>
        <v>10.98065702026792</v>
      </c>
      <c r="EL16" s="14">
        <f t="shared" si="45"/>
        <v>3.8286992592655618</v>
      </c>
      <c r="EM16" s="22">
        <f t="shared" si="19"/>
        <v>25.792962186854144</v>
      </c>
      <c r="EN16" s="60">
        <f t="shared" si="20"/>
        <v>250.52398401833111</v>
      </c>
      <c r="EO16" s="60">
        <f ca="1">AVERAGE(OFFSET($EN$3,0,0,'Données projet'!$E$15+1,1))-AVERAGE(OFFSET($H$3,0,0,'Données projet'!$E$15+1,1))</f>
        <v>483.60545605360528</v>
      </c>
      <c r="EP16" s="60">
        <f t="shared" si="46"/>
        <v>256.96685577560345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56.956945347978568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0" t="e">
        <f t="shared" si="23"/>
        <v>#N/A</v>
      </c>
      <c r="FJ16" s="60" t="e">
        <f ca="1">AVERAGE(OFFSET($FI$3,0,0,'Données projet'!$E$16+1,1))-AVERAGE(OFFSET($H$3,0,0,'Données projet'!$E$16+1,1))</f>
        <v>#N/A</v>
      </c>
      <c r="FK16" s="60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56.956945347978568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0" t="e">
        <f t="shared" si="26"/>
        <v>#N/A</v>
      </c>
      <c r="GE16" s="60" t="e">
        <f ca="1">AVERAGE(OFFSET($GD$3,0,0,'Données projet'!$E$17+1,1))-AVERAGE(OFFSET($H$3,0,0,'Données projet'!$E$17+1,1))</f>
        <v>#N/A</v>
      </c>
      <c r="GF16" s="60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56.956945347978568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4">
        <f>'Scénario référence'!$B$16*5+'Scénario référence'!$B$17*0+'Scénario référence'!$B$18*5</f>
        <v>3.2750000000000004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12.008333333333335</v>
      </c>
      <c r="H17" s="67">
        <f t="shared" si="1"/>
        <v>208.63333333333333</v>
      </c>
      <c r="I17" s="7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57.183213186289414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projet'!$B$9,Paramètres!$A$1:$I$89,3,0)*VLOOKUP('Données projet'!$B$9,Paramètres!$A$1:$I$89,5,0)</f>
        <v>13.877539056685173</v>
      </c>
      <c r="P17" s="14">
        <f t="shared" si="33"/>
        <v>4.7086819085950955</v>
      </c>
      <c r="Q17" s="22">
        <f t="shared" si="2"/>
        <v>32.371001514529802</v>
      </c>
      <c r="R17" s="60">
        <f t="shared" si="0"/>
        <v>259.15389430870209</v>
      </c>
      <c r="S17" s="60">
        <f ca="1">AVERAGE(OFFSET($R$3,0,0,'Données projet'!$E$9+1,1))-AVERAGE(OFFSET($H$3,0,0,'Données projet'!$E$9+1,1))</f>
        <v>503.64055031157477</v>
      </c>
      <c r="T17" s="60">
        <f t="shared" si="34"/>
        <v>266.76572540460842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57.183213186289414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IF('Données projet'!$A$62&gt;35,AI16+AH17-AQ16,IF(A17&lt;'Données projet'!$A$62,$AF$205^A17,IF(A17='Données projet'!$A$62,'Données projet'!$B$62,AI16+AH17-AQ16)))</f>
        <v>13.685935953338433</v>
      </c>
      <c r="AJ17" s="14">
        <f>AI17*VLOOKUP('Données projet'!$B$10,Paramètres!$A$1:$I$89,3,0)*VLOOKUP('Données projet'!$B$10,Paramètres!$A$1:$I$89,5,0)</f>
        <v>12.383034850580612</v>
      </c>
      <c r="AK17" s="14">
        <f t="shared" si="35"/>
        <v>4.2576904771143838</v>
      </c>
      <c r="AL17" s="22">
        <f t="shared" si="4"/>
        <v>28.982596612402116</v>
      </c>
      <c r="AM17" s="60">
        <f t="shared" si="5"/>
        <v>255.7654894065744</v>
      </c>
      <c r="AN17" s="60">
        <f ca="1">AVERAGE(OFFSET($AM$3,0,0,'Données projet'!$E$10+1,1))-AVERAGE(OFFSET($H$3,0,0,'Données projet'!$E$10+1,1))</f>
        <v>456.86058467343139</v>
      </c>
      <c r="AO17" s="60">
        <f t="shared" si="36"/>
        <v>243.88495931574937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57.183213186289414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2.0085470085470085</v>
      </c>
      <c r="BD17" s="13">
        <f>IF('Données projet'!$A$88&gt;35,BD16+BC17-BL16,IF(A17&lt;'Données projet'!$A$88,$BA$205^A17,IF(A17='Données projet'!$A$88,'Données projet'!$B$88,BD16+BC17-BL16)))</f>
        <v>24.009053660951697</v>
      </c>
      <c r="BE17" s="14">
        <f>BD17*VLOOKUP('Données projet'!$B$11,Paramètres!$A$1:$I$89,3,0)*VLOOKUP('Données projet'!$B$11,Paramètres!$A$1:$I$89,5,0)</f>
        <v>25.094262886426712</v>
      </c>
      <c r="BF17" s="14">
        <f t="shared" si="37"/>
        <v>7.9472347747017285</v>
      </c>
      <c r="BG17" s="22">
        <f t="shared" si="7"/>
        <v>57.547275093132022</v>
      </c>
      <c r="BH17" s="60">
        <f t="shared" si="8"/>
        <v>284.3301678873043</v>
      </c>
      <c r="BI17" s="60">
        <f ca="1">AVERAGE(OFFSET($BH$3,0,0,'Données projet'!$E$11+1,1))-AVERAGE(OFFSET($H$3,0,0,'Données projet'!$E$11+1,1))</f>
        <v>518.47226207416952</v>
      </c>
      <c r="BJ17" s="60">
        <f t="shared" si="38"/>
        <v>314.6379787306804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57.183213186289414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2.1</v>
      </c>
      <c r="BY17" s="13">
        <f>IF('Données projet'!$A$114&gt;35,BY16+BX17-CG16,IF(A17&lt;'Données projet'!$A$114,$BV$205^A17,IF(A17='Données projet'!$A$114,'Données projet'!$B$114,BY16+BX17-CG16)))</f>
        <v>13.685935953338433</v>
      </c>
      <c r="BZ17" s="14">
        <f>BY17*VLOOKUP('Données projet'!$B$12,Paramètres!$A$1:$I$89,3,0)*VLOOKUP('Données projet'!$B$12,Paramètres!$A$1:$I$89,5,0)</f>
        <v>14.731541460173487</v>
      </c>
      <c r="CA17" s="14">
        <f t="shared" si="39"/>
        <v>4.9638216355053304</v>
      </c>
      <c r="CB17" s="22">
        <f t="shared" si="10"/>
        <v>34.302757391640604</v>
      </c>
      <c r="CC17" s="60">
        <f t="shared" si="11"/>
        <v>261.08565018581288</v>
      </c>
      <c r="CD17" s="60">
        <f ca="1">AVERAGE(OFFSET($CC$3,0,0,'Données projet'!$E$12+1,1))-AVERAGE(OFFSET($H$3,0,0,'Données projet'!$E$12+1,1))</f>
        <v>530.32456073177104</v>
      </c>
      <c r="CE17" s="60">
        <f t="shared" si="40"/>
        <v>279.81519428470625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57.183213186289414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2.4933333333333332</v>
      </c>
      <c r="CT17" s="13">
        <f>IF('Données projet'!$A$140&gt;35,CT16+CS17-DB16,IF(A17&lt;'Données projet'!$A$140,$CQ$205^A17,IF(A17='Données projet'!$A$140,'Données projet'!$B$140,CT16+CS17-DB16)))</f>
        <v>29.37740938719443</v>
      </c>
      <c r="CU17" s="18">
        <f>CT17*VLOOKUP('Données projet'!$B$13,Paramètres!$A$1:$I$89,3,0)*VLOOKUP('Données projet'!$B$13,Paramètres!$A$1:$I$89,5,0)</f>
        <v>25.664104840653053</v>
      </c>
      <c r="CV17" s="14">
        <f t="shared" si="41"/>
        <v>8.1064857789200797</v>
      </c>
      <c r="CW17" s="22">
        <f t="shared" si="13"/>
        <v>58.817111995756541</v>
      </c>
      <c r="CX17" s="60">
        <f t="shared" si="14"/>
        <v>285.60000478992885</v>
      </c>
      <c r="CY17" s="60">
        <f ca="1">AVERAGE(OFFSET($CX$3,0,0,'Données projet'!$E$13+1,1))-AVERAGE(OFFSET($H$3,0,0,'Données projet'!$E$13+1,1))</f>
        <v>355.03862261578701</v>
      </c>
      <c r="CZ17" s="60">
        <f t="shared" si="42"/>
        <v>382.84441399266029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57.183213186289414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2.6666666666666665</v>
      </c>
      <c r="DO17" s="13">
        <f>IF('Données projet'!$A$166&gt;35,DO16+DN17-DW16,IF(A17&lt;'Données projet'!$A$166,$DL$205^A17,IF(A17='Données projet'!$A$166,'Données projet'!$B$166,DO16+DN17-DW16)))</f>
        <v>31.279225563578599</v>
      </c>
      <c r="DP17" s="18">
        <f>DO17*VLOOKUP('Données projet'!$B$14,Paramètres!$A$1:$I$89,3,0)*VLOOKUP('Données projet'!$B$14,Paramètres!$A$1:$I$89,5,0)</f>
        <v>24.397795939591308</v>
      </c>
      <c r="DQ17" s="14">
        <f t="shared" si="43"/>
        <v>7.75202295846145</v>
      </c>
      <c r="DR17" s="22">
        <f t="shared" si="16"/>
        <v>55.994267914108548</v>
      </c>
      <c r="DS17" s="60">
        <f t="shared" si="17"/>
        <v>282.7771607082808</v>
      </c>
      <c r="DT17" s="60">
        <f ca="1">AVERAGE(OFFSET($DS$3,0,0,'Données projet'!$E$14+1,1))-AVERAGE(OFFSET($H$3,0,0,'Données projet'!$E$14+1,1))</f>
        <v>305.68891030516761</v>
      </c>
      <c r="DU17" s="60">
        <f t="shared" si="44"/>
        <v>296.00275062228275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57.183213186289414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2.1</v>
      </c>
      <c r="EJ17" s="13">
        <f>IF('Données projet'!$A$192&gt;35,EJ16+EI17-ER16,IF(A17&lt;'Données projet'!$A$192,$EG$205^A17,IF(A17='Données projet'!$A$192,'Données projet'!$B$192,EJ16+EI17-ER16)))</f>
        <v>13.685935953338433</v>
      </c>
      <c r="EK17" s="18">
        <f>EJ17*VLOOKUP('Données projet'!$B$15,Paramètres!$A$1:$I$89,3,0)*VLOOKUP('Données projet'!$B$15,Paramètres!$A$1:$I$89,5,0)</f>
        <v>13.237037254068934</v>
      </c>
      <c r="EL17" s="14">
        <f t="shared" si="45"/>
        <v>4.5161297192961545</v>
      </c>
      <c r="EM17" s="22">
        <f t="shared" si="19"/>
        <v>30.920099145277529</v>
      </c>
      <c r="EN17" s="60">
        <f t="shared" si="20"/>
        <v>257.70299193944982</v>
      </c>
      <c r="EO17" s="60">
        <f ca="1">AVERAGE(OFFSET($EN$3,0,0,'Données projet'!$E$15+1,1))-AVERAGE(OFFSET($H$3,0,0,'Données projet'!$E$15+1,1))</f>
        <v>483.60545605360528</v>
      </c>
      <c r="EP17" s="60">
        <f t="shared" si="46"/>
        <v>256.96685577560345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57.183213186289414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0" t="e">
        <f t="shared" si="23"/>
        <v>#N/A</v>
      </c>
      <c r="FJ17" s="60" t="e">
        <f ca="1">AVERAGE(OFFSET($FI$3,0,0,'Données projet'!$E$16+1,1))-AVERAGE(OFFSET($H$3,0,0,'Données projet'!$E$16+1,1))</f>
        <v>#N/A</v>
      </c>
      <c r="FK17" s="60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57.183213186289414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0" t="e">
        <f t="shared" si="26"/>
        <v>#N/A</v>
      </c>
      <c r="GE17" s="60" t="e">
        <f ca="1">AVERAGE(OFFSET($GD$3,0,0,'Données projet'!$E$17+1,1))-AVERAGE(OFFSET($H$3,0,0,'Données projet'!$E$17+1,1))</f>
        <v>#N/A</v>
      </c>
      <c r="GF17" s="60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57.183213186289414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4">
        <f>'Scénario référence'!$B$16*5+'Scénario référence'!$B$17*0+'Scénario référence'!$B$18*5</f>
        <v>3.2750000000000004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12.008333333333335</v>
      </c>
      <c r="H18" s="67">
        <f t="shared" si="1"/>
        <v>208.63333333333333</v>
      </c>
      <c r="I18" s="7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57.405555783464656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projet'!$B$9,Paramètres!$A$1:$I$89,3,0)*VLOOKUP('Données projet'!$B$9,Paramètres!$A$1:$I$89,5,0)</f>
        <v>16.729190352551068</v>
      </c>
      <c r="P18" s="14">
        <f t="shared" si="33"/>
        <v>5.5541103821765283</v>
      </c>
      <c r="Q18" s="22">
        <f t="shared" si="2"/>
        <v>38.810082112983899</v>
      </c>
      <c r="R18" s="60">
        <f t="shared" si="0"/>
        <v>267.63045331902094</v>
      </c>
      <c r="S18" s="60">
        <f ca="1">AVERAGE(OFFSET($R$3,0,0,'Données projet'!$E$9+1,1))-AVERAGE(OFFSET($H$3,0,0,'Données projet'!$E$9+1,1))</f>
        <v>503.64055031157477</v>
      </c>
      <c r="T18" s="60">
        <f t="shared" si="34"/>
        <v>266.76572540460842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57.405555783464656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IF('Données projet'!$A$62&gt;35,AI17+AH18-AQ17,IF(A18&lt;'Données projet'!$A$62,$AF$205^A18,IF(A18='Données projet'!$A$62,'Données projet'!$B$62,AI17+AH18-AQ17)))</f>
        <v>16.498215337821566</v>
      </c>
      <c r="AJ18" s="14">
        <f>AI18*VLOOKUP('Données projet'!$B$10,Paramètres!$A$1:$I$89,3,0)*VLOOKUP('Données projet'!$B$10,Paramètres!$A$1:$I$89,5,0)</f>
        <v>14.927585237660953</v>
      </c>
      <c r="AK18" s="14">
        <f t="shared" si="35"/>
        <v>5.0221449106318534</v>
      </c>
      <c r="AL18" s="22">
        <f t="shared" si="4"/>
        <v>34.745780008276633</v>
      </c>
      <c r="AM18" s="60">
        <f t="shared" si="5"/>
        <v>263.56615121431372</v>
      </c>
      <c r="AN18" s="60">
        <f ca="1">AVERAGE(OFFSET($AM$3,0,0,'Données projet'!$E$10+1,1))-AVERAGE(OFFSET($H$3,0,0,'Données projet'!$E$10+1,1))</f>
        <v>456.86058467343139</v>
      </c>
      <c r="AO18" s="60">
        <f t="shared" si="36"/>
        <v>243.88495931574937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57.405555783464656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30.128205128205128</v>
      </c>
      <c r="BB18" s="13">
        <f>VLOOKUP(A18,'Données projet'!$A$87:$I$107,9,0)</f>
        <v>2.0085470085470085</v>
      </c>
      <c r="BC18" s="13">
        <f t="array" ref="BC18">INDEX(BB:BB,MIN(IF(ISNUMBER(BB18:BB214),ROW(BB18:BB214),"")))</f>
        <v>2.0085470085470085</v>
      </c>
      <c r="BD18" s="13">
        <f>IF('Données projet'!$A$88&gt;35,BD17+BC18-BL17,IF(A18&lt;'Données projet'!$A$88,$BA$205^A18,IF(A18='Données projet'!$A$88,'Données projet'!$B$88,BD17+BC18-BL17)))</f>
        <v>30.128205128205128</v>
      </c>
      <c r="BE18" s="14">
        <f>BD18*VLOOKUP('Données projet'!$B$11,Paramètres!$A$1:$I$89,3,0)*VLOOKUP('Données projet'!$B$11,Paramètres!$A$1:$I$89,5,0)</f>
        <v>31.490000000000006</v>
      </c>
      <c r="BF18" s="14">
        <f t="shared" si="37"/>
        <v>9.7126430402655597</v>
      </c>
      <c r="BG18" s="22">
        <f t="shared" si="7"/>
        <v>71.761269961795847</v>
      </c>
      <c r="BH18" s="60">
        <f t="shared" si="8"/>
        <v>300.58164116783291</v>
      </c>
      <c r="BI18" s="60">
        <f ca="1">AVERAGE(OFFSET($BH$3,0,0,'Données projet'!$E$11+1,1))-AVERAGE(OFFSET($H$3,0,0,'Données projet'!$E$11+1,1))</f>
        <v>518.47226207416952</v>
      </c>
      <c r="BJ18" s="60">
        <f t="shared" si="38"/>
        <v>314.6379787306804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57.405555783464656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2.1</v>
      </c>
      <c r="BY18" s="13">
        <f>IF('Données projet'!$A$114&gt;35,BY17+BX18-CG17,IF(A18&lt;'Données projet'!$A$114,$BV$205^A18,IF(A18='Données projet'!$A$114,'Données projet'!$B$114,BY17+BX18-CG17)))</f>
        <v>16.498215337821566</v>
      </c>
      <c r="BZ18" s="14">
        <f>BY18*VLOOKUP('Données projet'!$B$12,Paramètres!$A$1:$I$89,3,0)*VLOOKUP('Données projet'!$B$12,Paramètres!$A$1:$I$89,5,0)</f>
        <v>17.758678989631132</v>
      </c>
      <c r="CA18" s="14">
        <f t="shared" si="39"/>
        <v>5.8550596146042126</v>
      </c>
      <c r="CB18" s="22">
        <f t="shared" si="10"/>
        <v>41.127261402376554</v>
      </c>
      <c r="CC18" s="60">
        <f t="shared" si="11"/>
        <v>269.94763260841364</v>
      </c>
      <c r="CD18" s="60">
        <f ca="1">AVERAGE(OFFSET($CC$3,0,0,'Données projet'!$E$12+1,1))-AVERAGE(OFFSET($H$3,0,0,'Données projet'!$E$12+1,1))</f>
        <v>530.32456073177104</v>
      </c>
      <c r="CE18" s="60">
        <f t="shared" si="40"/>
        <v>279.81519428470625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57.405555783464656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37.4</v>
      </c>
      <c r="CR18" s="13">
        <f>VLOOKUP(A18,'Données projet'!$A$139:$I$159,9,0)</f>
        <v>2.4933333333333332</v>
      </c>
      <c r="CS18" s="13">
        <f t="array" ref="CS18">INDEX(CR:CR,MIN(IF(ISNUMBER(CR18:CR214),ROW(CR18:CR214),"")))</f>
        <v>2.4933333333333332</v>
      </c>
      <c r="CT18" s="13">
        <f>IF('Données projet'!$A$140&gt;35,CT17+CS18-DB17,IF(A18&lt;'Données projet'!$A$140,$CQ$205^A18,IF(A18='Données projet'!$A$140,'Données projet'!$B$140,CT17+CS18-DB17)))</f>
        <v>37.4</v>
      </c>
      <c r="CU18" s="18">
        <f>CT18*VLOOKUP('Données projet'!$B$13,Paramètres!$A$1:$I$89,3,0)*VLOOKUP('Données projet'!$B$13,Paramètres!$A$1:$I$89,5,0)</f>
        <v>32.672640000000008</v>
      </c>
      <c r="CV18" s="14">
        <f t="shared" si="41"/>
        <v>10.03425765259713</v>
      </c>
      <c r="CW18" s="22">
        <f t="shared" si="13"/>
        <v>74.381180078273346</v>
      </c>
      <c r="CX18" s="60">
        <f t="shared" si="14"/>
        <v>303.20155128431043</v>
      </c>
      <c r="CY18" s="60">
        <f ca="1">AVERAGE(OFFSET($CX$3,0,0,'Données projet'!$E$13+1,1))-AVERAGE(OFFSET($H$3,0,0,'Données projet'!$E$13+1,1))</f>
        <v>355.03862261578701</v>
      </c>
      <c r="CZ18" s="60">
        <f t="shared" si="42"/>
        <v>382.84441399266029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57.405555783464656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40</v>
      </c>
      <c r="DM18" s="13">
        <f>VLOOKUP(A18,'Données projet'!$A$165:$I$185,9,0)</f>
        <v>2.6666666666666665</v>
      </c>
      <c r="DN18" s="13">
        <f t="array" ref="DN18">INDEX(DM:DM,MIN(IF(ISNUMBER(DM18:DM214),ROW(DM18:DM214),"")))</f>
        <v>2.6666666666666665</v>
      </c>
      <c r="DO18" s="13">
        <f>IF('Données projet'!$A$166&gt;35,DO17+DN18-DW17,IF(A18&lt;'Données projet'!$A$166,$DL$205^A18,IF(A18='Données projet'!$A$166,'Données projet'!$B$166,DO17+DN18-DW17)))</f>
        <v>40</v>
      </c>
      <c r="DP18" s="18">
        <f>DO18*VLOOKUP('Données projet'!$B$14,Paramètres!$A$1:$I$89,3,0)*VLOOKUP('Données projet'!$B$14,Paramètres!$A$1:$I$89,5,0)</f>
        <v>31.200000000000003</v>
      </c>
      <c r="DQ18" s="14">
        <f t="shared" si="43"/>
        <v>9.6335657126419925</v>
      </c>
      <c r="DR18" s="22">
        <f t="shared" si="16"/>
        <v>71.118460282851473</v>
      </c>
      <c r="DS18" s="60">
        <f t="shared" si="17"/>
        <v>299.93883148888852</v>
      </c>
      <c r="DT18" s="60">
        <f ca="1">AVERAGE(OFFSET($DS$3,0,0,'Données projet'!$E$14+1,1))-AVERAGE(OFFSET($H$3,0,0,'Données projet'!$E$14+1,1))</f>
        <v>305.68891030516761</v>
      </c>
      <c r="DU18" s="60">
        <f t="shared" si="44"/>
        <v>296.00275062228275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57.405555783464656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2.1</v>
      </c>
      <c r="EJ18" s="13">
        <f>IF('Données projet'!$A$192&gt;35,EJ17+EI18-ER17,IF(A18&lt;'Données projet'!$A$192,$EG$205^A18,IF(A18='Données projet'!$A$192,'Données projet'!$B$192,EJ17+EI18-ER17)))</f>
        <v>16.498215337821566</v>
      </c>
      <c r="EK18" s="18">
        <f>EJ18*VLOOKUP('Données projet'!$B$15,Paramètres!$A$1:$I$89,3,0)*VLOOKUP('Données projet'!$B$15,Paramètres!$A$1:$I$89,5,0)</f>
        <v>15.957073874741019</v>
      </c>
      <c r="EL18" s="14">
        <f t="shared" si="45"/>
        <v>5.3269860755326848</v>
      </c>
      <c r="EM18" s="22">
        <f t="shared" si="19"/>
        <v>37.069737746726702</v>
      </c>
      <c r="EN18" s="60">
        <f t="shared" si="20"/>
        <v>265.89010895276374</v>
      </c>
      <c r="EO18" s="60">
        <f ca="1">AVERAGE(OFFSET($EN$3,0,0,'Données projet'!$E$15+1,1))-AVERAGE(OFFSET($H$3,0,0,'Données projet'!$E$15+1,1))</f>
        <v>483.60545605360528</v>
      </c>
      <c r="EP18" s="60">
        <f t="shared" si="46"/>
        <v>256.96685577560345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57.405555783464656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0" t="e">
        <f t="shared" si="23"/>
        <v>#N/A</v>
      </c>
      <c r="FJ18" s="60" t="e">
        <f ca="1">AVERAGE(OFFSET($FI$3,0,0,'Données projet'!$E$16+1,1))-AVERAGE(OFFSET($H$3,0,0,'Données projet'!$E$16+1,1))</f>
        <v>#N/A</v>
      </c>
      <c r="FK18" s="60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57.405555783464656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0" t="e">
        <f t="shared" si="26"/>
        <v>#N/A</v>
      </c>
      <c r="GE18" s="60" t="e">
        <f ca="1">AVERAGE(OFFSET($GD$3,0,0,'Données projet'!$E$17+1,1))-AVERAGE(OFFSET($H$3,0,0,'Données projet'!$E$17+1,1))</f>
        <v>#N/A</v>
      </c>
      <c r="GF18" s="60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57.405555783464656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4">
        <f>'Scénario référence'!$B$16*5+'Scénario référence'!$B$17*0+'Scénario référence'!$B$18*5</f>
        <v>3.2750000000000004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12.008333333333335</v>
      </c>
      <c r="H19" s="67">
        <f t="shared" si="1"/>
        <v>208.63333333333333</v>
      </c>
      <c r="I19" s="7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57.624041233662496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projet'!$B$9,Paramètres!$A$1:$I$89,3,0)*VLOOKUP('Données projet'!$B$9,Paramètres!$A$1:$I$89,5,0)</f>
        <v>20.166818389681932</v>
      </c>
      <c r="P19" s="14">
        <f t="shared" si="33"/>
        <v>6.5513327797938032</v>
      </c>
      <c r="Q19" s="22">
        <f t="shared" si="2"/>
        <v>46.534113286836906</v>
      </c>
      <c r="R19" s="60">
        <f t="shared" si="0"/>
        <v>277.37782003248827</v>
      </c>
      <c r="S19" s="60">
        <f ca="1">AVERAGE(OFFSET($R$3,0,0,'Données projet'!$E$9+1,1))-AVERAGE(OFFSET($H$3,0,0,'Données projet'!$E$9+1,1))</f>
        <v>503.64055031157477</v>
      </c>
      <c r="T19" s="60">
        <f t="shared" si="34"/>
        <v>266.76572540460842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57.624041233662496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IF('Données projet'!$A$62&gt;35,AI18+AH19-AQ18,IF(A19&lt;'Données projet'!$A$62,$AF$205^A19,IF(A19='Données projet'!$A$62,'Données projet'!$B$62,AI18+AH19-AQ18)))</f>
        <v>19.888381054913147</v>
      </c>
      <c r="AJ19" s="14">
        <f>AI19*VLOOKUP('Données projet'!$B$10,Paramètres!$A$1:$I$89,3,0)*VLOOKUP('Données projet'!$B$10,Paramètres!$A$1:$I$89,5,0)</f>
        <v>17.995007178485412</v>
      </c>
      <c r="AK19" s="14">
        <f t="shared" si="35"/>
        <v>5.9238546434872337</v>
      </c>
      <c r="AL19" s="22">
        <f t="shared" si="4"/>
        <v>41.658684339935689</v>
      </c>
      <c r="AM19" s="60">
        <f t="shared" si="5"/>
        <v>272.50239108558708</v>
      </c>
      <c r="AN19" s="60">
        <f ca="1">AVERAGE(OFFSET($AM$3,0,0,'Données projet'!$E$10+1,1))-AVERAGE(OFFSET($H$3,0,0,'Données projet'!$E$10+1,1))</f>
        <v>456.86058467343139</v>
      </c>
      <c r="AO19" s="60">
        <f t="shared" si="36"/>
        <v>243.88495931574937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57.624041233662496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5.7692307692307683</v>
      </c>
      <c r="BD19" s="13">
        <f>IF('Données projet'!$A$88&gt;35,BD18+BC19-BL18,IF(A19&lt;'Données projet'!$A$88,$BA$205^A19,IF(A19='Données projet'!$A$88,'Données projet'!$B$88,BD18+BC19-BL18)))</f>
        <v>35.897435897435898</v>
      </c>
      <c r="BE19" s="14">
        <f>BD19*VLOOKUP('Données projet'!$B$11,Paramètres!$A$1:$I$89,3,0)*VLOOKUP('Données projet'!$B$11,Paramètres!$A$1:$I$89,5,0)</f>
        <v>37.520000000000003</v>
      </c>
      <c r="BF19" s="14">
        <f t="shared" si="37"/>
        <v>11.338894152047692</v>
      </c>
      <c r="BG19" s="22">
        <f t="shared" si="7"/>
        <v>85.095907314816401</v>
      </c>
      <c r="BH19" s="60">
        <f t="shared" si="8"/>
        <v>315.93961406046776</v>
      </c>
      <c r="BI19" s="60">
        <f ca="1">AVERAGE(OFFSET($BH$3,0,0,'Données projet'!$E$11+1,1))-AVERAGE(OFFSET($H$3,0,0,'Données projet'!$E$11+1,1))</f>
        <v>518.47226207416952</v>
      </c>
      <c r="BJ19" s="60">
        <f t="shared" si="38"/>
        <v>314.6379787306804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57.624041233662496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2.1</v>
      </c>
      <c r="BY19" s="13">
        <f>IF('Données projet'!$A$114&gt;35,BY18+BX19-CG18,IF(A19&lt;'Données projet'!$A$114,$BV$205^A19,IF(A19='Données projet'!$A$114,'Données projet'!$B$114,BY18+BX19-CG18)))</f>
        <v>19.888381054913147</v>
      </c>
      <c r="BZ19" s="14">
        <f>BY19*VLOOKUP('Données projet'!$B$12,Paramètres!$A$1:$I$89,3,0)*VLOOKUP('Données projet'!$B$12,Paramètres!$A$1:$I$89,5,0)</f>
        <v>21.407853367508512</v>
      </c>
      <c r="CA19" s="14">
        <f t="shared" si="39"/>
        <v>6.906316464991046</v>
      </c>
      <c r="CB19" s="22">
        <f t="shared" si="10"/>
        <v>49.313845791603399</v>
      </c>
      <c r="CC19" s="60">
        <f t="shared" si="11"/>
        <v>280.15755253725479</v>
      </c>
      <c r="CD19" s="60">
        <f ca="1">AVERAGE(OFFSET($CC$3,0,0,'Données projet'!$E$12+1,1))-AVERAGE(OFFSET($H$3,0,0,'Données projet'!$E$12+1,1))</f>
        <v>530.32456073177104</v>
      </c>
      <c r="CE19" s="60">
        <f t="shared" si="40"/>
        <v>279.81519428470625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57.624041233662496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11.54</v>
      </c>
      <c r="CT19" s="13">
        <f>IF('Données projet'!$A$140&gt;35,CT18+CS19-DB18,IF(A19&lt;'Données projet'!$A$140,$CQ$205^A19,IF(A19='Données projet'!$A$140,'Données projet'!$B$140,CT18+CS19-DB18)))</f>
        <v>48.94</v>
      </c>
      <c r="CU19" s="18">
        <f>CT19*VLOOKUP('Données projet'!$B$13,Paramètres!$A$1:$I$89,3,0)*VLOOKUP('Données projet'!$B$13,Paramètres!$A$1:$I$89,5,0)</f>
        <v>42.753984000000003</v>
      </c>
      <c r="CV19" s="14">
        <f t="shared" si="41"/>
        <v>12.72573807250034</v>
      </c>
      <c r="CW19" s="22">
        <f t="shared" si="13"/>
        <v>96.627182609604759</v>
      </c>
      <c r="CX19" s="60">
        <f t="shared" si="14"/>
        <v>327.47088935525613</v>
      </c>
      <c r="CY19" s="60">
        <f ca="1">AVERAGE(OFFSET($CX$3,0,0,'Données projet'!$E$13+1,1))-AVERAGE(OFFSET($H$3,0,0,'Données projet'!$E$13+1,1))</f>
        <v>355.03862261578701</v>
      </c>
      <c r="CZ19" s="60">
        <f t="shared" si="42"/>
        <v>382.84441399266029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57.624041233662496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9.6</v>
      </c>
      <c r="DO19" s="13">
        <f>IF('Données projet'!$A$166&gt;35,DO18+DN19-DW18,IF(A19&lt;'Données projet'!$A$166,$DL$205^A19,IF(A19='Données projet'!$A$166,'Données projet'!$B$166,DO18+DN19-DW18)))</f>
        <v>49.6</v>
      </c>
      <c r="DP19" s="18">
        <f>DO19*VLOOKUP('Données projet'!$B$14,Paramètres!$A$1:$I$89,3,0)*VLOOKUP('Données projet'!$B$14,Paramètres!$A$1:$I$89,5,0)</f>
        <v>38.688000000000002</v>
      </c>
      <c r="DQ19" s="14">
        <f t="shared" si="43"/>
        <v>11.650229083154354</v>
      </c>
      <c r="DR19" s="22">
        <f t="shared" si="16"/>
        <v>87.672415653160499</v>
      </c>
      <c r="DS19" s="60">
        <f t="shared" si="17"/>
        <v>318.51612239881189</v>
      </c>
      <c r="DT19" s="60">
        <f ca="1">AVERAGE(OFFSET($DS$3,0,0,'Données projet'!$E$14+1,1))-AVERAGE(OFFSET($H$3,0,0,'Données projet'!$E$14+1,1))</f>
        <v>305.68891030516761</v>
      </c>
      <c r="DU19" s="60">
        <f t="shared" si="44"/>
        <v>296.00275062228275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57.624041233662496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2.1</v>
      </c>
      <c r="EJ19" s="13">
        <f>IF('Données projet'!$A$192&gt;35,EJ18+EI19-ER18,IF(A19&lt;'Données projet'!$A$192,$EG$205^A19,IF(A19='Données projet'!$A$192,'Données projet'!$B$192,EJ18+EI19-ER18)))</f>
        <v>19.888381054913147</v>
      </c>
      <c r="EK19" s="18">
        <f>EJ19*VLOOKUP('Données projet'!$B$15,Paramètres!$A$1:$I$89,3,0)*VLOOKUP('Données projet'!$B$15,Paramètres!$A$1:$I$89,5,0)</f>
        <v>19.236042156311996</v>
      </c>
      <c r="EL19" s="14">
        <f t="shared" si="45"/>
        <v>6.2834290449348904</v>
      </c>
      <c r="EM19" s="22">
        <f t="shared" si="19"/>
        <v>44.446412342171662</v>
      </c>
      <c r="EN19" s="60">
        <f t="shared" si="20"/>
        <v>275.29011908782303</v>
      </c>
      <c r="EO19" s="60">
        <f ca="1">AVERAGE(OFFSET($EN$3,0,0,'Données projet'!$E$15+1,1))-AVERAGE(OFFSET($H$3,0,0,'Données projet'!$E$15+1,1))</f>
        <v>483.60545605360528</v>
      </c>
      <c r="EP19" s="60">
        <f t="shared" si="46"/>
        <v>256.96685577560345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57.624041233662496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0" t="e">
        <f t="shared" si="23"/>
        <v>#N/A</v>
      </c>
      <c r="FJ19" s="60" t="e">
        <f ca="1">AVERAGE(OFFSET($FI$3,0,0,'Données projet'!$E$16+1,1))-AVERAGE(OFFSET($H$3,0,0,'Données projet'!$E$16+1,1))</f>
        <v>#N/A</v>
      </c>
      <c r="FK19" s="60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57.624041233662496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0" t="e">
        <f t="shared" si="26"/>
        <v>#N/A</v>
      </c>
      <c r="GE19" s="60" t="e">
        <f ca="1">AVERAGE(OFFSET($GD$3,0,0,'Données projet'!$E$17+1,1))-AVERAGE(OFFSET($H$3,0,0,'Données projet'!$E$17+1,1))</f>
        <v>#N/A</v>
      </c>
      <c r="GF19" s="60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57.624041233662496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4">
        <f>'Scénario référence'!$B$16*5+'Scénario référence'!$B$17*0+'Scénario référence'!$B$18*5</f>
        <v>3.2750000000000004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12.008333333333335</v>
      </c>
      <c r="H20" s="67">
        <f t="shared" si="1"/>
        <v>208.63333333333333</v>
      </c>
      <c r="I20" s="7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57.838736449759693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projet'!$B$9,Paramètres!$A$1:$I$89,3,0)*VLOOKUP('Données projet'!$B$9,Paramètres!$A$1:$I$89,5,0)</f>
        <v>24.31083366209619</v>
      </c>
      <c r="P20" s="14">
        <f t="shared" si="33"/>
        <v>7.7276032052466093</v>
      </c>
      <c r="Q20" s="22">
        <f t="shared" si="2"/>
        <v>55.800277543955367</v>
      </c>
      <c r="R20" s="60">
        <f t="shared" si="0"/>
        <v>288.65342230418537</v>
      </c>
      <c r="S20" s="60">
        <f ca="1">AVERAGE(OFFSET($R$3,0,0,'Données projet'!$E$9+1,1))-AVERAGE(OFFSET($H$3,0,0,'Données projet'!$E$9+1,1))</f>
        <v>503.64055031157477</v>
      </c>
      <c r="T20" s="60">
        <f t="shared" si="34"/>
        <v>266.76572540460842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57.838736449759693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IF('Données projet'!$A$62&gt;35,AI19+AH20-AQ19,IF(A20&lt;'Données projet'!$A$62,$AF$205^A20,IF(A20='Données projet'!$A$62,'Données projet'!$B$62,AI19+AH20-AQ19)))</f>
        <v>23.975181126327602</v>
      </c>
      <c r="AJ20" s="14">
        <f>AI20*VLOOKUP('Données projet'!$B$10,Paramètres!$A$1:$I$89,3,0)*VLOOKUP('Données projet'!$B$10,Paramètres!$A$1:$I$89,5,0)</f>
        <v>21.692743883101215</v>
      </c>
      <c r="AK20" s="14">
        <f t="shared" si="35"/>
        <v>6.98746341685115</v>
      </c>
      <c r="AL20" s="22">
        <f t="shared" si="4"/>
        <v>49.951361047417038</v>
      </c>
      <c r="AM20" s="60">
        <f t="shared" si="5"/>
        <v>282.80450580764705</v>
      </c>
      <c r="AN20" s="60">
        <f ca="1">AVERAGE(OFFSET($AM$3,0,0,'Données projet'!$E$10+1,1))-AVERAGE(OFFSET($H$3,0,0,'Données projet'!$E$10+1,1))</f>
        <v>456.86058467343139</v>
      </c>
      <c r="AO20" s="60">
        <f t="shared" si="36"/>
        <v>243.88495931574937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57.838736449759693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5.7692307692307683</v>
      </c>
      <c r="BD20" s="13">
        <f>IF('Données projet'!$A$88&gt;35,BD19+BC20-BL19,IF(A20&lt;'Données projet'!$A$88,$BA$205^A20,IF(A20='Données projet'!$A$88,'Données projet'!$B$88,BD19+BC20-BL19)))</f>
        <v>41.666666666666664</v>
      </c>
      <c r="BE20" s="14">
        <f>BD20*VLOOKUP('Données projet'!$B$11,Paramètres!$A$1:$I$89,3,0)*VLOOKUP('Données projet'!$B$11,Paramètres!$A$1:$I$89,5,0)</f>
        <v>43.550000000000004</v>
      </c>
      <c r="BF20" s="14">
        <f t="shared" si="37"/>
        <v>12.934868040345785</v>
      </c>
      <c r="BG20" s="22">
        <f t="shared" si="7"/>
        <v>98.377811836935564</v>
      </c>
      <c r="BH20" s="60">
        <f t="shared" si="8"/>
        <v>331.23095659716557</v>
      </c>
      <c r="BI20" s="60">
        <f ca="1">AVERAGE(OFFSET($BH$3,0,0,'Données projet'!$E$11+1,1))-AVERAGE(OFFSET($H$3,0,0,'Données projet'!$E$11+1,1))</f>
        <v>518.47226207416952</v>
      </c>
      <c r="BJ20" s="60">
        <f t="shared" si="38"/>
        <v>314.6379787306804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57.838736449759693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2.1</v>
      </c>
      <c r="BY20" s="13">
        <f>IF('Données projet'!$A$114&gt;35,BY19+BX20-CG19,IF(A20&lt;'Données projet'!$A$114,$BV$205^A20,IF(A20='Données projet'!$A$114,'Données projet'!$B$114,BY19+BX20-CG19)))</f>
        <v>23.975181126327602</v>
      </c>
      <c r="BZ20" s="14">
        <f>BY20*VLOOKUP('Données projet'!$B$12,Paramètres!$A$1:$I$89,3,0)*VLOOKUP('Données projet'!$B$12,Paramètres!$A$1:$I$89,5,0)</f>
        <v>25.80688496437903</v>
      </c>
      <c r="CA20" s="14">
        <f t="shared" si="39"/>
        <v>8.146323052908933</v>
      </c>
      <c r="CB20" s="22">
        <f t="shared" si="10"/>
        <v>59.135170630109862</v>
      </c>
      <c r="CC20" s="60">
        <f t="shared" si="11"/>
        <v>291.98831539033984</v>
      </c>
      <c r="CD20" s="60">
        <f ca="1">AVERAGE(OFFSET($CC$3,0,0,'Données projet'!$E$12+1,1))-AVERAGE(OFFSET($H$3,0,0,'Données projet'!$E$12+1,1))</f>
        <v>530.32456073177104</v>
      </c>
      <c r="CE20" s="60">
        <f t="shared" si="40"/>
        <v>279.81519428470625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57.838736449759693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11.54</v>
      </c>
      <c r="CT20" s="13">
        <f>IF('Données projet'!$A$140&gt;35,CT19+CS20-DB19,IF(A20&lt;'Données projet'!$A$140,$CQ$205^A20,IF(A20='Données projet'!$A$140,'Données projet'!$B$140,CT19+CS20-DB19)))</f>
        <v>60.48</v>
      </c>
      <c r="CU20" s="18">
        <f>CT20*VLOOKUP('Données projet'!$B$13,Paramètres!$A$1:$I$89,3,0)*VLOOKUP('Données projet'!$B$13,Paramètres!$A$1:$I$89,5,0)</f>
        <v>52.835328000000004</v>
      </c>
      <c r="CV20" s="14">
        <f t="shared" si="41"/>
        <v>15.343628388186952</v>
      </c>
      <c r="CW20" s="22">
        <f t="shared" si="13"/>
        <v>118.74501570942562</v>
      </c>
      <c r="CX20" s="60">
        <f t="shared" si="14"/>
        <v>351.59816046965557</v>
      </c>
      <c r="CY20" s="60">
        <f ca="1">AVERAGE(OFFSET($CX$3,0,0,'Données projet'!$E$13+1,1))-AVERAGE(OFFSET($H$3,0,0,'Données projet'!$E$13+1,1))</f>
        <v>355.03862261578701</v>
      </c>
      <c r="CZ20" s="60">
        <f t="shared" si="42"/>
        <v>382.84441399266029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57.838736449759693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9.6</v>
      </c>
      <c r="DO20" s="13">
        <f>IF('Données projet'!$A$166&gt;35,DO19+DN20-DW19,IF(A20&lt;'Données projet'!$A$166,$DL$205^A20,IF(A20='Données projet'!$A$166,'Données projet'!$B$166,DO19+DN20-DW19)))</f>
        <v>59.2</v>
      </c>
      <c r="DP20" s="18">
        <f>DO20*VLOOKUP('Données projet'!$B$14,Paramètres!$A$1:$I$89,3,0)*VLOOKUP('Données projet'!$B$14,Paramètres!$A$1:$I$89,5,0)</f>
        <v>46.176000000000002</v>
      </c>
      <c r="DQ20" s="14">
        <f t="shared" si="43"/>
        <v>13.621668778540489</v>
      </c>
      <c r="DR20" s="22">
        <f t="shared" si="16"/>
        <v>104.14760645595801</v>
      </c>
      <c r="DS20" s="60">
        <f t="shared" si="17"/>
        <v>337.00075121618801</v>
      </c>
      <c r="DT20" s="60">
        <f ca="1">AVERAGE(OFFSET($DS$3,0,0,'Données projet'!$E$14+1,1))-AVERAGE(OFFSET($H$3,0,0,'Données projet'!$E$14+1,1))</f>
        <v>305.68891030516761</v>
      </c>
      <c r="DU20" s="60">
        <f t="shared" si="44"/>
        <v>296.00275062228275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57.838736449759693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2.1</v>
      </c>
      <c r="EJ20" s="13">
        <f>IF('Données projet'!$A$192&gt;35,EJ19+EI20-ER19,IF(A20&lt;'Données projet'!$A$192,$EG$205^A20,IF(A20='Données projet'!$A$192,'Données projet'!$B$192,EJ19+EI20-ER19)))</f>
        <v>23.975181126327602</v>
      </c>
      <c r="EK20" s="18">
        <f>EJ20*VLOOKUP('Données projet'!$B$15,Paramètres!$A$1:$I$89,3,0)*VLOOKUP('Données projet'!$B$15,Paramètres!$A$1:$I$89,5,0)</f>
        <v>23.188795185384055</v>
      </c>
      <c r="EL20" s="14">
        <f t="shared" si="45"/>
        <v>7.4115982288884323</v>
      </c>
      <c r="EM20" s="22">
        <f t="shared" si="19"/>
        <v>53.29568519652458</v>
      </c>
      <c r="EN20" s="60">
        <f t="shared" si="20"/>
        <v>286.14882995675458</v>
      </c>
      <c r="EO20" s="60">
        <f ca="1">AVERAGE(OFFSET($EN$3,0,0,'Données projet'!$E$15+1,1))-AVERAGE(OFFSET($H$3,0,0,'Données projet'!$E$15+1,1))</f>
        <v>483.60545605360528</v>
      </c>
      <c r="EP20" s="60">
        <f t="shared" si="46"/>
        <v>256.96685577560345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57.838736449759693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0" t="e">
        <f t="shared" si="23"/>
        <v>#N/A</v>
      </c>
      <c r="FJ20" s="60" t="e">
        <f ca="1">AVERAGE(OFFSET($FI$3,0,0,'Données projet'!$E$16+1,1))-AVERAGE(OFFSET($H$3,0,0,'Données projet'!$E$16+1,1))</f>
        <v>#N/A</v>
      </c>
      <c r="FK20" s="60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57.838736449759693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0" t="e">
        <f t="shared" si="26"/>
        <v>#N/A</v>
      </c>
      <c r="GE20" s="60" t="e">
        <f ca="1">AVERAGE(OFFSET($GD$3,0,0,'Données projet'!$E$17+1,1))-AVERAGE(OFFSET($H$3,0,0,'Données projet'!$E$17+1,1))</f>
        <v>#N/A</v>
      </c>
      <c r="GF20" s="60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57.838736449759693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4">
        <f>'Scénario référence'!$B$16*5+'Scénario référence'!$B$17*0+'Scénario référence'!$B$18*5</f>
        <v>3.2750000000000004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12.008333333333335</v>
      </c>
      <c r="H21" s="67">
        <f t="shared" si="1"/>
        <v>208.63333333333333</v>
      </c>
      <c r="I21" s="7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58.049707183844191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projet'!$B$9,Paramètres!$A$1:$I$89,3,0)*VLOOKUP('Données projet'!$B$9,Paramètres!$A$1:$I$89,5,0)</f>
        <v>29.306389432677911</v>
      </c>
      <c r="P21" s="14">
        <f t="shared" si="33"/>
        <v>9.1150691477493808</v>
      </c>
      <c r="Q21" s="22">
        <f t="shared" si="2"/>
        <v>66.917373694244205</v>
      </c>
      <c r="R21" s="60">
        <f t="shared" si="0"/>
        <v>301.76630003500622</v>
      </c>
      <c r="S21" s="60">
        <f ca="1">AVERAGE(OFFSET($R$3,0,0,'Données projet'!$E$9+1,1))-AVERAGE(OFFSET($H$3,0,0,'Données projet'!$E$9+1,1))</f>
        <v>503.64055031157477</v>
      </c>
      <c r="T21" s="60">
        <f t="shared" si="34"/>
        <v>266.76572540460842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58.049707183844191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IF('Données projet'!$A$62&gt;35,AI20+AH21-AQ20,IF(A21&lt;'Données projet'!$A$62,$AF$205^A21,IF(A21='Données projet'!$A$62,'Données projet'!$B$62,AI20+AH21-AQ20)))</f>
        <v>28.901764726506816</v>
      </c>
      <c r="AJ21" s="14">
        <f>AI21*VLOOKUP('Données projet'!$B$10,Paramètres!$A$1:$I$89,3,0)*VLOOKUP('Données projet'!$B$10,Paramètres!$A$1:$I$89,5,0)</f>
        <v>26.150316724543362</v>
      </c>
      <c r="AK21" s="14">
        <f t="shared" si="35"/>
        <v>8.2420396752158016</v>
      </c>
      <c r="AL21" s="22">
        <f t="shared" si="4"/>
        <v>59.900020729580547</v>
      </c>
      <c r="AM21" s="60">
        <f t="shared" si="5"/>
        <v>294.74894707034252</v>
      </c>
      <c r="AN21" s="60">
        <f ca="1">AVERAGE(OFFSET($AM$3,0,0,'Données projet'!$E$10+1,1))-AVERAGE(OFFSET($H$3,0,0,'Données projet'!$E$10+1,1))</f>
        <v>456.86058467343139</v>
      </c>
      <c r="AO21" s="60">
        <f t="shared" si="36"/>
        <v>243.88495931574937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58.049707183844191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5.7692307692307683</v>
      </c>
      <c r="BD21" s="13">
        <f>IF('Données projet'!$A$88&gt;35,BD20+BC21-BL20,IF(A21&lt;'Données projet'!$A$88,$BA$205^A21,IF(A21='Données projet'!$A$88,'Données projet'!$B$88,BD20+BC21-BL20)))</f>
        <v>47.435897435897431</v>
      </c>
      <c r="BE21" s="14">
        <f>BD21*VLOOKUP('Données projet'!$B$11,Paramètres!$A$1:$I$89,3,0)*VLOOKUP('Données projet'!$B$11,Paramètres!$A$1:$I$89,5,0)</f>
        <v>49.58</v>
      </c>
      <c r="BF21" s="14">
        <f t="shared" si="37"/>
        <v>14.505239638165149</v>
      </c>
      <c r="BG21" s="22">
        <f t="shared" si="7"/>
        <v>111.61512570313762</v>
      </c>
      <c r="BH21" s="60">
        <f t="shared" si="8"/>
        <v>346.46405204389964</v>
      </c>
      <c r="BI21" s="60">
        <f ca="1">AVERAGE(OFFSET($BH$3,0,0,'Données projet'!$E$11+1,1))-AVERAGE(OFFSET($H$3,0,0,'Données projet'!$E$11+1,1))</f>
        <v>518.47226207416952</v>
      </c>
      <c r="BJ21" s="60">
        <f t="shared" si="38"/>
        <v>314.6379787306804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58.049707183844191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2.1</v>
      </c>
      <c r="BY21" s="13">
        <f>IF('Données projet'!$A$114&gt;35,BY20+BX21-CG20,IF(A21&lt;'Données projet'!$A$114,$BV$205^A21,IF(A21='Données projet'!$A$114,'Données projet'!$B$114,BY20+BX21-CG20)))</f>
        <v>28.901764726506816</v>
      </c>
      <c r="BZ21" s="14">
        <f>BY21*VLOOKUP('Données projet'!$B$12,Paramètres!$A$1:$I$89,3,0)*VLOOKUP('Données projet'!$B$12,Paramètres!$A$1:$I$89,5,0)</f>
        <v>31.109859551611933</v>
      </c>
      <c r="CA21" s="14">
        <f t="shared" si="39"/>
        <v>9.6089687778941872</v>
      </c>
      <c r="CB21" s="22">
        <f t="shared" si="10"/>
        <v>70.918626007223153</v>
      </c>
      <c r="CC21" s="60">
        <f t="shared" si="11"/>
        <v>305.76755234798514</v>
      </c>
      <c r="CD21" s="60">
        <f ca="1">AVERAGE(OFFSET($CC$3,0,0,'Données projet'!$E$12+1,1))-AVERAGE(OFFSET($H$3,0,0,'Données projet'!$E$12+1,1))</f>
        <v>530.32456073177104</v>
      </c>
      <c r="CE21" s="60">
        <f t="shared" si="40"/>
        <v>279.81519428470625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58.049707183844191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11.54</v>
      </c>
      <c r="CT21" s="13">
        <f>IF('Données projet'!$A$140&gt;35,CT20+CS21-DB20,IF(A21&lt;'Données projet'!$A$140,$CQ$205^A21,IF(A21='Données projet'!$A$140,'Données projet'!$B$140,CT20+CS21-DB20)))</f>
        <v>72.02</v>
      </c>
      <c r="CU21" s="18">
        <f>CT21*VLOOKUP('Données projet'!$B$13,Paramètres!$A$1:$I$89,3,0)*VLOOKUP('Données projet'!$B$13,Paramètres!$A$1:$I$89,5,0)</f>
        <v>62.916672000000005</v>
      </c>
      <c r="CV21" s="14">
        <f t="shared" si="41"/>
        <v>17.90364569794426</v>
      </c>
      <c r="CW21" s="22">
        <f t="shared" si="13"/>
        <v>140.76205332391956</v>
      </c>
      <c r="CX21" s="60">
        <f t="shared" si="14"/>
        <v>375.61097966468157</v>
      </c>
      <c r="CY21" s="60">
        <f ca="1">AVERAGE(OFFSET($CX$3,0,0,'Données projet'!$E$13+1,1))-AVERAGE(OFFSET($H$3,0,0,'Données projet'!$E$13+1,1))</f>
        <v>355.03862261578701</v>
      </c>
      <c r="CZ21" s="60">
        <f t="shared" si="42"/>
        <v>382.84441399266029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58.049707183844191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9.6</v>
      </c>
      <c r="DO21" s="13">
        <f>IF('Données projet'!$A$166&gt;35,DO20+DN21-DW20,IF(A21&lt;'Données projet'!$A$166,$DL$205^A21,IF(A21='Données projet'!$A$166,'Données projet'!$B$166,DO20+DN21-DW20)))</f>
        <v>68.8</v>
      </c>
      <c r="DP21" s="18">
        <f>DO21*VLOOKUP('Données projet'!$B$14,Paramètres!$A$1:$I$89,3,0)*VLOOKUP('Données projet'!$B$14,Paramètres!$A$1:$I$89,5,0)</f>
        <v>53.664000000000001</v>
      </c>
      <c r="DQ21" s="14">
        <f t="shared" si="43"/>
        <v>15.556073979202782</v>
      </c>
      <c r="DR21" s="22">
        <f t="shared" si="16"/>
        <v>120.55829551377816</v>
      </c>
      <c r="DS21" s="60">
        <f t="shared" si="17"/>
        <v>355.40722185454018</v>
      </c>
      <c r="DT21" s="60">
        <f ca="1">AVERAGE(OFFSET($DS$3,0,0,'Données projet'!$E$14+1,1))-AVERAGE(OFFSET($H$3,0,0,'Données projet'!$E$14+1,1))</f>
        <v>305.68891030516761</v>
      </c>
      <c r="DU21" s="60">
        <f t="shared" si="44"/>
        <v>296.00275062228275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58.049707183844191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2.1</v>
      </c>
      <c r="EJ21" s="13">
        <f>IF('Données projet'!$A$192&gt;35,EJ20+EI21-ER20,IF(A21&lt;'Données projet'!$A$192,$EG$205^A21,IF(A21='Données projet'!$A$192,'Données projet'!$B$192,EJ20+EI21-ER20)))</f>
        <v>28.901764726506816</v>
      </c>
      <c r="EK21" s="18">
        <f>EJ21*VLOOKUP('Données projet'!$B$15,Paramètres!$A$1:$I$89,3,0)*VLOOKUP('Données projet'!$B$15,Paramètres!$A$1:$I$89,5,0)</f>
        <v>27.953786843477392</v>
      </c>
      <c r="EL21" s="14">
        <f t="shared" si="45"/>
        <v>8.7423265089215931</v>
      </c>
      <c r="EM21" s="22">
        <f t="shared" si="19"/>
        <v>63.912397422094891</v>
      </c>
      <c r="EN21" s="60">
        <f t="shared" si="20"/>
        <v>298.76132376285688</v>
      </c>
      <c r="EO21" s="60">
        <f ca="1">AVERAGE(OFFSET($EN$3,0,0,'Données projet'!$E$15+1,1))-AVERAGE(OFFSET($H$3,0,0,'Données projet'!$E$15+1,1))</f>
        <v>483.60545605360528</v>
      </c>
      <c r="EP21" s="60">
        <f t="shared" si="46"/>
        <v>256.96685577560345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58.049707183844191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0" t="e">
        <f t="shared" si="23"/>
        <v>#N/A</v>
      </c>
      <c r="FJ21" s="60" t="e">
        <f ca="1">AVERAGE(OFFSET($FI$3,0,0,'Données projet'!$E$16+1,1))-AVERAGE(OFFSET($H$3,0,0,'Données projet'!$E$16+1,1))</f>
        <v>#N/A</v>
      </c>
      <c r="FK21" s="60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58.049707183844191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0" t="e">
        <f t="shared" si="26"/>
        <v>#N/A</v>
      </c>
      <c r="GE21" s="60" t="e">
        <f ca="1">AVERAGE(OFFSET($GD$3,0,0,'Données projet'!$E$17+1,1))-AVERAGE(OFFSET($H$3,0,0,'Données projet'!$E$17+1,1))</f>
        <v>#N/A</v>
      </c>
      <c r="GF21" s="60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58.049707183844191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4">
        <f>'Scénario référence'!$B$16*5+'Scénario référence'!$B$17*0+'Scénario référence'!$B$18*5</f>
        <v>3.2750000000000004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12.008333333333335</v>
      </c>
      <c r="H22" s="67">
        <f t="shared" si="1"/>
        <v>208.63333333333333</v>
      </c>
      <c r="I22" s="7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58.257018047352233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projet'!$B$9,Paramètres!$A$1:$I$89,3,0)*VLOOKUP('Données projet'!$B$9,Paramètres!$A$1:$I$89,5,0)</f>
        <v>35.328466045936516</v>
      </c>
      <c r="P22" s="14">
        <f t="shared" si="33"/>
        <v>10.751650073316766</v>
      </c>
      <c r="Q22" s="22">
        <f t="shared" si="2"/>
        <v>80.256202241032796</v>
      </c>
      <c r="R22" s="60">
        <f t="shared" si="0"/>
        <v>317.08749063687986</v>
      </c>
      <c r="S22" s="60">
        <f ca="1">AVERAGE(OFFSET($R$3,0,0,'Données projet'!$E$9+1,1))-AVERAGE(OFFSET($H$3,0,0,'Données projet'!$E$9+1,1))</f>
        <v>503.64055031157477</v>
      </c>
      <c r="T22" s="60">
        <f t="shared" si="34"/>
        <v>266.76572540460842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58.257018047352233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IF('Données projet'!$A$62&gt;35,AI21+AH22-AQ21,IF(A22&lt;'Données projet'!$A$62,$AF$205^A22,IF(A22='Données projet'!$A$62,'Données projet'!$B$62,AI21+AH22-AQ21)))</f>
        <v>34.840696297767764</v>
      </c>
      <c r="AJ22" s="14">
        <f>AI22*VLOOKUP('Données projet'!$B$10,Paramètres!$A$1:$I$89,3,0)*VLOOKUP('Données projet'!$B$10,Paramètres!$A$1:$I$89,5,0)</f>
        <v>31.52386201022027</v>
      </c>
      <c r="AK22" s="14">
        <f t="shared" si="35"/>
        <v>9.7218710074397983</v>
      </c>
      <c r="AL22" s="22">
        <f t="shared" si="4"/>
        <v>71.836318339091292</v>
      </c>
      <c r="AM22" s="60">
        <f t="shared" si="5"/>
        <v>308.66760673493832</v>
      </c>
      <c r="AN22" s="60">
        <f ca="1">AVERAGE(OFFSET($AM$3,0,0,'Données projet'!$E$10+1,1))-AVERAGE(OFFSET($H$3,0,0,'Données projet'!$E$10+1,1))</f>
        <v>456.86058467343139</v>
      </c>
      <c r="AO22" s="60">
        <f t="shared" si="36"/>
        <v>243.88495931574937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58.257018047352233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5.7692307692307683</v>
      </c>
      <c r="BD22" s="13">
        <f>IF('Données projet'!$A$88&gt;35,BD21+BC22-BL21,IF(A22&lt;'Données projet'!$A$88,$BA$205^A22,IF(A22='Données projet'!$A$88,'Données projet'!$B$88,BD21+BC22-BL21)))</f>
        <v>53.205128205128197</v>
      </c>
      <c r="BE22" s="14">
        <f>BD22*VLOOKUP('Données projet'!$B$11,Paramètres!$A$1:$I$89,3,0)*VLOOKUP('Données projet'!$B$11,Paramètres!$A$1:$I$89,5,0)</f>
        <v>55.61</v>
      </c>
      <c r="BF22" s="14">
        <f t="shared" si="37"/>
        <v>16.053478951715945</v>
      </c>
      <c r="BG22" s="22">
        <f t="shared" si="7"/>
        <v>124.81389250757191</v>
      </c>
      <c r="BH22" s="60">
        <f t="shared" si="8"/>
        <v>361.64518090341898</v>
      </c>
      <c r="BI22" s="60">
        <f ca="1">AVERAGE(OFFSET($BH$3,0,0,'Données projet'!$E$11+1,1))-AVERAGE(OFFSET($H$3,0,0,'Données projet'!$E$11+1,1))</f>
        <v>518.47226207416952</v>
      </c>
      <c r="BJ22" s="60">
        <f t="shared" si="38"/>
        <v>314.6379787306804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58.257018047352233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2.1</v>
      </c>
      <c r="BY22" s="13">
        <f>IF('Données projet'!$A$114&gt;35,BY21+BX22-CG21,IF(A22&lt;'Données projet'!$A$114,$BV$205^A22,IF(A22='Données projet'!$A$114,'Données projet'!$B$114,BY21+BX22-CG21)))</f>
        <v>34.840696297767764</v>
      </c>
      <c r="BZ22" s="14">
        <f>BY22*VLOOKUP('Données projet'!$B$12,Paramètres!$A$1:$I$89,3,0)*VLOOKUP('Données projet'!$B$12,Paramètres!$A$1:$I$89,5,0)</f>
        <v>37.502525494917215</v>
      </c>
      <c r="CA22" s="14">
        <f t="shared" si="39"/>
        <v>11.334227770598273</v>
      </c>
      <c r="CB22" s="22">
        <f t="shared" si="10"/>
        <v>85.057345270772814</v>
      </c>
      <c r="CC22" s="60">
        <f t="shared" si="11"/>
        <v>321.88863366661985</v>
      </c>
      <c r="CD22" s="60">
        <f ca="1">AVERAGE(OFFSET($CC$3,0,0,'Données projet'!$E$12+1,1))-AVERAGE(OFFSET($H$3,0,0,'Données projet'!$E$12+1,1))</f>
        <v>530.32456073177104</v>
      </c>
      <c r="CE22" s="60">
        <f t="shared" si="40"/>
        <v>279.81519428470625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58.257018047352233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11.54</v>
      </c>
      <c r="CT22" s="13">
        <f>IF('Données projet'!$A$140&gt;35,CT21+CS22-DB21,IF(A22&lt;'Données projet'!$A$140,$CQ$205^A22,IF(A22='Données projet'!$A$140,'Données projet'!$B$140,CT21+CS22-DB21)))</f>
        <v>83.56</v>
      </c>
      <c r="CU22" s="18">
        <f>CT22*VLOOKUP('Données projet'!$B$13,Paramètres!$A$1:$I$89,3,0)*VLOOKUP('Données projet'!$B$13,Paramètres!$A$1:$I$89,5,0)</f>
        <v>72.998016000000007</v>
      </c>
      <c r="CV22" s="14">
        <f t="shared" si="41"/>
        <v>20.416143732342558</v>
      </c>
      <c r="CW22" s="22">
        <f t="shared" si="13"/>
        <v>162.69632820049665</v>
      </c>
      <c r="CX22" s="60">
        <f t="shared" si="14"/>
        <v>399.52761659634371</v>
      </c>
      <c r="CY22" s="60">
        <f ca="1">AVERAGE(OFFSET($CX$3,0,0,'Données projet'!$E$13+1,1))-AVERAGE(OFFSET($H$3,0,0,'Données projet'!$E$13+1,1))</f>
        <v>355.03862261578701</v>
      </c>
      <c r="CZ22" s="60">
        <f t="shared" si="42"/>
        <v>382.84441399266029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58.257018047352233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9.6</v>
      </c>
      <c r="DO22" s="13">
        <f>IF('Données projet'!$A$166&gt;35,DO21+DN22-DW21,IF(A22&lt;'Données projet'!$A$166,$DL$205^A22,IF(A22='Données projet'!$A$166,'Données projet'!$B$166,DO21+DN22-DW21)))</f>
        <v>78.399999999999991</v>
      </c>
      <c r="DP22" s="18">
        <f>DO22*VLOOKUP('Données projet'!$B$14,Paramètres!$A$1:$I$89,3,0)*VLOOKUP('Données projet'!$B$14,Paramètres!$A$1:$I$89,5,0)</f>
        <v>61.151999999999994</v>
      </c>
      <c r="DQ22" s="14">
        <f t="shared" si="43"/>
        <v>17.459207591071255</v>
      </c>
      <c r="DR22" s="22">
        <f t="shared" si="16"/>
        <v>136.9145198877824</v>
      </c>
      <c r="DS22" s="60">
        <f t="shared" si="17"/>
        <v>373.74580828362946</v>
      </c>
      <c r="DT22" s="60">
        <f ca="1">AVERAGE(OFFSET($DS$3,0,0,'Données projet'!$E$14+1,1))-AVERAGE(OFFSET($H$3,0,0,'Données projet'!$E$14+1,1))</f>
        <v>305.68891030516761</v>
      </c>
      <c r="DU22" s="60">
        <f t="shared" si="44"/>
        <v>296.00275062228275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58.257018047352233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2.1</v>
      </c>
      <c r="EJ22" s="13">
        <f>IF('Données projet'!$A$192&gt;35,EJ21+EI22-ER21,IF(A22&lt;'Données projet'!$A$192,$EG$205^A22,IF(A22='Données projet'!$A$192,'Données projet'!$B$192,EJ21+EI22-ER21)))</f>
        <v>34.840696297767764</v>
      </c>
      <c r="EK22" s="18">
        <f>EJ22*VLOOKUP('Données projet'!$B$15,Paramètres!$A$1:$I$89,3,0)*VLOOKUP('Données projet'!$B$15,Paramètres!$A$1:$I$89,5,0)</f>
        <v>33.697921459200977</v>
      </c>
      <c r="EL22" s="14">
        <f t="shared" si="45"/>
        <v>10.31198270984201</v>
      </c>
      <c r="EM22" s="22">
        <f t="shared" si="19"/>
        <v>76.650583094416518</v>
      </c>
      <c r="EN22" s="60">
        <f t="shared" si="20"/>
        <v>313.48187149026359</v>
      </c>
      <c r="EO22" s="60">
        <f ca="1">AVERAGE(OFFSET($EN$3,0,0,'Données projet'!$E$15+1,1))-AVERAGE(OFFSET($H$3,0,0,'Données projet'!$E$15+1,1))</f>
        <v>483.60545605360528</v>
      </c>
      <c r="EP22" s="60">
        <f t="shared" si="46"/>
        <v>256.96685577560345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58.257018047352233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0" t="e">
        <f t="shared" si="23"/>
        <v>#N/A</v>
      </c>
      <c r="FJ22" s="60" t="e">
        <f ca="1">AVERAGE(OFFSET($FI$3,0,0,'Données projet'!$E$16+1,1))-AVERAGE(OFFSET($H$3,0,0,'Données projet'!$E$16+1,1))</f>
        <v>#N/A</v>
      </c>
      <c r="FK22" s="60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58.257018047352233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0" t="e">
        <f t="shared" si="26"/>
        <v>#N/A</v>
      </c>
      <c r="GE22" s="60" t="e">
        <f ca="1">AVERAGE(OFFSET($GD$3,0,0,'Données projet'!$E$17+1,1))-AVERAGE(OFFSET($H$3,0,0,'Données projet'!$E$17+1,1))</f>
        <v>#N/A</v>
      </c>
      <c r="GF22" s="60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58.257018047352233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4">
        <f>'Scénario référence'!$B$16*5+'Scénario référence'!$B$17*0+'Scénario référence'!$B$18*5</f>
        <v>3.2750000000000004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12.008333333333335</v>
      </c>
      <c r="H23" s="67">
        <f t="shared" si="1"/>
        <v>208.63333333333333</v>
      </c>
      <c r="I23" s="7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58.46073253085607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projet'!$B$9,Paramètres!$A$1:$I$89,3,0)*VLOOKUP('Données projet'!$B$9,Paramètres!$A$1:$I$89,5,0)</f>
        <v>42.588000000000001</v>
      </c>
      <c r="P23" s="14">
        <f t="shared" si="33"/>
        <v>12.682073764365764</v>
      </c>
      <c r="Q23" s="22">
        <f t="shared" si="2"/>
        <v>96.262045139603686</v>
      </c>
      <c r="R23" s="60">
        <f t="shared" si="0"/>
        <v>335.06250886385374</v>
      </c>
      <c r="S23" s="60">
        <f ca="1">AVERAGE(OFFSET($R$3,0,0,'Données projet'!$E$9+1,1))-AVERAGE(OFFSET($H$3,0,0,'Données projet'!$E$9+1,1))</f>
        <v>503.64055031157477</v>
      </c>
      <c r="T23" s="60">
        <f t="shared" si="34"/>
        <v>266.76572540460842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5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58.46073253085607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IF('Données projet'!$A$62&gt;35,AI22+AH23-AQ22,IF(A23&lt;'Données projet'!$A$62,$AF$205^A23,IF(A23='Données projet'!$A$62,'Données projet'!$B$62,AI22+AH23-AQ22)))</f>
        <v>42</v>
      </c>
      <c r="AJ23" s="14">
        <f>AI23*VLOOKUP('Données projet'!$B$10,Paramètres!$A$1:$I$89,3,0)*VLOOKUP('Données projet'!$B$10,Paramètres!$A$1:$I$89,5,0)</f>
        <v>38.001600000000003</v>
      </c>
      <c r="AK23" s="14">
        <f t="shared" si="35"/>
        <v>11.467401227090512</v>
      </c>
      <c r="AL23" s="22">
        <f t="shared" si="4"/>
        <v>86.158510470515978</v>
      </c>
      <c r="AM23" s="60">
        <f t="shared" si="5"/>
        <v>324.95897419476603</v>
      </c>
      <c r="AN23" s="60">
        <f ca="1">AVERAGE(OFFSET($AM$3,0,0,'Données projet'!$E$10+1,1))-AVERAGE(OFFSET($H$3,0,0,'Données projet'!$E$10+1,1))</f>
        <v>456.86058467343139</v>
      </c>
      <c r="AO23" s="60">
        <f t="shared" si="36"/>
        <v>243.88495931574937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58.46073253085607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58.974358974358971</v>
      </c>
      <c r="BB23" s="13">
        <f>VLOOKUP(A23,'Données projet'!$A$87:$I$107,9,0)</f>
        <v>5.7692307692307683</v>
      </c>
      <c r="BC23" s="13">
        <f t="array" ref="BC23">INDEX(BB:BB,MIN(IF(ISNUMBER(BB23:BB219),ROW(BB23:BB219),"")))</f>
        <v>5.7692307692307683</v>
      </c>
      <c r="BD23" s="13">
        <f>IF('Données projet'!$A$88&gt;35,BD22+BC23-BL22,IF(A23&lt;'Données projet'!$A$88,$BA$205^A23,IF(A23='Données projet'!$A$88,'Données projet'!$B$88,BD22+BC23-BL22)))</f>
        <v>58.974358974358964</v>
      </c>
      <c r="BE23" s="14">
        <f>BD23*VLOOKUP('Données projet'!$B$11,Paramètres!$A$1:$I$89,3,0)*VLOOKUP('Données projet'!$B$11,Paramètres!$A$1:$I$89,5,0)</f>
        <v>61.64</v>
      </c>
      <c r="BF23" s="14">
        <f t="shared" si="37"/>
        <v>17.582259466632539</v>
      </c>
      <c r="BG23" s="22">
        <f t="shared" si="7"/>
        <v>137.97876857105169</v>
      </c>
      <c r="BH23" s="60">
        <f t="shared" si="8"/>
        <v>376.77923229530171</v>
      </c>
      <c r="BI23" s="60">
        <f ca="1">AVERAGE(OFFSET($BH$3,0,0,'Données projet'!$E$11+1,1))-AVERAGE(OFFSET($H$3,0,0,'Données projet'!$E$11+1,1))</f>
        <v>518.47226207416952</v>
      </c>
      <c r="BJ23" s="60">
        <f t="shared" si="38"/>
        <v>314.6379787306804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10.256410256410255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58.46073253085607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42</v>
      </c>
      <c r="BW23" s="13">
        <f>VLOOKUP(A23,'Données projet'!$A$113:$I$133,9,0)</f>
        <v>2.1</v>
      </c>
      <c r="BX23" s="13">
        <f t="array" ref="BX23">INDEX(BW:BW,MIN(IF(ISNUMBER(BW23:BW219),ROW(BW23:BW219),"")))</f>
        <v>2.1</v>
      </c>
      <c r="BY23" s="13">
        <f>IF('Données projet'!$A$114&gt;35,BY22+BX23-CG22,IF(A23&lt;'Données projet'!$A$114,$BV$205^A23,IF(A23='Données projet'!$A$114,'Données projet'!$B$114,BY22+BX23-CG22)))</f>
        <v>42</v>
      </c>
      <c r="BZ23" s="14">
        <f>BY23*VLOOKUP('Données projet'!$B$12,Paramètres!$A$1:$I$89,3,0)*VLOOKUP('Données projet'!$B$12,Paramètres!$A$1:$I$89,5,0)</f>
        <v>45.208799999999997</v>
      </c>
      <c r="CA23" s="14">
        <f t="shared" si="39"/>
        <v>13.369251386406743</v>
      </c>
      <c r="CB23" s="22">
        <f t="shared" si="10"/>
        <v>102.02343949799173</v>
      </c>
      <c r="CC23" s="60">
        <f t="shared" si="11"/>
        <v>340.82390322224177</v>
      </c>
      <c r="CD23" s="60">
        <f ca="1">AVERAGE(OFFSET($CC$3,0,0,'Données projet'!$E$12+1,1))-AVERAGE(OFFSET($H$3,0,0,'Données projet'!$E$12+1,1))</f>
        <v>530.32456073177104</v>
      </c>
      <c r="CE23" s="60">
        <f t="shared" si="40"/>
        <v>279.81519428470625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58.46073253085607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95.1</v>
      </c>
      <c r="CR23" s="13">
        <f>VLOOKUP(A23,'Données projet'!$A$139:$I$159,9,0)</f>
        <v>11.54</v>
      </c>
      <c r="CS23" s="13">
        <f t="array" ref="CS23">INDEX(CR:CR,MIN(IF(ISNUMBER(CR23:CR219),ROW(CR23:CR219),"")))</f>
        <v>11.54</v>
      </c>
      <c r="CT23" s="13">
        <f>IF('Données projet'!$A$140&gt;35,CT22+CS23-DB22,IF(A23&lt;'Données projet'!$A$140,$CQ$205^A23,IF(A23='Données projet'!$A$140,'Données projet'!$B$140,CT22+CS23-DB22)))</f>
        <v>95.1</v>
      </c>
      <c r="CU23" s="18">
        <f>CT23*VLOOKUP('Données projet'!$B$13,Paramètres!$A$1:$I$89,3,0)*VLOOKUP('Données projet'!$B$13,Paramètres!$A$1:$I$89,5,0)</f>
        <v>83.079360000000008</v>
      </c>
      <c r="CV23" s="14">
        <f t="shared" si="41"/>
        <v>22.888440621332276</v>
      </c>
      <c r="CW23" s="22">
        <f t="shared" si="13"/>
        <v>184.56058608215372</v>
      </c>
      <c r="CX23" s="60">
        <f t="shared" si="14"/>
        <v>423.36104980640374</v>
      </c>
      <c r="CY23" s="60">
        <f ca="1">AVERAGE(OFFSET($CX$3,0,0,'Données projet'!$E$13+1,1))-AVERAGE(OFFSET($H$3,0,0,'Données projet'!$E$13+1,1))</f>
        <v>355.03862261578701</v>
      </c>
      <c r="CZ23" s="60">
        <f t="shared" si="42"/>
        <v>382.84441399266029</v>
      </c>
      <c r="DA23" s="16">
        <f>IF(ISNA(VLOOKUP(A23,'Données projet'!$A$139:$I$159,3,0)),0,VLOOKUP(A23,'Données projet'!$A$139:$I$159,3,0))</f>
        <v>1</v>
      </c>
      <c r="DB23" s="16">
        <f>IF(ISNA(VLOOKUP(A23,'Données projet'!$A$139:$I$159,4,0)),0,VLOOKUP(A23,'Données projet'!$A$139:$I$159,4,0))</f>
        <v>43.1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58.46073253085607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88</v>
      </c>
      <c r="DM23" s="13">
        <f>VLOOKUP(A23,'Données projet'!$A$165:$I$185,9,0)</f>
        <v>9.6</v>
      </c>
      <c r="DN23" s="13">
        <f t="array" ref="DN23">INDEX(DM:DM,MIN(IF(ISNUMBER(DM23:DM219),ROW(DM23:DM219),"")))</f>
        <v>9.6</v>
      </c>
      <c r="DO23" s="13">
        <f>IF('Données projet'!$A$166&gt;35,DO22+DN23-DW22,IF(A23&lt;'Données projet'!$A$166,$DL$205^A23,IF(A23='Données projet'!$A$166,'Données projet'!$B$166,DO22+DN23-DW22)))</f>
        <v>87.999999999999986</v>
      </c>
      <c r="DP23" s="18">
        <f>DO23*VLOOKUP('Données projet'!$B$14,Paramètres!$A$1:$I$89,3,0)*VLOOKUP('Données projet'!$B$14,Paramètres!$A$1:$I$89,5,0)</f>
        <v>68.639999999999986</v>
      </c>
      <c r="DQ23" s="14">
        <f t="shared" si="43"/>
        <v>19.335336956640202</v>
      </c>
      <c r="DR23" s="22">
        <f t="shared" si="16"/>
        <v>153.22371186614834</v>
      </c>
      <c r="DS23" s="60">
        <f t="shared" si="17"/>
        <v>392.02417559039839</v>
      </c>
      <c r="DT23" s="60">
        <f ca="1">AVERAGE(OFFSET($DS$3,0,0,'Données projet'!$E$14+1,1))-AVERAGE(OFFSET($H$3,0,0,'Données projet'!$E$14+1,1))</f>
        <v>305.68891030516761</v>
      </c>
      <c r="DU23" s="60">
        <f t="shared" si="44"/>
        <v>296.00275062228275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58.46073253085607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42</v>
      </c>
      <c r="EH23" s="13">
        <f>VLOOKUP(A23,'Données projet'!$A$191:$I$211,9,0)</f>
        <v>2.1</v>
      </c>
      <c r="EI23" s="13">
        <f t="array" ref="EI23">INDEX(EH:EH,MIN(IF(ISNUMBER(EH23:EH219),ROW(EH23:EH219),"")))</f>
        <v>2.1</v>
      </c>
      <c r="EJ23" s="13">
        <f>IF('Données projet'!$A$192&gt;35,EJ22+EI23-ER22,IF(A23&lt;'Données projet'!$A$192,$EG$205^A23,IF(A23='Données projet'!$A$192,'Données projet'!$B$192,EJ22+EI23-ER22)))</f>
        <v>42</v>
      </c>
      <c r="EK23" s="18">
        <f>EJ23*VLOOKUP('Données projet'!$B$15,Paramètres!$A$1:$I$89,3,0)*VLOOKUP('Données projet'!$B$15,Paramètres!$A$1:$I$89,5,0)</f>
        <v>40.622399999999999</v>
      </c>
      <c r="EL23" s="14">
        <f t="shared" si="45"/>
        <v>12.163465560290264</v>
      </c>
      <c r="EM23" s="22">
        <f t="shared" si="19"/>
        <v>91.935382517505545</v>
      </c>
      <c r="EN23" s="60">
        <f t="shared" si="20"/>
        <v>330.73584624175555</v>
      </c>
      <c r="EO23" s="60">
        <f ca="1">AVERAGE(OFFSET($EN$3,0,0,'Données projet'!$E$15+1,1))-AVERAGE(OFFSET($H$3,0,0,'Données projet'!$E$15+1,1))</f>
        <v>483.60545605360528</v>
      </c>
      <c r="EP23" s="60">
        <f t="shared" si="46"/>
        <v>256.96685577560345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58.46073253085607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0" t="e">
        <f t="shared" si="23"/>
        <v>#N/A</v>
      </c>
      <c r="FJ23" s="60" t="e">
        <f ca="1">AVERAGE(OFFSET($FI$3,0,0,'Données projet'!$E$16+1,1))-AVERAGE(OFFSET($H$3,0,0,'Données projet'!$E$16+1,1))</f>
        <v>#N/A</v>
      </c>
      <c r="FK23" s="60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58.46073253085607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0" t="e">
        <f t="shared" si="26"/>
        <v>#N/A</v>
      </c>
      <c r="GE23" s="60" t="e">
        <f ca="1">AVERAGE(OFFSET($GD$3,0,0,'Données projet'!$E$17+1,1))-AVERAGE(OFFSET($H$3,0,0,'Données projet'!$E$17+1,1))</f>
        <v>#N/A</v>
      </c>
      <c r="GF23" s="60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58.46073253085607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4">
        <f>'Scénario référence'!$B$16*5+'Scénario référence'!$B$17*0+'Scénario référence'!$B$18*5</f>
        <v>3.2750000000000004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12.008333333333335</v>
      </c>
      <c r="H24" s="67">
        <f t="shared" si="1"/>
        <v>208.63333333333333</v>
      </c>
      <c r="I24" s="7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58.660913023508463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projet'!$B$9,Paramètres!$A$1:$I$89,3,0)*VLOOKUP('Données projet'!$B$9,Paramètres!$A$1:$I$89,5,0)</f>
        <v>48.266400000000004</v>
      </c>
      <c r="P24" s="14">
        <f t="shared" si="33"/>
        <v>14.165134590154434</v>
      </c>
      <c r="Q24" s="22">
        <f t="shared" si="2"/>
        <v>108.73492274451898</v>
      </c>
      <c r="R24" s="60">
        <f t="shared" si="0"/>
        <v>349.49160383071671</v>
      </c>
      <c r="S24" s="60">
        <f ca="1">AVERAGE(OFFSET($R$3,0,0,'Données projet'!$E$9+1,1))-AVERAGE(OFFSET($H$3,0,0,'Données projet'!$E$9+1,1))</f>
        <v>503.64055031157477</v>
      </c>
      <c r="T24" s="60">
        <f t="shared" si="34"/>
        <v>266.76572540460842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58.660913023508463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5.6</v>
      </c>
      <c r="AI24" s="14">
        <f>IF('Données projet'!$A$62&gt;35,AI23+AH24-AQ23,IF(A24&lt;'Données projet'!$A$62,$AF$205^A24,IF(A24='Données projet'!$A$62,'Données projet'!$B$62,AI23+AH24-AQ23)))</f>
        <v>47.6</v>
      </c>
      <c r="AJ24" s="14">
        <f>AI24*VLOOKUP('Données projet'!$B$10,Paramètres!$A$1:$I$89,3,0)*VLOOKUP('Données projet'!$B$10,Paramètres!$A$1:$I$89,5,0)</f>
        <v>43.068480000000001</v>
      </c>
      <c r="AK24" s="14">
        <f t="shared" si="35"/>
        <v>12.808416415102187</v>
      </c>
      <c r="AL24" s="22">
        <f t="shared" si="4"/>
        <v>97.318927922969635</v>
      </c>
      <c r="AM24" s="60">
        <f t="shared" si="5"/>
        <v>338.07560900916735</v>
      </c>
      <c r="AN24" s="60">
        <f ca="1">AVERAGE(OFFSET($AM$3,0,0,'Données projet'!$E$10+1,1))-AVERAGE(OFFSET($H$3,0,0,'Données projet'!$E$10+1,1))</f>
        <v>456.86058467343139</v>
      </c>
      <c r="AO24" s="60">
        <f t="shared" si="36"/>
        <v>243.88495931574937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58.660913023508463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6.5384615384615383</v>
      </c>
      <c r="BD24" s="13">
        <f>IF('Données projet'!$A$88&gt;35,BD23+BC24-BL23,IF(A24&lt;'Données projet'!$A$88,$BA$205^A24,IF(A24='Données projet'!$A$88,'Données projet'!$B$88,BD23+BC24-BL23)))</f>
        <v>55.256410256410241</v>
      </c>
      <c r="BE24" s="14">
        <f>BD24*VLOOKUP('Données projet'!$B$11,Paramètres!$A$1:$I$89,3,0)*VLOOKUP('Données projet'!$B$11,Paramètres!$A$1:$I$89,5,0)</f>
        <v>57.753999999999998</v>
      </c>
      <c r="BF24" s="14">
        <f t="shared" si="37"/>
        <v>16.599155011474558</v>
      </c>
      <c r="BG24" s="22">
        <f t="shared" si="7"/>
        <v>129.49841164498483</v>
      </c>
      <c r="BH24" s="60">
        <f t="shared" si="8"/>
        <v>370.25509273118257</v>
      </c>
      <c r="BI24" s="60">
        <f ca="1">AVERAGE(OFFSET($BH$3,0,0,'Données projet'!$E$11+1,1))-AVERAGE(OFFSET($H$3,0,0,'Données projet'!$E$11+1,1))</f>
        <v>518.47226207416952</v>
      </c>
      <c r="BJ24" s="60">
        <f t="shared" si="38"/>
        <v>314.6379787306804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58.660913023508463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5.6</v>
      </c>
      <c r="BY24" s="13">
        <f>IF('Données projet'!$A$114&gt;35,BY23+BX24-CG23,IF(A24&lt;'Données projet'!$A$114,$BV$205^A24,IF(A24='Données projet'!$A$114,'Données projet'!$B$114,BY23+BX24-CG23)))</f>
        <v>47.6</v>
      </c>
      <c r="BZ24" s="14">
        <f>BY24*VLOOKUP('Données projet'!$B$12,Paramètres!$A$1:$I$89,3,0)*VLOOKUP('Données projet'!$B$12,Paramètres!$A$1:$I$89,5,0)</f>
        <v>51.236640000000001</v>
      </c>
      <c r="CA24" s="14">
        <f t="shared" si="39"/>
        <v>14.932671799321549</v>
      </c>
      <c r="CB24" s="22">
        <f t="shared" si="10"/>
        <v>115.24488471715169</v>
      </c>
      <c r="CC24" s="60">
        <f t="shared" si="11"/>
        <v>356.00156580334942</v>
      </c>
      <c r="CD24" s="60">
        <f ca="1">AVERAGE(OFFSET($CC$3,0,0,'Données projet'!$E$12+1,1))-AVERAGE(OFFSET($H$3,0,0,'Données projet'!$E$12+1,1))</f>
        <v>530.32456073177104</v>
      </c>
      <c r="CE24" s="60">
        <f t="shared" si="40"/>
        <v>279.81519428470625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58.660913023508463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12.500000000000002</v>
      </c>
      <c r="CT24" s="13">
        <f>IF('Données projet'!$A$140&gt;35,CT23+CS24-DB23,IF(A24&lt;'Données projet'!$A$140,$CQ$205^A24,IF(A24='Données projet'!$A$140,'Données projet'!$B$140,CT23+CS24-DB23)))</f>
        <v>64.5</v>
      </c>
      <c r="CU24" s="18">
        <f>CT24*VLOOKUP('Données projet'!$B$13,Paramètres!$A$1:$I$89,3,0)*VLOOKUP('Données projet'!$B$13,Paramètres!$A$1:$I$89,5,0)</f>
        <v>56.347200000000008</v>
      </c>
      <c r="CV24" s="14">
        <f t="shared" si="41"/>
        <v>16.241377637196607</v>
      </c>
      <c r="CW24" s="22">
        <f t="shared" si="13"/>
        <v>126.42510605145075</v>
      </c>
      <c r="CX24" s="60">
        <f t="shared" si="14"/>
        <v>367.18178713764848</v>
      </c>
      <c r="CY24" s="60">
        <f ca="1">AVERAGE(OFFSET($CX$3,0,0,'Données projet'!$E$13+1,1))-AVERAGE(OFFSET($H$3,0,0,'Données projet'!$E$13+1,1))</f>
        <v>355.03862261578701</v>
      </c>
      <c r="CZ24" s="60">
        <f t="shared" si="42"/>
        <v>382.84441399266029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58.660913023508463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10.6</v>
      </c>
      <c r="DO24" s="13">
        <f>IF('Données projet'!$A$166&gt;35,DO23+DN24-DW23,IF(A24&lt;'Données projet'!$A$166,$DL$205^A24,IF(A24='Données projet'!$A$166,'Données projet'!$B$166,DO23+DN24-DW23)))</f>
        <v>98.59999999999998</v>
      </c>
      <c r="DP24" s="18">
        <f>DO24*VLOOKUP('Données projet'!$B$14,Paramètres!$A$1:$I$89,3,0)*VLOOKUP('Données projet'!$B$14,Paramètres!$A$1:$I$89,5,0)</f>
        <v>76.907999999999987</v>
      </c>
      <c r="DQ24" s="14">
        <f t="shared" si="43"/>
        <v>21.379448490435635</v>
      </c>
      <c r="DR24" s="22">
        <f t="shared" si="16"/>
        <v>171.18397278750868</v>
      </c>
      <c r="DS24" s="60">
        <f t="shared" si="17"/>
        <v>411.94065387370642</v>
      </c>
      <c r="DT24" s="60">
        <f ca="1">AVERAGE(OFFSET($DS$3,0,0,'Données projet'!$E$14+1,1))-AVERAGE(OFFSET($H$3,0,0,'Données projet'!$E$14+1,1))</f>
        <v>305.68891030516761</v>
      </c>
      <c r="DU24" s="60">
        <f t="shared" si="44"/>
        <v>296.00275062228275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58.660913023508463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5.6</v>
      </c>
      <c r="EJ24" s="13">
        <f>IF('Données projet'!$A$192&gt;35,EJ23+EI24-ER23,IF(A24&lt;'Données projet'!$A$192,$EG$205^A24,IF(A24='Données projet'!$A$192,'Données projet'!$B$192,EJ23+EI24-ER23)))</f>
        <v>47.6</v>
      </c>
      <c r="EK24" s="18">
        <f>EJ24*VLOOKUP('Données projet'!$B$15,Paramètres!$A$1:$I$89,3,0)*VLOOKUP('Données projet'!$B$15,Paramètres!$A$1:$I$89,5,0)</f>
        <v>46.038720000000005</v>
      </c>
      <c r="EL24" s="14">
        <f t="shared" si="45"/>
        <v>13.585879560828786</v>
      </c>
      <c r="EM24" s="22">
        <f t="shared" si="19"/>
        <v>103.84617756844348</v>
      </c>
      <c r="EN24" s="60">
        <f t="shared" si="20"/>
        <v>344.60285865464124</v>
      </c>
      <c r="EO24" s="60">
        <f ca="1">AVERAGE(OFFSET($EN$3,0,0,'Données projet'!$E$15+1,1))-AVERAGE(OFFSET($H$3,0,0,'Données projet'!$E$15+1,1))</f>
        <v>483.60545605360528</v>
      </c>
      <c r="EP24" s="60">
        <f t="shared" si="46"/>
        <v>256.96685577560345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58.660913023508463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0" t="e">
        <f t="shared" si="23"/>
        <v>#N/A</v>
      </c>
      <c r="FJ24" s="60" t="e">
        <f ca="1">AVERAGE(OFFSET($FI$3,0,0,'Données projet'!$E$16+1,1))-AVERAGE(OFFSET($H$3,0,0,'Données projet'!$E$16+1,1))</f>
        <v>#N/A</v>
      </c>
      <c r="FK24" s="60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58.660913023508463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0" t="e">
        <f t="shared" si="26"/>
        <v>#N/A</v>
      </c>
      <c r="GE24" s="60" t="e">
        <f ca="1">AVERAGE(OFFSET($GD$3,0,0,'Données projet'!$E$17+1,1))-AVERAGE(OFFSET($H$3,0,0,'Données projet'!$E$17+1,1))</f>
        <v>#N/A</v>
      </c>
      <c r="GF24" s="60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58.660913023508463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4">
        <f>'Scénario référence'!$B$16*5+'Scénario référence'!$B$17*0+'Scénario référence'!$B$18*5</f>
        <v>3.2750000000000004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12.008333333333335</v>
      </c>
      <c r="H25" s="67">
        <f t="shared" si="1"/>
        <v>208.63333333333333</v>
      </c>
      <c r="I25" s="7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58.857620832149877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projet'!$B$9,Paramètres!$A$1:$I$89,3,0)*VLOOKUP('Données projet'!$B$9,Paramètres!$A$1:$I$89,5,0)</f>
        <v>53.944800000000008</v>
      </c>
      <c r="P25" s="14">
        <f t="shared" si="33"/>
        <v>15.627975445731321</v>
      </c>
      <c r="Q25" s="22">
        <f t="shared" si="2"/>
        <v>121.17258390131538</v>
      </c>
      <c r="R25" s="60">
        <f t="shared" si="0"/>
        <v>363.87274917475378</v>
      </c>
      <c r="S25" s="60">
        <f ca="1">AVERAGE(OFFSET($R$3,0,0,'Données projet'!$E$9+1,1))-AVERAGE(OFFSET($H$3,0,0,'Données projet'!$E$9+1,1))</f>
        <v>503.64055031157477</v>
      </c>
      <c r="T25" s="60">
        <f t="shared" si="34"/>
        <v>266.76572540460842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58.857620832149877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5.6</v>
      </c>
      <c r="AI25" s="14">
        <f>IF('Données projet'!$A$62&gt;35,AI24+AH25-AQ24,IF(A25&lt;'Données projet'!$A$62,$AF$205^A25,IF(A25='Données projet'!$A$62,'Données projet'!$B$62,AI24+AH25-AQ24)))</f>
        <v>53.2</v>
      </c>
      <c r="AJ25" s="14">
        <f>AI25*VLOOKUP('Données projet'!$B$10,Paramètres!$A$1:$I$89,3,0)*VLOOKUP('Données projet'!$B$10,Paramètres!$A$1:$I$89,5,0)</f>
        <v>48.135359999999999</v>
      </c>
      <c r="AK25" s="14">
        <f t="shared" si="35"/>
        <v>14.131148275361113</v>
      </c>
      <c r="AL25" s="22">
        <f t="shared" si="4"/>
        <v>108.4475019129206</v>
      </c>
      <c r="AM25" s="60">
        <f t="shared" si="5"/>
        <v>351.147667186359</v>
      </c>
      <c r="AN25" s="60">
        <f ca="1">AVERAGE(OFFSET($AM$3,0,0,'Données projet'!$E$10+1,1))-AVERAGE(OFFSET($H$3,0,0,'Données projet'!$E$10+1,1))</f>
        <v>456.86058467343139</v>
      </c>
      <c r="AO25" s="60">
        <f t="shared" si="36"/>
        <v>243.88495931574937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58.857620832149877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6.5384615384615383</v>
      </c>
      <c r="BD25" s="13">
        <f>IF('Données projet'!$A$88&gt;35,BD24+BC25-BL24,IF(A25&lt;'Données projet'!$A$88,$BA$205^A25,IF(A25='Données projet'!$A$88,'Données projet'!$B$88,BD24+BC25-BL24)))</f>
        <v>61.794871794871781</v>
      </c>
      <c r="BE25" s="14">
        <f>BD25*VLOOKUP('Données projet'!$B$11,Paramètres!$A$1:$I$89,3,0)*VLOOKUP('Données projet'!$B$11,Paramètres!$A$1:$I$89,5,0)</f>
        <v>64.587999999999994</v>
      </c>
      <c r="BF25" s="14">
        <f t="shared" si="37"/>
        <v>18.323238211635353</v>
      </c>
      <c r="BG25" s="22">
        <f t="shared" si="7"/>
        <v>144.40373988526488</v>
      </c>
      <c r="BH25" s="60">
        <f t="shared" si="8"/>
        <v>387.1039051587033</v>
      </c>
      <c r="BI25" s="60">
        <f ca="1">AVERAGE(OFFSET($BH$3,0,0,'Données projet'!$E$11+1,1))-AVERAGE(OFFSET($H$3,0,0,'Données projet'!$E$11+1,1))</f>
        <v>518.47226207416952</v>
      </c>
      <c r="BJ25" s="60">
        <f t="shared" si="38"/>
        <v>314.6379787306804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58.857620832149877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5.6</v>
      </c>
      <c r="BY25" s="13">
        <f>IF('Données projet'!$A$114&gt;35,BY24+BX25-CG24,IF(A25&lt;'Données projet'!$A$114,$BV$205^A25,IF(A25='Données projet'!$A$114,'Données projet'!$B$114,BY24+BX25-CG24)))</f>
        <v>53.2</v>
      </c>
      <c r="BZ25" s="14">
        <f>BY25*VLOOKUP('Données projet'!$B$12,Paramètres!$A$1:$I$89,3,0)*VLOOKUP('Données projet'!$B$12,Paramètres!$A$1:$I$89,5,0)</f>
        <v>57.264479999999999</v>
      </c>
      <c r="CA25" s="14">
        <f t="shared" si="39"/>
        <v>16.474776623807379</v>
      </c>
      <c r="CB25" s="22">
        <f t="shared" si="10"/>
        <v>128.42920528646451</v>
      </c>
      <c r="CC25" s="60">
        <f t="shared" si="11"/>
        <v>371.1293705599029</v>
      </c>
      <c r="CD25" s="60">
        <f ca="1">AVERAGE(OFFSET($CC$3,0,0,'Données projet'!$E$12+1,1))-AVERAGE(OFFSET($H$3,0,0,'Données projet'!$E$12+1,1))</f>
        <v>530.32456073177104</v>
      </c>
      <c r="CE25" s="60">
        <f t="shared" si="40"/>
        <v>279.81519428470625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58.857620832149877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12.500000000000002</v>
      </c>
      <c r="CT25" s="13">
        <f>IF('Données projet'!$A$140&gt;35,CT24+CS25-DB24,IF(A25&lt;'Données projet'!$A$140,$CQ$205^A25,IF(A25='Données projet'!$A$140,'Données projet'!$B$140,CT24+CS25-DB24)))</f>
        <v>77</v>
      </c>
      <c r="CU25" s="18">
        <f>CT25*VLOOKUP('Données projet'!$B$13,Paramètres!$A$1:$I$89,3,0)*VLOOKUP('Données projet'!$B$13,Paramètres!$A$1:$I$89,5,0)</f>
        <v>67.267200000000003</v>
      </c>
      <c r="CV25" s="14">
        <f t="shared" si="41"/>
        <v>18.993242158132926</v>
      </c>
      <c r="CW25" s="22">
        <f t="shared" si="13"/>
        <v>150.23693675874819</v>
      </c>
      <c r="CX25" s="60">
        <f t="shared" si="14"/>
        <v>392.9371020321866</v>
      </c>
      <c r="CY25" s="60">
        <f ca="1">AVERAGE(OFFSET($CX$3,0,0,'Données projet'!$E$13+1,1))-AVERAGE(OFFSET($H$3,0,0,'Données projet'!$E$13+1,1))</f>
        <v>355.03862261578701</v>
      </c>
      <c r="CZ25" s="60">
        <f t="shared" si="42"/>
        <v>382.84441399266029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58.857620832149877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10.6</v>
      </c>
      <c r="DO25" s="13">
        <f>IF('Données projet'!$A$166&gt;35,DO24+DN25-DW24,IF(A25&lt;'Données projet'!$A$166,$DL$205^A25,IF(A25='Données projet'!$A$166,'Données projet'!$B$166,DO24+DN25-DW24)))</f>
        <v>109.19999999999997</v>
      </c>
      <c r="DP25" s="18">
        <f>DO25*VLOOKUP('Données projet'!$B$14,Paramètres!$A$1:$I$89,3,0)*VLOOKUP('Données projet'!$B$14,Paramètres!$A$1:$I$89,5,0)</f>
        <v>85.175999999999988</v>
      </c>
      <c r="DQ25" s="14">
        <f t="shared" si="43"/>
        <v>23.398088487656434</v>
      </c>
      <c r="DR25" s="22">
        <f t="shared" si="16"/>
        <v>189.09987078266826</v>
      </c>
      <c r="DS25" s="60">
        <f t="shared" si="17"/>
        <v>431.80003605610671</v>
      </c>
      <c r="DT25" s="60">
        <f ca="1">AVERAGE(OFFSET($DS$3,0,0,'Données projet'!$E$14+1,1))-AVERAGE(OFFSET($H$3,0,0,'Données projet'!$E$14+1,1))</f>
        <v>305.68891030516761</v>
      </c>
      <c r="DU25" s="60">
        <f t="shared" si="44"/>
        <v>296.00275062228275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58.857620832149877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5.6</v>
      </c>
      <c r="EJ25" s="13">
        <f>IF('Données projet'!$A$192&gt;35,EJ24+EI25-ER24,IF(A25&lt;'Données projet'!$A$192,$EG$205^A25,IF(A25='Données projet'!$A$192,'Données projet'!$B$192,EJ24+EI25-ER24)))</f>
        <v>53.2</v>
      </c>
      <c r="EK25" s="18">
        <f>EJ25*VLOOKUP('Données projet'!$B$15,Paramètres!$A$1:$I$89,3,0)*VLOOKUP('Données projet'!$B$15,Paramètres!$A$1:$I$89,5,0)</f>
        <v>51.455040000000004</v>
      </c>
      <c r="EL25" s="14">
        <f t="shared" si="45"/>
        <v>14.988900446655085</v>
      </c>
      <c r="EM25" s="22">
        <f t="shared" si="19"/>
        <v>115.72319627792427</v>
      </c>
      <c r="EN25" s="60">
        <f t="shared" si="20"/>
        <v>358.42336155136269</v>
      </c>
      <c r="EO25" s="60">
        <f ca="1">AVERAGE(OFFSET($EN$3,0,0,'Données projet'!$E$15+1,1))-AVERAGE(OFFSET($H$3,0,0,'Données projet'!$E$15+1,1))</f>
        <v>483.60545605360528</v>
      </c>
      <c r="EP25" s="60">
        <f t="shared" si="46"/>
        <v>256.96685577560345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58.857620832149877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0" t="e">
        <f t="shared" si="23"/>
        <v>#N/A</v>
      </c>
      <c r="FJ25" s="60" t="e">
        <f ca="1">AVERAGE(OFFSET($FI$3,0,0,'Données projet'!$E$16+1,1))-AVERAGE(OFFSET($H$3,0,0,'Données projet'!$E$16+1,1))</f>
        <v>#N/A</v>
      </c>
      <c r="FK25" s="60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58.857620832149877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0" t="e">
        <f t="shared" si="26"/>
        <v>#N/A</v>
      </c>
      <c r="GE25" s="60" t="e">
        <f ca="1">AVERAGE(OFFSET($GD$3,0,0,'Données projet'!$E$17+1,1))-AVERAGE(OFFSET($H$3,0,0,'Données projet'!$E$17+1,1))</f>
        <v>#N/A</v>
      </c>
      <c r="GF25" s="60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58.857620832149877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4">
        <f>'Scénario référence'!$B$16*5+'Scénario référence'!$B$17*0+'Scénario référence'!$B$18*5</f>
        <v>3.2750000000000004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12.008333333333335</v>
      </c>
      <c r="H26" s="67">
        <f t="shared" si="1"/>
        <v>208.63333333333333</v>
      </c>
      <c r="I26" s="7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59.050916200084139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projet'!$B$9,Paramètres!$A$1:$I$89,3,0)*VLOOKUP('Données projet'!$B$9,Paramètres!$A$1:$I$89,5,0)</f>
        <v>59.623200000000011</v>
      </c>
      <c r="P26" s="14">
        <f t="shared" si="33"/>
        <v>17.072967249098898</v>
      </c>
      <c r="Q26" s="22">
        <f t="shared" si="2"/>
        <v>133.57915795884725</v>
      </c>
      <c r="R26" s="60">
        <f t="shared" si="0"/>
        <v>378.2102951369335</v>
      </c>
      <c r="S26" s="60">
        <f ca="1">AVERAGE(OFFSET($R$3,0,0,'Données projet'!$E$9+1,1))-AVERAGE(OFFSET($H$3,0,0,'Données projet'!$E$9+1,1))</f>
        <v>503.64055031157477</v>
      </c>
      <c r="T26" s="60">
        <f t="shared" si="34"/>
        <v>266.76572540460842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59.050916200084139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5.6</v>
      </c>
      <c r="AI26" s="14">
        <f>IF('Données projet'!$A$62&gt;35,AI25+AH26-AQ25,IF(A26&lt;'Données projet'!$A$62,$AF$205^A26,IF(A26='Données projet'!$A$62,'Données projet'!$B$62,AI25+AH26-AQ25)))</f>
        <v>58.800000000000004</v>
      </c>
      <c r="AJ26" s="14">
        <f>AI26*VLOOKUP('Données projet'!$B$10,Paramètres!$A$1:$I$89,3,0)*VLOOKUP('Données projet'!$B$10,Paramètres!$A$1:$I$89,5,0)</f>
        <v>53.202240000000003</v>
      </c>
      <c r="AK26" s="14">
        <f t="shared" si="35"/>
        <v>15.437740642425908</v>
      </c>
      <c r="AL26" s="22">
        <f t="shared" si="4"/>
        <v>119.54796628555846</v>
      </c>
      <c r="AM26" s="60">
        <f t="shared" si="5"/>
        <v>364.17910346364476</v>
      </c>
      <c r="AN26" s="60">
        <f ca="1">AVERAGE(OFFSET($AM$3,0,0,'Données projet'!$E$10+1,1))-AVERAGE(OFFSET($H$3,0,0,'Données projet'!$E$10+1,1))</f>
        <v>456.86058467343139</v>
      </c>
      <c r="AO26" s="60">
        <f t="shared" si="36"/>
        <v>243.88495931574937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59.050916200084139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6.5384615384615383</v>
      </c>
      <c r="BD26" s="13">
        <f>IF('Données projet'!$A$88&gt;35,BD25+BC26-BL25,IF(A26&lt;'Données projet'!$A$88,$BA$205^A26,IF(A26='Données projet'!$A$88,'Données projet'!$B$88,BD25+BC26-BL25)))</f>
        <v>68.333333333333314</v>
      </c>
      <c r="BE26" s="14">
        <f>BD26*VLOOKUP('Données projet'!$B$11,Paramètres!$A$1:$I$89,3,0)*VLOOKUP('Données projet'!$B$11,Paramètres!$A$1:$I$89,5,0)</f>
        <v>71.421999999999983</v>
      </c>
      <c r="BF26" s="14">
        <f t="shared" si="37"/>
        <v>20.026175905859041</v>
      </c>
      <c r="BG26" s="22">
        <f t="shared" si="7"/>
        <v>159.27223970270444</v>
      </c>
      <c r="BH26" s="60">
        <f t="shared" si="8"/>
        <v>403.90337688079069</v>
      </c>
      <c r="BI26" s="60">
        <f ca="1">AVERAGE(OFFSET($BH$3,0,0,'Données projet'!$E$11+1,1))-AVERAGE(OFFSET($H$3,0,0,'Données projet'!$E$11+1,1))</f>
        <v>518.47226207416952</v>
      </c>
      <c r="BJ26" s="60">
        <f t="shared" si="38"/>
        <v>314.6379787306804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59.050916200084139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5.6</v>
      </c>
      <c r="BY26" s="13">
        <f>IF('Données projet'!$A$114&gt;35,BY25+BX26-CG25,IF(A26&lt;'Données projet'!$A$114,$BV$205^A26,IF(A26='Données projet'!$A$114,'Données projet'!$B$114,BY25+BX26-CG25)))</f>
        <v>58.800000000000004</v>
      </c>
      <c r="BZ26" s="14">
        <f>BY26*VLOOKUP('Données projet'!$B$12,Paramètres!$A$1:$I$89,3,0)*VLOOKUP('Données projet'!$B$12,Paramètres!$A$1:$I$89,5,0)</f>
        <v>63.292320000000004</v>
      </c>
      <c r="CA26" s="14">
        <f t="shared" si="39"/>
        <v>17.998065245956816</v>
      </c>
      <c r="CB26" s="22">
        <f t="shared" si="10"/>
        <v>141.58075430337479</v>
      </c>
      <c r="CC26" s="60">
        <f t="shared" si="11"/>
        <v>386.21189148146107</v>
      </c>
      <c r="CD26" s="60">
        <f ca="1">AVERAGE(OFFSET($CC$3,0,0,'Données projet'!$E$12+1,1))-AVERAGE(OFFSET($H$3,0,0,'Données projet'!$E$12+1,1))</f>
        <v>530.32456073177104</v>
      </c>
      <c r="CE26" s="60">
        <f t="shared" si="40"/>
        <v>279.81519428470625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59.050916200084139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12.500000000000002</v>
      </c>
      <c r="CT26" s="13">
        <f>IF('Données projet'!$A$140&gt;35,CT25+CS26-DB25,IF(A26&lt;'Données projet'!$A$140,$CQ$205^A26,IF(A26='Données projet'!$A$140,'Données projet'!$B$140,CT25+CS26-DB25)))</f>
        <v>89.5</v>
      </c>
      <c r="CU26" s="18">
        <f>CT26*VLOOKUP('Données projet'!$B$13,Paramètres!$A$1:$I$89,3,0)*VLOOKUP('Données projet'!$B$13,Paramètres!$A$1:$I$89,5,0)</f>
        <v>78.187200000000004</v>
      </c>
      <c r="CV26" s="14">
        <f t="shared" si="41"/>
        <v>21.693355566332489</v>
      </c>
      <c r="CW26" s="22">
        <f t="shared" si="13"/>
        <v>173.95863427802908</v>
      </c>
      <c r="CX26" s="60">
        <f t="shared" si="14"/>
        <v>418.58977145611539</v>
      </c>
      <c r="CY26" s="60">
        <f ca="1">AVERAGE(OFFSET($CX$3,0,0,'Données projet'!$E$13+1,1))-AVERAGE(OFFSET($H$3,0,0,'Données projet'!$E$13+1,1))</f>
        <v>355.03862261578701</v>
      </c>
      <c r="CZ26" s="60">
        <f t="shared" si="42"/>
        <v>382.84441399266029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59.050916200084139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10.6</v>
      </c>
      <c r="DO26" s="13">
        <f>IF('Données projet'!$A$166&gt;35,DO25+DN26-DW25,IF(A26&lt;'Données projet'!$A$166,$DL$205^A26,IF(A26='Données projet'!$A$166,'Données projet'!$B$166,DO25+DN26-DW25)))</f>
        <v>119.79999999999997</v>
      </c>
      <c r="DP26" s="18">
        <f>DO26*VLOOKUP('Données projet'!$B$14,Paramètres!$A$1:$I$89,3,0)*VLOOKUP('Données projet'!$B$14,Paramètres!$A$1:$I$89,5,0)</f>
        <v>93.443999999999974</v>
      </c>
      <c r="DQ26" s="14">
        <f t="shared" si="43"/>
        <v>25.394010816431489</v>
      </c>
      <c r="DR26" s="22">
        <f t="shared" si="16"/>
        <v>206.97620217195148</v>
      </c>
      <c r="DS26" s="60">
        <f t="shared" si="17"/>
        <v>451.60733935003776</v>
      </c>
      <c r="DT26" s="60">
        <f ca="1">AVERAGE(OFFSET($DS$3,0,0,'Données projet'!$E$14+1,1))-AVERAGE(OFFSET($H$3,0,0,'Données projet'!$E$14+1,1))</f>
        <v>305.68891030516761</v>
      </c>
      <c r="DU26" s="60">
        <f t="shared" si="44"/>
        <v>296.00275062228275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59.050916200084139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5.6</v>
      </c>
      <c r="EJ26" s="13">
        <f>IF('Données projet'!$A$192&gt;35,EJ25+EI26-ER25,IF(A26&lt;'Données projet'!$A$192,$EG$205^A26,IF(A26='Données projet'!$A$192,'Données projet'!$B$192,EJ25+EI26-ER25)))</f>
        <v>58.800000000000004</v>
      </c>
      <c r="EK26" s="18">
        <f>EJ26*VLOOKUP('Données projet'!$B$15,Paramètres!$A$1:$I$89,3,0)*VLOOKUP('Données projet'!$B$15,Paramètres!$A$1:$I$89,5,0)</f>
        <v>56.87136000000001</v>
      </c>
      <c r="EL26" s="14">
        <f t="shared" si="45"/>
        <v>16.374802181791551</v>
      </c>
      <c r="EM26" s="22">
        <f t="shared" si="19"/>
        <v>127.57039913328697</v>
      </c>
      <c r="EN26" s="60">
        <f t="shared" si="20"/>
        <v>372.20153631137327</v>
      </c>
      <c r="EO26" s="60">
        <f ca="1">AVERAGE(OFFSET($EN$3,0,0,'Données projet'!$E$15+1,1))-AVERAGE(OFFSET($H$3,0,0,'Données projet'!$E$15+1,1))</f>
        <v>483.60545605360528</v>
      </c>
      <c r="EP26" s="60">
        <f t="shared" si="46"/>
        <v>256.96685577560345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59.050916200084139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0" t="e">
        <f t="shared" si="23"/>
        <v>#N/A</v>
      </c>
      <c r="FJ26" s="60" t="e">
        <f ca="1">AVERAGE(OFFSET($FI$3,0,0,'Données projet'!$E$16+1,1))-AVERAGE(OFFSET($H$3,0,0,'Données projet'!$E$16+1,1))</f>
        <v>#N/A</v>
      </c>
      <c r="FK26" s="60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59.050916200084139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0" t="e">
        <f t="shared" si="26"/>
        <v>#N/A</v>
      </c>
      <c r="GE26" s="60" t="e">
        <f ca="1">AVERAGE(OFFSET($GD$3,0,0,'Données projet'!$E$17+1,1))-AVERAGE(OFFSET($H$3,0,0,'Données projet'!$E$17+1,1))</f>
        <v>#N/A</v>
      </c>
      <c r="GF26" s="60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59.050916200084139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4">
        <f>'Scénario référence'!$B$16*5+'Scénario référence'!$B$17*0+'Scénario référence'!$B$18*5</f>
        <v>3.2750000000000004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12.008333333333335</v>
      </c>
      <c r="H27" s="67">
        <f t="shared" si="1"/>
        <v>208.63333333333333</v>
      </c>
      <c r="I27" s="7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59.240858325528443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projet'!$B$9,Paramètres!$A$1:$I$89,3,0)*VLOOKUP('Données projet'!$B$9,Paramètres!$A$1:$I$89,5,0)</f>
        <v>65.301600000000008</v>
      </c>
      <c r="P27" s="14">
        <f t="shared" si="33"/>
        <v>18.502003309535596</v>
      </c>
      <c r="Q27" s="22">
        <f t="shared" si="2"/>
        <v>145.95794243077449</v>
      </c>
      <c r="R27" s="60">
        <f t="shared" si="0"/>
        <v>392.50775629104544</v>
      </c>
      <c r="S27" s="60">
        <f ca="1">AVERAGE(OFFSET($R$3,0,0,'Données projet'!$E$9+1,1))-AVERAGE(OFFSET($H$3,0,0,'Données projet'!$E$9+1,1))</f>
        <v>503.64055031157477</v>
      </c>
      <c r="T27" s="60">
        <f t="shared" si="34"/>
        <v>266.76572540460842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59.240858325528443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5.6</v>
      </c>
      <c r="AI27" s="14">
        <f>IF('Données projet'!$A$62&gt;35,AI26+AH27-AQ26,IF(A27&lt;'Données projet'!$A$62,$AF$205^A27,IF(A27='Données projet'!$A$62,'Données projet'!$B$62,AI26+AH27-AQ26)))</f>
        <v>64.400000000000006</v>
      </c>
      <c r="AJ27" s="14">
        <f>AI27*VLOOKUP('Données projet'!$B$10,Paramètres!$A$1:$I$89,3,0)*VLOOKUP('Données projet'!$B$10,Paramètres!$A$1:$I$89,5,0)</f>
        <v>58.269120000000008</v>
      </c>
      <c r="AK27" s="14">
        <f t="shared" si="35"/>
        <v>16.729905486873804</v>
      </c>
      <c r="AL27" s="22">
        <f t="shared" si="4"/>
        <v>130.62330272297189</v>
      </c>
      <c r="AM27" s="60">
        <f t="shared" si="5"/>
        <v>377.17311658324286</v>
      </c>
      <c r="AN27" s="60">
        <f ca="1">AVERAGE(OFFSET($AM$3,0,0,'Données projet'!$E$10+1,1))-AVERAGE(OFFSET($H$3,0,0,'Données projet'!$E$10+1,1))</f>
        <v>456.86058467343139</v>
      </c>
      <c r="AO27" s="60">
        <f t="shared" si="36"/>
        <v>243.88495931574937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59.240858325528443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6.5384615384615383</v>
      </c>
      <c r="BD27" s="13">
        <f>IF('Données projet'!$A$88&gt;35,BD26+BC27-BL26,IF(A27&lt;'Données projet'!$A$88,$BA$205^A27,IF(A27='Données projet'!$A$88,'Données projet'!$B$88,BD26+BC27-BL26)))</f>
        <v>74.871794871794847</v>
      </c>
      <c r="BE27" s="14">
        <f>BD27*VLOOKUP('Données projet'!$B$11,Paramètres!$A$1:$I$89,3,0)*VLOOKUP('Données projet'!$B$11,Paramètres!$A$1:$I$89,5,0)</f>
        <v>78.255999999999986</v>
      </c>
      <c r="BF27" s="14">
        <f t="shared" si="37"/>
        <v>21.710221600850431</v>
      </c>
      <c r="BG27" s="22">
        <f t="shared" si="7"/>
        <v>174.10783595481448</v>
      </c>
      <c r="BH27" s="60">
        <f t="shared" si="8"/>
        <v>420.65764981508545</v>
      </c>
      <c r="BI27" s="60">
        <f ca="1">AVERAGE(OFFSET($BH$3,0,0,'Données projet'!$E$11+1,1))-AVERAGE(OFFSET($H$3,0,0,'Données projet'!$E$11+1,1))</f>
        <v>518.47226207416952</v>
      </c>
      <c r="BJ27" s="60">
        <f t="shared" si="38"/>
        <v>314.6379787306804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59.240858325528443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5.6</v>
      </c>
      <c r="BY27" s="13">
        <f>IF('Données projet'!$A$114&gt;35,BY26+BX27-CG26,IF(A27&lt;'Données projet'!$A$114,$BV$205^A27,IF(A27='Données projet'!$A$114,'Données projet'!$B$114,BY26+BX27-CG26)))</f>
        <v>64.400000000000006</v>
      </c>
      <c r="BZ27" s="14">
        <f>BY27*VLOOKUP('Données projet'!$B$12,Paramètres!$A$1:$I$89,3,0)*VLOOKUP('Données projet'!$B$12,Paramètres!$A$1:$I$89,5,0)</f>
        <v>69.320160000000001</v>
      </c>
      <c r="CA27" s="14">
        <f t="shared" si="39"/>
        <v>19.50453356393022</v>
      </c>
      <c r="CB27" s="22">
        <f t="shared" si="10"/>
        <v>154.70300795717847</v>
      </c>
      <c r="CC27" s="60">
        <f t="shared" si="11"/>
        <v>401.25282181744944</v>
      </c>
      <c r="CD27" s="60">
        <f ca="1">AVERAGE(OFFSET($CC$3,0,0,'Données projet'!$E$12+1,1))-AVERAGE(OFFSET($H$3,0,0,'Données projet'!$E$12+1,1))</f>
        <v>530.32456073177104</v>
      </c>
      <c r="CE27" s="60">
        <f t="shared" si="40"/>
        <v>279.81519428470625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59.240858325528443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12.500000000000002</v>
      </c>
      <c r="CT27" s="13">
        <f>IF('Données projet'!$A$140&gt;35,CT26+CS27-DB26,IF(A27&lt;'Données projet'!$A$140,$CQ$205^A27,IF(A27='Données projet'!$A$140,'Données projet'!$B$140,CT26+CS27-DB26)))</f>
        <v>102</v>
      </c>
      <c r="CU27" s="18">
        <f>CT27*VLOOKUP('Données projet'!$B$13,Paramètres!$A$1:$I$89,3,0)*VLOOKUP('Données projet'!$B$13,Paramètres!$A$1:$I$89,5,0)</f>
        <v>89.107200000000006</v>
      </c>
      <c r="CV27" s="14">
        <f t="shared" si="41"/>
        <v>24.349778356363352</v>
      </c>
      <c r="CW27" s="22">
        <f t="shared" si="13"/>
        <v>197.6042373039995</v>
      </c>
      <c r="CX27" s="60">
        <f t="shared" si="14"/>
        <v>444.15405116427047</v>
      </c>
      <c r="CY27" s="60">
        <f ca="1">AVERAGE(OFFSET($CX$3,0,0,'Données projet'!$E$13+1,1))-AVERAGE(OFFSET($H$3,0,0,'Données projet'!$E$13+1,1))</f>
        <v>355.03862261578701</v>
      </c>
      <c r="CZ27" s="60">
        <f t="shared" si="42"/>
        <v>382.84441399266029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59.240858325528443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10.6</v>
      </c>
      <c r="DO27" s="13">
        <f>IF('Données projet'!$A$166&gt;35,DO26+DN27-DW26,IF(A27&lt;'Données projet'!$A$166,$DL$205^A27,IF(A27='Données projet'!$A$166,'Données projet'!$B$166,DO26+DN27-DW26)))</f>
        <v>130.39999999999998</v>
      </c>
      <c r="DP27" s="18">
        <f>DO27*VLOOKUP('Données projet'!$B$14,Paramètres!$A$1:$I$89,3,0)*VLOOKUP('Données projet'!$B$14,Paramètres!$A$1:$I$89,5,0)</f>
        <v>101.71199999999999</v>
      </c>
      <c r="DQ27" s="14">
        <f t="shared" si="43"/>
        <v>27.369454120725656</v>
      </c>
      <c r="DR27" s="22">
        <f t="shared" si="16"/>
        <v>224.81686592693052</v>
      </c>
      <c r="DS27" s="60">
        <f t="shared" si="17"/>
        <v>471.36667978720152</v>
      </c>
      <c r="DT27" s="60">
        <f ca="1">AVERAGE(OFFSET($DS$3,0,0,'Données projet'!$E$14+1,1))-AVERAGE(OFFSET($H$3,0,0,'Données projet'!$E$14+1,1))</f>
        <v>305.68891030516761</v>
      </c>
      <c r="DU27" s="60">
        <f t="shared" si="44"/>
        <v>296.00275062228275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59.240858325528443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5.6</v>
      </c>
      <c r="EJ27" s="13">
        <f>IF('Données projet'!$A$192&gt;35,EJ26+EI27-ER26,IF(A27&lt;'Données projet'!$A$192,$EG$205^A27,IF(A27='Données projet'!$A$192,'Données projet'!$B$192,EJ26+EI27-ER26)))</f>
        <v>64.400000000000006</v>
      </c>
      <c r="EK27" s="18">
        <f>EJ27*VLOOKUP('Données projet'!$B$15,Paramètres!$A$1:$I$89,3,0)*VLOOKUP('Données projet'!$B$15,Paramètres!$A$1:$I$89,5,0)</f>
        <v>62.287680000000009</v>
      </c>
      <c r="EL27" s="14">
        <f t="shared" si="45"/>
        <v>17.745400652396182</v>
      </c>
      <c r="EM27" s="22">
        <f t="shared" si="19"/>
        <v>139.39094880292336</v>
      </c>
      <c r="EN27" s="60">
        <f t="shared" si="20"/>
        <v>385.94076266319433</v>
      </c>
      <c r="EO27" s="60">
        <f ca="1">AVERAGE(OFFSET($EN$3,0,0,'Données projet'!$E$15+1,1))-AVERAGE(OFFSET($H$3,0,0,'Données projet'!$E$15+1,1))</f>
        <v>483.60545605360528</v>
      </c>
      <c r="EP27" s="60">
        <f t="shared" si="46"/>
        <v>256.96685577560345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59.240858325528443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0" t="e">
        <f t="shared" si="23"/>
        <v>#N/A</v>
      </c>
      <c r="FJ27" s="60" t="e">
        <f ca="1">AVERAGE(OFFSET($FI$3,0,0,'Données projet'!$E$16+1,1))-AVERAGE(OFFSET($H$3,0,0,'Données projet'!$E$16+1,1))</f>
        <v>#N/A</v>
      </c>
      <c r="FK27" s="60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59.240858325528443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0" t="e">
        <f t="shared" si="26"/>
        <v>#N/A</v>
      </c>
      <c r="GE27" s="60" t="e">
        <f ca="1">AVERAGE(OFFSET($GD$3,0,0,'Données projet'!$E$17+1,1))-AVERAGE(OFFSET($H$3,0,0,'Données projet'!$E$17+1,1))</f>
        <v>#N/A</v>
      </c>
      <c r="GF27" s="60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59.240858325528443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4">
        <f>'Scénario référence'!$B$16*5+'Scénario référence'!$B$17*0+'Scénario référence'!$B$18*5</f>
        <v>3.2750000000000004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12.008333333333335</v>
      </c>
      <c r="H28" s="67">
        <f t="shared" si="1"/>
        <v>208.63333333333333</v>
      </c>
      <c r="I28" s="7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59.427505379743266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70.98</v>
      </c>
      <c r="P28" s="14">
        <f t="shared" si="33"/>
        <v>19.916628839746853</v>
      </c>
      <c r="Q28" s="22">
        <f t="shared" si="2"/>
        <v>158.31162856255909</v>
      </c>
      <c r="R28" s="60">
        <f t="shared" si="0"/>
        <v>406.76803717717326</v>
      </c>
      <c r="S28" s="60">
        <f ca="1">AVERAGE(OFFSET($R$3,0,0,'Données projet'!$E$9+1,1))-AVERAGE(OFFSET($H$3,0,0,'Données projet'!$E$9+1,1))</f>
        <v>503.64055031157477</v>
      </c>
      <c r="T28" s="60">
        <f t="shared" si="34"/>
        <v>266.76572540460842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59.427505379743266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70</v>
      </c>
      <c r="AG28" s="13">
        <f>VLOOKUP(A28,'Données projet'!$A$61:$I$81,9,0)</f>
        <v>5.6</v>
      </c>
      <c r="AH28" s="13">
        <f t="array" ref="AH28">INDEX(AG:AG,MIN(IF(ISNUMBER(AG28:AG224),ROW(AG28:AG224),"")))</f>
        <v>5.6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projet'!$B$10,Paramètres!$A$1:$I$89,3,0)*VLOOKUP('Données projet'!$B$10,Paramètres!$A$1:$I$89,5,0)</f>
        <v>63.335999999999991</v>
      </c>
      <c r="AK28" s="14">
        <f t="shared" si="35"/>
        <v>18.009040022946227</v>
      </c>
      <c r="AL28" s="22">
        <f t="shared" si="4"/>
        <v>141.67594470663133</v>
      </c>
      <c r="AM28" s="60">
        <f t="shared" si="5"/>
        <v>390.13235332124549</v>
      </c>
      <c r="AN28" s="60">
        <f ca="1">AVERAGE(OFFSET($AM$3,0,0,'Données projet'!$E$10+1,1))-AVERAGE(OFFSET($H$3,0,0,'Données projet'!$E$10+1,1))</f>
        <v>456.86058467343139</v>
      </c>
      <c r="AO28" s="60">
        <f t="shared" si="36"/>
        <v>243.88495931574937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59.427505379743266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81.410256410256409</v>
      </c>
      <c r="BB28" s="13">
        <f>VLOOKUP(A28,'Données projet'!$A$87:$I$107,9,0)</f>
        <v>6.5384615384615383</v>
      </c>
      <c r="BC28" s="13">
        <f t="array" ref="BC28">INDEX(BB:BB,MIN(IF(ISNUMBER(BB28:BB224),ROW(BB28:BB224),"")))</f>
        <v>6.5384615384615383</v>
      </c>
      <c r="BD28" s="13">
        <f>IF('Données projet'!$A$88&gt;35,BD27+BC28-BL27,IF(A28&lt;'Données projet'!$A$88,$BA$205^A28,IF(A28='Données projet'!$A$88,'Données projet'!$B$88,BD27+BC28-BL27)))</f>
        <v>81.41025641025638</v>
      </c>
      <c r="BE28" s="14">
        <f>BD28*VLOOKUP('Données projet'!$B$11,Paramètres!$A$1:$I$89,3,0)*VLOOKUP('Données projet'!$B$11,Paramètres!$A$1:$I$89,5,0)</f>
        <v>85.089999999999975</v>
      </c>
      <c r="BF28" s="14">
        <f t="shared" si="37"/>
        <v>23.377212702158658</v>
      </c>
      <c r="BG28" s="22">
        <f t="shared" si="7"/>
        <v>188.91372878959294</v>
      </c>
      <c r="BH28" s="60">
        <f t="shared" si="8"/>
        <v>437.37013740420707</v>
      </c>
      <c r="BI28" s="60">
        <f ca="1">AVERAGE(OFFSET($BH$3,0,0,'Données projet'!$E$11+1,1))-AVERAGE(OFFSET($H$3,0,0,'Données projet'!$E$11+1,1))</f>
        <v>518.47226207416952</v>
      </c>
      <c r="BJ28" s="60">
        <f t="shared" si="38"/>
        <v>314.6379787306804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59.427505379743266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70</v>
      </c>
      <c r="BW28" s="13">
        <f>VLOOKUP(A28,'Données projet'!$A$113:$I$133,9,0)</f>
        <v>5.6</v>
      </c>
      <c r="BX28" s="13">
        <f t="array" ref="BX28">INDEX(BW:BW,MIN(IF(ISNUMBER(BW28:BW224),ROW(BW28:BW224),"")))</f>
        <v>5.6</v>
      </c>
      <c r="BY28" s="13">
        <f>IF('Données projet'!$A$114&gt;35,BY27+BX28-CG27,IF(A28&lt;'Données projet'!$A$114,$BV$205^A28,IF(A28='Données projet'!$A$114,'Données projet'!$B$114,BY27+BX28-CG27)))</f>
        <v>70</v>
      </c>
      <c r="BZ28" s="14">
        <f>BY28*VLOOKUP('Données projet'!$B$12,Paramètres!$A$1:$I$89,3,0)*VLOOKUP('Données projet'!$B$12,Paramètres!$A$1:$I$89,5,0)</f>
        <v>75.347999999999999</v>
      </c>
      <c r="CA28" s="14">
        <f t="shared" si="39"/>
        <v>20.99581051771704</v>
      </c>
      <c r="CB28" s="22">
        <f t="shared" si="10"/>
        <v>167.79880331835713</v>
      </c>
      <c r="CC28" s="60">
        <f t="shared" si="11"/>
        <v>416.25521193297129</v>
      </c>
      <c r="CD28" s="60">
        <f ca="1">AVERAGE(OFFSET($CC$3,0,0,'Données projet'!$E$12+1,1))-AVERAGE(OFFSET($H$3,0,0,'Données projet'!$E$12+1,1))</f>
        <v>530.32456073177104</v>
      </c>
      <c r="CE28" s="60">
        <f t="shared" si="40"/>
        <v>279.81519428470625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8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59.427505379743266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114.5</v>
      </c>
      <c r="CR28" s="13">
        <f>VLOOKUP(A28,'Données projet'!$A$139:$I$159,9,0)</f>
        <v>12.500000000000002</v>
      </c>
      <c r="CS28" s="13">
        <f t="array" ref="CS28">INDEX(CR:CR,MIN(IF(ISNUMBER(CR28:CR224),ROW(CR28:CR224),"")))</f>
        <v>12.500000000000002</v>
      </c>
      <c r="CT28" s="13">
        <f>IF('Données projet'!$A$140&gt;35,CT27+CS28-DB27,IF(A28&lt;'Données projet'!$A$140,$CQ$205^A28,IF(A28='Données projet'!$A$140,'Données projet'!$B$140,CT27+CS28-DB27)))</f>
        <v>114.5</v>
      </c>
      <c r="CU28" s="18">
        <f>CT28*VLOOKUP('Données projet'!$B$13,Paramètres!$A$1:$I$89,3,0)*VLOOKUP('Données projet'!$B$13,Paramètres!$A$1:$I$89,5,0)</f>
        <v>100.02720000000001</v>
      </c>
      <c r="CV28" s="14">
        <f t="shared" si="41"/>
        <v>26.968477470701153</v>
      </c>
      <c r="CW28" s="22">
        <f t="shared" si="13"/>
        <v>221.18413826147119</v>
      </c>
      <c r="CX28" s="60">
        <f t="shared" si="14"/>
        <v>469.64054687608535</v>
      </c>
      <c r="CY28" s="60">
        <f ca="1">AVERAGE(OFFSET($CX$3,0,0,'Données projet'!$E$13+1,1))-AVERAGE(OFFSET($H$3,0,0,'Données projet'!$E$13+1,1))</f>
        <v>355.03862261578701</v>
      </c>
      <c r="CZ28" s="60">
        <f t="shared" si="42"/>
        <v>382.84441399266029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59.427505379743266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141</v>
      </c>
      <c r="DM28" s="13">
        <f>VLOOKUP(A28,'Données projet'!$A$165:$I$185,9,0)</f>
        <v>10.6</v>
      </c>
      <c r="DN28" s="13">
        <f t="array" ref="DN28">INDEX(DM:DM,MIN(IF(ISNUMBER(DM28:DM224),ROW(DM28:DM224),"")))</f>
        <v>10.6</v>
      </c>
      <c r="DO28" s="13">
        <f>IF('Données projet'!$A$166&gt;35,DO27+DN28-DW27,IF(A28&lt;'Données projet'!$A$166,$DL$205^A28,IF(A28='Données projet'!$A$166,'Données projet'!$B$166,DO27+DN28-DW27)))</f>
        <v>140.99999999999997</v>
      </c>
      <c r="DP28" s="18">
        <f>DO28*VLOOKUP('Données projet'!$B$14,Paramètres!$A$1:$I$89,3,0)*VLOOKUP('Données projet'!$B$14,Paramètres!$A$1:$I$89,5,0)</f>
        <v>109.97999999999998</v>
      </c>
      <c r="DQ28" s="14">
        <f t="shared" si="43"/>
        <v>29.326272366698234</v>
      </c>
      <c r="DR28" s="22">
        <f t="shared" si="16"/>
        <v>242.62509103866606</v>
      </c>
      <c r="DS28" s="60">
        <f t="shared" si="17"/>
        <v>491.08149965328022</v>
      </c>
      <c r="DT28" s="60">
        <f ca="1">AVERAGE(OFFSET($DS$3,0,0,'Données projet'!$E$14+1,1))-AVERAGE(OFFSET($H$3,0,0,'Données projet'!$E$14+1,1))</f>
        <v>305.68891030516761</v>
      </c>
      <c r="DU28" s="60">
        <f t="shared" si="44"/>
        <v>296.00275062228275</v>
      </c>
      <c r="DV28" s="16">
        <f>IF(ISNA(VLOOKUP(A28,'Données projet'!$A$165:$I$185,3,0)),0,VLOOKUP(A28,'Données projet'!$A$165:$I$185,3,0))</f>
        <v>1</v>
      </c>
      <c r="DW28" s="16">
        <f>IF(ISNA(VLOOKUP(A28,'Données projet'!$A$165:$I$185,4,0)),0,VLOOKUP(A28,'Données projet'!$A$165:$I$185,4,0))</f>
        <v>55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59.427505379743266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70</v>
      </c>
      <c r="EH28" s="13">
        <f>VLOOKUP(A28,'Données projet'!$A$191:$I$211,9,0)</f>
        <v>5.6</v>
      </c>
      <c r="EI28" s="13">
        <f t="array" ref="EI28">INDEX(EH:EH,MIN(IF(ISNUMBER(EH28:EH224),ROW(EH28:EH224),"")))</f>
        <v>5.6</v>
      </c>
      <c r="EJ28" s="13">
        <f>IF('Données projet'!$A$192&gt;35,EJ27+EI28-ER27,IF(A28&lt;'Données projet'!$A$192,$EG$205^A28,IF(A28='Données projet'!$A$192,'Données projet'!$B$192,EJ27+EI28-ER27)))</f>
        <v>70</v>
      </c>
      <c r="EK28" s="18">
        <f>EJ28*VLOOKUP('Données projet'!$B$15,Paramètres!$A$1:$I$89,3,0)*VLOOKUP('Données projet'!$B$15,Paramètres!$A$1:$I$89,5,0)</f>
        <v>67.703999999999994</v>
      </c>
      <c r="EL28" s="14">
        <f t="shared" si="45"/>
        <v>19.102177882771514</v>
      </c>
      <c r="EM28" s="22">
        <f t="shared" si="19"/>
        <v>151.18742647916039</v>
      </c>
      <c r="EN28" s="60">
        <f t="shared" si="20"/>
        <v>399.64383509377456</v>
      </c>
      <c r="EO28" s="60">
        <f ca="1">AVERAGE(OFFSET($EN$3,0,0,'Données projet'!$E$15+1,1))-AVERAGE(OFFSET($H$3,0,0,'Données projet'!$E$15+1,1))</f>
        <v>483.60545605360528</v>
      </c>
      <c r="EP28" s="60">
        <f t="shared" si="46"/>
        <v>256.96685577560345</v>
      </c>
      <c r="EQ28" s="16">
        <f>IF(ISNA(VLOOKUP(A28,'Données projet'!$A$191:$I$211,3,0)),0,VLOOKUP(A28,'Données projet'!$A$191:$I$211,3,0))</f>
        <v>1</v>
      </c>
      <c r="ER28" s="16">
        <f>IF(ISNA(VLOOKUP(A28,'Données projet'!$A$191:$I$211,4,0)),0,VLOOKUP(A28,'Données projet'!$A$191:$I$211,4,0))</f>
        <v>8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59.427505379743266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0" t="e">
        <f t="shared" si="23"/>
        <v>#N/A</v>
      </c>
      <c r="FJ28" s="60" t="e">
        <f ca="1">AVERAGE(OFFSET($FI$3,0,0,'Données projet'!$E$16+1,1))-AVERAGE(OFFSET($H$3,0,0,'Données projet'!$E$16+1,1))</f>
        <v>#N/A</v>
      </c>
      <c r="FK28" s="60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59.427505379743266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0" t="e">
        <f t="shared" si="26"/>
        <v>#N/A</v>
      </c>
      <c r="GE28" s="60" t="e">
        <f ca="1">AVERAGE(OFFSET($GD$3,0,0,'Données projet'!$E$17+1,1))-AVERAGE(OFFSET($H$3,0,0,'Données projet'!$E$17+1,1))</f>
        <v>#N/A</v>
      </c>
      <c r="GF28" s="60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59.427505379743266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4">
        <f>'Scénario référence'!$B$16*5+'Scénario référence'!$B$17*0+'Scénario référence'!$B$18*5</f>
        <v>3.2750000000000004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12.008333333333335</v>
      </c>
      <c r="H29" s="67">
        <f t="shared" si="1"/>
        <v>208.63333333333333</v>
      </c>
      <c r="I29" s="7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59.610914524847765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69</v>
      </c>
      <c r="O29" s="14">
        <f>N29*VLOOKUP('Données projet'!$B$9,Paramètres!$A$1:$I$89,3,0)*VLOOKUP('Données projet'!$B$9,Paramètres!$A$1:$I$89,5,0)</f>
        <v>69.966000000000008</v>
      </c>
      <c r="P29" s="14">
        <f t="shared" si="33"/>
        <v>19.665013934342461</v>
      </c>
      <c r="Q29" s="22">
        <f t="shared" si="2"/>
        <v>156.10734926897979</v>
      </c>
      <c r="R29" s="60">
        <f t="shared" si="0"/>
        <v>406.45848030453271</v>
      </c>
      <c r="S29" s="60">
        <f ca="1">AVERAGE(OFFSET($R$3,0,0,'Données projet'!$E$9+1,1))-AVERAGE(OFFSET($H$3,0,0,'Données projet'!$E$9+1,1))</f>
        <v>503.64055031157477</v>
      </c>
      <c r="T29" s="60">
        <f t="shared" si="34"/>
        <v>266.76572540460842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59.610914524847765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69</v>
      </c>
      <c r="AJ29" s="14">
        <f>AI29*VLOOKUP('Données projet'!$B$10,Paramètres!$A$1:$I$89,3,0)*VLOOKUP('Données projet'!$B$10,Paramètres!$A$1:$I$89,5,0)</f>
        <v>62.431199999999997</v>
      </c>
      <c r="AK29" s="14">
        <f t="shared" si="35"/>
        <v>17.781524466058684</v>
      </c>
      <c r="AL29" s="22">
        <f t="shared" si="4"/>
        <v>139.70382844505221</v>
      </c>
      <c r="AM29" s="60">
        <f t="shared" si="5"/>
        <v>390.05495948060513</v>
      </c>
      <c r="AN29" s="60">
        <f ca="1">AVERAGE(OFFSET($AM$3,0,0,'Données projet'!$E$10+1,1))-AVERAGE(OFFSET($H$3,0,0,'Données projet'!$E$10+1,1))</f>
        <v>456.86058467343139</v>
      </c>
      <c r="AO29" s="60">
        <f t="shared" si="36"/>
        <v>243.88495931574937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59.610914524847765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6.7948717948717956</v>
      </c>
      <c r="BD29" s="13">
        <f>IF('Données projet'!$A$88&gt;35,BD28+BC29-BL28,IF(A29&lt;'Données projet'!$A$88,$BA$205^A29,IF(A29='Données projet'!$A$88,'Données projet'!$B$88,BD28+BC29-BL28)))</f>
        <v>88.205128205128176</v>
      </c>
      <c r="BE29" s="14">
        <f>BD29*VLOOKUP('Données projet'!$B$11,Paramètres!$A$1:$I$89,3,0)*VLOOKUP('Données projet'!$B$11,Paramètres!$A$1:$I$89,5,0)</f>
        <v>92.191999999999979</v>
      </c>
      <c r="BF29" s="14">
        <f t="shared" si="37"/>
        <v>25.093139947710512</v>
      </c>
      <c r="BG29" s="22">
        <f t="shared" si="7"/>
        <v>204.27161874226246</v>
      </c>
      <c r="BH29" s="60">
        <f t="shared" si="8"/>
        <v>454.62274977781539</v>
      </c>
      <c r="BI29" s="60">
        <f ca="1">AVERAGE(OFFSET($BH$3,0,0,'Données projet'!$E$11+1,1))-AVERAGE(OFFSET($H$3,0,0,'Données projet'!$E$11+1,1))</f>
        <v>518.47226207416952</v>
      </c>
      <c r="BJ29" s="60">
        <f t="shared" si="38"/>
        <v>314.6379787306804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59.610914524847765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7</v>
      </c>
      <c r="BY29" s="13">
        <f>IF('Données projet'!$A$114&gt;35,BY28+BX29-CG28,IF(A29&lt;'Données projet'!$A$114,$BV$205^A29,IF(A29='Données projet'!$A$114,'Données projet'!$B$114,BY28+BX29-CG28)))</f>
        <v>69</v>
      </c>
      <c r="BZ29" s="14">
        <f>BY29*VLOOKUP('Données projet'!$B$12,Paramètres!$A$1:$I$89,3,0)*VLOOKUP('Données projet'!$B$12,Paramètres!$A$1:$I$89,5,0)</f>
        <v>74.271600000000007</v>
      </c>
      <c r="CA29" s="14">
        <f t="shared" si="39"/>
        <v>20.730561869473863</v>
      </c>
      <c r="CB29" s="22">
        <f t="shared" si="10"/>
        <v>165.46209858933364</v>
      </c>
      <c r="CC29" s="60">
        <f t="shared" si="11"/>
        <v>415.81322962488656</v>
      </c>
      <c r="CD29" s="60">
        <f ca="1">AVERAGE(OFFSET($CC$3,0,0,'Données projet'!$E$12+1,1))-AVERAGE(OFFSET($H$3,0,0,'Données projet'!$E$12+1,1))</f>
        <v>530.32456073177104</v>
      </c>
      <c r="CE29" s="60">
        <f t="shared" si="40"/>
        <v>279.81519428470625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59.610914524847765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12</v>
      </c>
      <c r="CT29" s="13">
        <f>IF('Données projet'!$A$140&gt;35,CT28+CS29-DB28,IF(A29&lt;'Données projet'!$A$140,$CQ$205^A29,IF(A29='Données projet'!$A$140,'Données projet'!$B$140,CT28+CS29-DB28)))</f>
        <v>126.5</v>
      </c>
      <c r="CU29" s="18">
        <f>CT29*VLOOKUP('Données projet'!$B$13,Paramètres!$A$1:$I$89,3,0)*VLOOKUP('Données projet'!$B$13,Paramètres!$A$1:$I$89,5,0)</f>
        <v>110.5104</v>
      </c>
      <c r="CV29" s="14">
        <f t="shared" si="41"/>
        <v>29.451206375056387</v>
      </c>
      <c r="CW29" s="22">
        <f t="shared" si="13"/>
        <v>243.76646443655656</v>
      </c>
      <c r="CX29" s="60">
        <f t="shared" si="14"/>
        <v>494.11759547210949</v>
      </c>
      <c r="CY29" s="60">
        <f ca="1">AVERAGE(OFFSET($CX$3,0,0,'Données projet'!$E$13+1,1))-AVERAGE(OFFSET($H$3,0,0,'Données projet'!$E$13+1,1))</f>
        <v>355.03862261578701</v>
      </c>
      <c r="CZ29" s="60">
        <f t="shared" si="42"/>
        <v>382.84441399266029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59.610914524847765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11.5</v>
      </c>
      <c r="DO29" s="13">
        <f>IF('Données projet'!$A$166&gt;35,DO28+DN29-DW28,IF(A29&lt;'Données projet'!$A$166,$DL$205^A29,IF(A29='Données projet'!$A$166,'Données projet'!$B$166,DO28+DN29-DW28)))</f>
        <v>97.499999999999972</v>
      </c>
      <c r="DP29" s="18">
        <f>DO29*VLOOKUP('Données projet'!$B$14,Paramètres!$A$1:$I$89,3,0)*VLOOKUP('Données projet'!$B$14,Paramètres!$A$1:$I$89,5,0)</f>
        <v>76.049999999999983</v>
      </c>
      <c r="DQ29" s="14">
        <f t="shared" si="43"/>
        <v>21.168560890749262</v>
      </c>
      <c r="DR29" s="22">
        <f t="shared" si="16"/>
        <v>169.32232688472158</v>
      </c>
      <c r="DS29" s="60">
        <f t="shared" si="17"/>
        <v>419.67345792027447</v>
      </c>
      <c r="DT29" s="60">
        <f ca="1">AVERAGE(OFFSET($DS$3,0,0,'Données projet'!$E$14+1,1))-AVERAGE(OFFSET($H$3,0,0,'Données projet'!$E$14+1,1))</f>
        <v>305.68891030516761</v>
      </c>
      <c r="DU29" s="60">
        <f t="shared" si="44"/>
        <v>296.00275062228275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59.610914524847765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7</v>
      </c>
      <c r="EJ29" s="13">
        <f>IF('Données projet'!$A$192&gt;35,EJ28+EI29-ER28,IF(A29&lt;'Données projet'!$A$192,$EG$205^A29,IF(A29='Données projet'!$A$192,'Données projet'!$B$192,EJ28+EI29-ER28)))</f>
        <v>69</v>
      </c>
      <c r="EK29" s="18">
        <f>EJ29*VLOOKUP('Données projet'!$B$15,Paramètres!$A$1:$I$89,3,0)*VLOOKUP('Données projet'!$B$15,Paramètres!$A$1:$I$89,5,0)</f>
        <v>66.736800000000002</v>
      </c>
      <c r="EL29" s="14">
        <f t="shared" si="45"/>
        <v>18.860852268900601</v>
      </c>
      <c r="EM29" s="22">
        <f t="shared" si="19"/>
        <v>149.08257770166853</v>
      </c>
      <c r="EN29" s="60">
        <f t="shared" si="20"/>
        <v>399.43370873722142</v>
      </c>
      <c r="EO29" s="60">
        <f ca="1">AVERAGE(OFFSET($EN$3,0,0,'Données projet'!$E$15+1,1))-AVERAGE(OFFSET($H$3,0,0,'Données projet'!$E$15+1,1))</f>
        <v>483.60545605360528</v>
      </c>
      <c r="EP29" s="60">
        <f t="shared" si="46"/>
        <v>256.96685577560345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59.610914524847765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0" t="e">
        <f t="shared" si="23"/>
        <v>#N/A</v>
      </c>
      <c r="FJ29" s="60" t="e">
        <f ca="1">AVERAGE(OFFSET($FI$3,0,0,'Données projet'!$E$16+1,1))-AVERAGE(OFFSET($H$3,0,0,'Données projet'!$E$16+1,1))</f>
        <v>#N/A</v>
      </c>
      <c r="FK29" s="60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59.610914524847765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0" t="e">
        <f t="shared" si="26"/>
        <v>#N/A</v>
      </c>
      <c r="GE29" s="60" t="e">
        <f ca="1">AVERAGE(OFFSET($GD$3,0,0,'Données projet'!$E$17+1,1))-AVERAGE(OFFSET($H$3,0,0,'Données projet'!$E$17+1,1))</f>
        <v>#N/A</v>
      </c>
      <c r="GF29" s="60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59.610914524847765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4">
        <f>'Scénario référence'!$B$16*5+'Scénario référence'!$B$17*0+'Scénario référence'!$B$18*5</f>
        <v>3.2750000000000004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12.008333333333335</v>
      </c>
      <c r="H30" s="67">
        <f t="shared" si="1"/>
        <v>208.63333333333333</v>
      </c>
      <c r="I30" s="7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59.791141931326116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76</v>
      </c>
      <c r="O30" s="14">
        <f>N30*VLOOKUP('Données projet'!$B$9,Paramètres!$A$1:$I$89,3,0)*VLOOKUP('Données projet'!$B$9,Paramètres!$A$1:$I$89,5,0)</f>
        <v>77.064000000000007</v>
      </c>
      <c r="P30" s="14">
        <f t="shared" si="33"/>
        <v>21.417762186678065</v>
      </c>
      <c r="Q30" s="22">
        <f t="shared" si="2"/>
        <v>171.52240247513097</v>
      </c>
      <c r="R30" s="60">
        <f t="shared" si="0"/>
        <v>423.75658955666006</v>
      </c>
      <c r="S30" s="60">
        <f ca="1">AVERAGE(OFFSET($R$3,0,0,'Données projet'!$E$9+1,1))-AVERAGE(OFFSET($H$3,0,0,'Données projet'!$E$9+1,1))</f>
        <v>503.64055031157477</v>
      </c>
      <c r="T30" s="60">
        <f t="shared" si="34"/>
        <v>266.76572540460842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59.791141931326116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76</v>
      </c>
      <c r="AJ30" s="14">
        <f>AI30*VLOOKUP('Données projet'!$B$10,Paramètres!$A$1:$I$89,3,0)*VLOOKUP('Données projet'!$B$10,Paramètres!$A$1:$I$89,5,0)</f>
        <v>68.764799999999994</v>
      </c>
      <c r="AK30" s="14">
        <f t="shared" si="35"/>
        <v>19.366396769521369</v>
      </c>
      <c r="AL30" s="22">
        <f t="shared" si="4"/>
        <v>153.49516770691636</v>
      </c>
      <c r="AM30" s="60">
        <f t="shared" si="5"/>
        <v>405.72935478844545</v>
      </c>
      <c r="AN30" s="60">
        <f ca="1">AVERAGE(OFFSET($AM$3,0,0,'Données projet'!$E$10+1,1))-AVERAGE(OFFSET($H$3,0,0,'Données projet'!$E$10+1,1))</f>
        <v>456.86058467343139</v>
      </c>
      <c r="AO30" s="60">
        <f t="shared" si="36"/>
        <v>243.88495931574937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59.791141931326116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6.7948717948717956</v>
      </c>
      <c r="BD30" s="13">
        <f>IF('Données projet'!$A$88&gt;35,BD29+BC30-BL29,IF(A30&lt;'Données projet'!$A$88,$BA$205^A30,IF(A30='Données projet'!$A$88,'Données projet'!$B$88,BD29+BC30-BL29)))</f>
        <v>94.999999999999972</v>
      </c>
      <c r="BE30" s="14">
        <f>BD30*VLOOKUP('Données projet'!$B$11,Paramètres!$A$1:$I$89,3,0)*VLOOKUP('Données projet'!$B$11,Paramètres!$A$1:$I$89,5,0)</f>
        <v>99.293999999999983</v>
      </c>
      <c r="BF30" s="14">
        <f t="shared" si="37"/>
        <v>26.793733491718761</v>
      </c>
      <c r="BG30" s="22">
        <f t="shared" si="7"/>
        <v>219.60280249807681</v>
      </c>
      <c r="BH30" s="60">
        <f t="shared" si="8"/>
        <v>471.83698957960587</v>
      </c>
      <c r="BI30" s="60">
        <f ca="1">AVERAGE(OFFSET($BH$3,0,0,'Données projet'!$E$11+1,1))-AVERAGE(OFFSET($H$3,0,0,'Données projet'!$E$11+1,1))</f>
        <v>518.47226207416952</v>
      </c>
      <c r="BJ30" s="60">
        <f t="shared" si="38"/>
        <v>314.6379787306804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59.791141931326116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7</v>
      </c>
      <c r="BY30" s="13">
        <f>IF('Données projet'!$A$114&gt;35,BY29+BX30-CG29,IF(A30&lt;'Données projet'!$A$114,$BV$205^A30,IF(A30='Données projet'!$A$114,'Données projet'!$B$114,BY29+BX30-CG29)))</f>
        <v>76</v>
      </c>
      <c r="BZ30" s="14">
        <f>BY30*VLOOKUP('Données projet'!$B$12,Paramètres!$A$1:$I$89,3,0)*VLOOKUP('Données projet'!$B$12,Paramètres!$A$1:$I$89,5,0)</f>
        <v>81.806399999999996</v>
      </c>
      <c r="CA30" s="14">
        <f t="shared" si="39"/>
        <v>22.578282710556032</v>
      </c>
      <c r="CB30" s="22">
        <f t="shared" si="10"/>
        <v>181.80332238755173</v>
      </c>
      <c r="CC30" s="60">
        <f t="shared" si="11"/>
        <v>434.03750946908076</v>
      </c>
      <c r="CD30" s="60">
        <f ca="1">AVERAGE(OFFSET($CC$3,0,0,'Données projet'!$E$12+1,1))-AVERAGE(OFFSET($H$3,0,0,'Données projet'!$E$12+1,1))</f>
        <v>530.32456073177104</v>
      </c>
      <c r="CE30" s="60">
        <f t="shared" si="40"/>
        <v>279.81519428470625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59.791141931326116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12</v>
      </c>
      <c r="CT30" s="13">
        <f>IF('Données projet'!$A$140&gt;35,CT29+CS30-DB29,IF(A30&lt;'Données projet'!$A$140,$CQ$205^A30,IF(A30='Données projet'!$A$140,'Données projet'!$B$140,CT29+CS30-DB29)))</f>
        <v>138.5</v>
      </c>
      <c r="CU30" s="18">
        <f>CT30*VLOOKUP('Données projet'!$B$13,Paramètres!$A$1:$I$89,3,0)*VLOOKUP('Données projet'!$B$13,Paramètres!$A$1:$I$89,5,0)</f>
        <v>120.9936</v>
      </c>
      <c r="CV30" s="14">
        <f t="shared" si="41"/>
        <v>31.906628844954461</v>
      </c>
      <c r="CW30" s="22">
        <f t="shared" si="13"/>
        <v>266.30123190496232</v>
      </c>
      <c r="CX30" s="60">
        <f t="shared" si="14"/>
        <v>518.53541898649132</v>
      </c>
      <c r="CY30" s="60">
        <f ca="1">AVERAGE(OFFSET($CX$3,0,0,'Données projet'!$E$13+1,1))-AVERAGE(OFFSET($H$3,0,0,'Données projet'!$E$13+1,1))</f>
        <v>355.03862261578701</v>
      </c>
      <c r="CZ30" s="60">
        <f t="shared" si="42"/>
        <v>382.84441399266029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59.791141931326116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11.5</v>
      </c>
      <c r="DO30" s="13">
        <f>IF('Données projet'!$A$166&gt;35,DO29+DN30-DW29,IF(A30&lt;'Données projet'!$A$166,$DL$205^A30,IF(A30='Données projet'!$A$166,'Données projet'!$B$166,DO29+DN30-DW29)))</f>
        <v>108.99999999999997</v>
      </c>
      <c r="DP30" s="18">
        <f>DO30*VLOOKUP('Données projet'!$B$14,Paramètres!$A$1:$I$89,3,0)*VLOOKUP('Données projet'!$B$14,Paramètres!$A$1:$I$89,5,0)</f>
        <v>85.019999999999982</v>
      </c>
      <c r="DQ30" s="14">
        <f t="shared" si="43"/>
        <v>23.360218970693108</v>
      </c>
      <c r="DR30" s="22">
        <f t="shared" si="16"/>
        <v>188.76221470729047</v>
      </c>
      <c r="DS30" s="60">
        <f t="shared" si="17"/>
        <v>440.99640178881953</v>
      </c>
      <c r="DT30" s="60">
        <f ca="1">AVERAGE(OFFSET($DS$3,0,0,'Données projet'!$E$14+1,1))-AVERAGE(OFFSET($H$3,0,0,'Données projet'!$E$14+1,1))</f>
        <v>305.68891030516761</v>
      </c>
      <c r="DU30" s="60">
        <f t="shared" si="44"/>
        <v>296.00275062228275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59.791141931326116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7</v>
      </c>
      <c r="EJ30" s="13">
        <f>IF('Données projet'!$A$192&gt;35,EJ29+EI30-ER29,IF(A30&lt;'Données projet'!$A$192,$EG$205^A30,IF(A30='Données projet'!$A$192,'Données projet'!$B$192,EJ29+EI30-ER29)))</f>
        <v>76</v>
      </c>
      <c r="EK30" s="18">
        <f>EJ30*VLOOKUP('Données projet'!$B$15,Paramètres!$A$1:$I$89,3,0)*VLOOKUP('Données projet'!$B$15,Paramètres!$A$1:$I$89,5,0)</f>
        <v>73.507199999999997</v>
      </c>
      <c r="EL30" s="14">
        <f t="shared" si="45"/>
        <v>20.541925364615185</v>
      </c>
      <c r="EM30" s="22">
        <f t="shared" si="19"/>
        <v>163.80222667670475</v>
      </c>
      <c r="EN30" s="60">
        <f t="shared" si="20"/>
        <v>416.03641375823383</v>
      </c>
      <c r="EO30" s="60">
        <f ca="1">AVERAGE(OFFSET($EN$3,0,0,'Données projet'!$E$15+1,1))-AVERAGE(OFFSET($H$3,0,0,'Données projet'!$E$15+1,1))</f>
        <v>483.60545605360528</v>
      </c>
      <c r="EP30" s="60">
        <f t="shared" si="46"/>
        <v>256.96685577560345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59.791141931326116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0" t="e">
        <f t="shared" si="23"/>
        <v>#N/A</v>
      </c>
      <c r="FJ30" s="60" t="e">
        <f ca="1">AVERAGE(OFFSET($FI$3,0,0,'Données projet'!$E$16+1,1))-AVERAGE(OFFSET($H$3,0,0,'Données projet'!$E$16+1,1))</f>
        <v>#N/A</v>
      </c>
      <c r="FK30" s="60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59.791141931326116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0" t="e">
        <f t="shared" si="26"/>
        <v>#N/A</v>
      </c>
      <c r="GE30" s="60" t="e">
        <f ca="1">AVERAGE(OFFSET($GD$3,0,0,'Données projet'!$E$17+1,1))-AVERAGE(OFFSET($H$3,0,0,'Données projet'!$E$17+1,1))</f>
        <v>#N/A</v>
      </c>
      <c r="GF30" s="60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59.791141931326116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4">
        <f>'Scénario référence'!$B$16*5+'Scénario référence'!$B$17*0+'Scénario référence'!$B$18*5</f>
        <v>3.2750000000000004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12.008333333333335</v>
      </c>
      <c r="H31" s="67">
        <f t="shared" si="1"/>
        <v>208.63333333333333</v>
      </c>
      <c r="I31" s="7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59.968242795230189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83</v>
      </c>
      <c r="O31" s="14">
        <f>N31*VLOOKUP('Données projet'!$B$9,Paramètres!$A$1:$I$89,3,0)*VLOOKUP('Données projet'!$B$9,Paramètres!$A$1:$I$89,5,0)</f>
        <v>84.162000000000006</v>
      </c>
      <c r="P31" s="14">
        <f t="shared" si="33"/>
        <v>23.151791590506594</v>
      </c>
      <c r="Q31" s="22">
        <f t="shared" si="2"/>
        <v>186.90485368679899</v>
      </c>
      <c r="R31" s="60">
        <f t="shared" si="0"/>
        <v>441.01063282486524</v>
      </c>
      <c r="S31" s="60">
        <f ca="1">AVERAGE(OFFSET($R$3,0,0,'Données projet'!$E$9+1,1))-AVERAGE(OFFSET($H$3,0,0,'Données projet'!$E$9+1,1))</f>
        <v>503.64055031157477</v>
      </c>
      <c r="T31" s="60">
        <f t="shared" si="34"/>
        <v>266.76572540460842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59.968242795230189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83</v>
      </c>
      <c r="AJ31" s="14">
        <f>AI31*VLOOKUP('Données projet'!$B$10,Paramètres!$A$1:$I$89,3,0)*VLOOKUP('Données projet'!$B$10,Paramètres!$A$1:$I$89,5,0)</f>
        <v>75.098399999999998</v>
      </c>
      <c r="AK31" s="14">
        <f t="shared" si="35"/>
        <v>20.934343091450742</v>
      </c>
      <c r="AL31" s="22">
        <f t="shared" si="4"/>
        <v>167.25702755094335</v>
      </c>
      <c r="AM31" s="60">
        <f t="shared" si="5"/>
        <v>421.36280668900963</v>
      </c>
      <c r="AN31" s="60">
        <f ca="1">AVERAGE(OFFSET($AM$3,0,0,'Données projet'!$E$10+1,1))-AVERAGE(OFFSET($H$3,0,0,'Données projet'!$E$10+1,1))</f>
        <v>456.86058467343139</v>
      </c>
      <c r="AO31" s="60">
        <f t="shared" si="36"/>
        <v>243.88495931574937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59.968242795230189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6.7948717948717956</v>
      </c>
      <c r="BD31" s="13">
        <f>IF('Données projet'!$A$88&gt;35,BD30+BC31-BL30,IF(A31&lt;'Données projet'!$A$88,$BA$205^A31,IF(A31='Données projet'!$A$88,'Données projet'!$B$88,BD30+BC31-BL30)))</f>
        <v>101.79487179487177</v>
      </c>
      <c r="BE31" s="14">
        <f>BD31*VLOOKUP('Données projet'!$B$11,Paramètres!$A$1:$I$89,3,0)*VLOOKUP('Données projet'!$B$11,Paramètres!$A$1:$I$89,5,0)</f>
        <v>106.39599999999997</v>
      </c>
      <c r="BF31" s="14">
        <f t="shared" si="37"/>
        <v>28.480214812412058</v>
      </c>
      <c r="BG31" s="22">
        <f t="shared" si="7"/>
        <v>234.90940746495096</v>
      </c>
      <c r="BH31" s="60">
        <f t="shared" si="8"/>
        <v>489.01518660301724</v>
      </c>
      <c r="BI31" s="60">
        <f ca="1">AVERAGE(OFFSET($BH$3,0,0,'Données projet'!$E$11+1,1))-AVERAGE(OFFSET($H$3,0,0,'Données projet'!$E$11+1,1))</f>
        <v>518.47226207416952</v>
      </c>
      <c r="BJ31" s="60">
        <f t="shared" si="38"/>
        <v>314.6379787306804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59.968242795230189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7</v>
      </c>
      <c r="BY31" s="13">
        <f>IF('Données projet'!$A$114&gt;35,BY30+BX31-CG30,IF(A31&lt;'Données projet'!$A$114,$BV$205^A31,IF(A31='Données projet'!$A$114,'Données projet'!$B$114,BY30+BX31-CG30)))</f>
        <v>83</v>
      </c>
      <c r="BZ31" s="14">
        <f>BY31*VLOOKUP('Données projet'!$B$12,Paramètres!$A$1:$I$89,3,0)*VLOOKUP('Données projet'!$B$12,Paramètres!$A$1:$I$89,5,0)</f>
        <v>89.341200000000001</v>
      </c>
      <c r="CA31" s="14">
        <f t="shared" si="39"/>
        <v>24.40627042312898</v>
      </c>
      <c r="CB31" s="22">
        <f t="shared" si="10"/>
        <v>198.11017765361632</v>
      </c>
      <c r="CC31" s="60">
        <f t="shared" si="11"/>
        <v>452.21595679168257</v>
      </c>
      <c r="CD31" s="60">
        <f ca="1">AVERAGE(OFFSET($CC$3,0,0,'Données projet'!$E$12+1,1))-AVERAGE(OFFSET($H$3,0,0,'Données projet'!$E$12+1,1))</f>
        <v>530.32456073177104</v>
      </c>
      <c r="CE31" s="60">
        <f t="shared" si="40"/>
        <v>279.81519428470625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59.968242795230189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12</v>
      </c>
      <c r="CT31" s="13">
        <f>IF('Données projet'!$A$140&gt;35,CT30+CS31-DB30,IF(A31&lt;'Données projet'!$A$140,$CQ$205^A31,IF(A31='Données projet'!$A$140,'Données projet'!$B$140,CT30+CS31-DB30)))</f>
        <v>150.5</v>
      </c>
      <c r="CU31" s="18">
        <f>CT31*VLOOKUP('Données projet'!$B$13,Paramètres!$A$1:$I$89,3,0)*VLOOKUP('Données projet'!$B$13,Paramètres!$A$1:$I$89,5,0)</f>
        <v>131.4768</v>
      </c>
      <c r="CV31" s="14">
        <f t="shared" si="41"/>
        <v>34.337379785620797</v>
      </c>
      <c r="CW31" s="22">
        <f t="shared" si="13"/>
        <v>288.79302979328958</v>
      </c>
      <c r="CX31" s="60">
        <f t="shared" si="14"/>
        <v>542.8988089313558</v>
      </c>
      <c r="CY31" s="60">
        <f ca="1">AVERAGE(OFFSET($CX$3,0,0,'Données projet'!$E$13+1,1))-AVERAGE(OFFSET($H$3,0,0,'Données projet'!$E$13+1,1))</f>
        <v>355.03862261578701</v>
      </c>
      <c r="CZ31" s="60">
        <f t="shared" si="42"/>
        <v>382.84441399266029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59.968242795230189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11.5</v>
      </c>
      <c r="DO31" s="13">
        <f>IF('Données projet'!$A$166&gt;35,DO30+DN31-DW30,IF(A31&lt;'Données projet'!$A$166,$DL$205^A31,IF(A31='Données projet'!$A$166,'Données projet'!$B$166,DO30+DN31-DW30)))</f>
        <v>120.49999999999997</v>
      </c>
      <c r="DP31" s="18">
        <f>DO31*VLOOKUP('Données projet'!$B$14,Paramètres!$A$1:$I$89,3,0)*VLOOKUP('Données projet'!$B$14,Paramètres!$A$1:$I$89,5,0)</f>
        <v>93.989999999999981</v>
      </c>
      <c r="DQ31" s="14">
        <f t="shared" si="43"/>
        <v>25.525074036970079</v>
      </c>
      <c r="DR31" s="22">
        <f t="shared" si="16"/>
        <v>208.15542061438953</v>
      </c>
      <c r="DS31" s="60">
        <f t="shared" si="17"/>
        <v>462.26119975245581</v>
      </c>
      <c r="DT31" s="60">
        <f ca="1">AVERAGE(OFFSET($DS$3,0,0,'Données projet'!$E$14+1,1))-AVERAGE(OFFSET($H$3,0,0,'Données projet'!$E$14+1,1))</f>
        <v>305.68891030516761</v>
      </c>
      <c r="DU31" s="60">
        <f t="shared" si="44"/>
        <v>296.00275062228275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59.968242795230189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7</v>
      </c>
      <c r="EJ31" s="13">
        <f>IF('Données projet'!$A$192&gt;35,EJ30+EI31-ER30,IF(A31&lt;'Données projet'!$A$192,$EG$205^A31,IF(A31='Données projet'!$A$192,'Données projet'!$B$192,EJ30+EI31-ER30)))</f>
        <v>83</v>
      </c>
      <c r="EK31" s="18">
        <f>EJ31*VLOOKUP('Données projet'!$B$15,Paramètres!$A$1:$I$89,3,0)*VLOOKUP('Données projet'!$B$15,Paramètres!$A$1:$I$89,5,0)</f>
        <v>80.277600000000007</v>
      </c>
      <c r="EL31" s="14">
        <f t="shared" si="45"/>
        <v>22.205045081933264</v>
      </c>
      <c r="EM31" s="22">
        <f t="shared" si="19"/>
        <v>178.49060685103379</v>
      </c>
      <c r="EN31" s="60">
        <f t="shared" si="20"/>
        <v>432.59638598910004</v>
      </c>
      <c r="EO31" s="60">
        <f ca="1">AVERAGE(OFFSET($EN$3,0,0,'Données projet'!$E$15+1,1))-AVERAGE(OFFSET($H$3,0,0,'Données projet'!$E$15+1,1))</f>
        <v>483.60545605360528</v>
      </c>
      <c r="EP31" s="60">
        <f t="shared" si="46"/>
        <v>256.96685577560345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59.968242795230189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0" t="e">
        <f t="shared" si="23"/>
        <v>#N/A</v>
      </c>
      <c r="FJ31" s="60" t="e">
        <f ca="1">AVERAGE(OFFSET($FI$3,0,0,'Données projet'!$E$16+1,1))-AVERAGE(OFFSET($H$3,0,0,'Données projet'!$E$16+1,1))</f>
        <v>#N/A</v>
      </c>
      <c r="FK31" s="60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59.968242795230189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0" t="e">
        <f t="shared" si="26"/>
        <v>#N/A</v>
      </c>
      <c r="GE31" s="60" t="e">
        <f ca="1">AVERAGE(OFFSET($GD$3,0,0,'Données projet'!$E$17+1,1))-AVERAGE(OFFSET($H$3,0,0,'Données projet'!$E$17+1,1))</f>
        <v>#N/A</v>
      </c>
      <c r="GF31" s="60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59.968242795230189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4">
        <f>'Scénario référence'!$B$16*5+'Scénario référence'!$B$17*0+'Scénario référence'!$B$18*5</f>
        <v>3.2750000000000004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12.008333333333335</v>
      </c>
      <c r="H32" s="67">
        <f t="shared" si="1"/>
        <v>208.63333333333333</v>
      </c>
      <c r="I32" s="7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60.142271355083743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90</v>
      </c>
      <c r="O32" s="14">
        <f>N32*VLOOKUP('Données projet'!$B$9,Paramètres!$A$1:$I$89,3,0)*VLOOKUP('Données projet'!$B$9,Paramètres!$A$1:$I$89,5,0)</f>
        <v>91.26</v>
      </c>
      <c r="P32" s="14">
        <f t="shared" si="33"/>
        <v>24.868860330902777</v>
      </c>
      <c r="Q32" s="22">
        <f t="shared" si="2"/>
        <v>202.25776507632233</v>
      </c>
      <c r="R32" s="60">
        <f t="shared" si="0"/>
        <v>458.22387115607381</v>
      </c>
      <c r="S32" s="60">
        <f ca="1">AVERAGE(OFFSET($R$3,0,0,'Données projet'!$E$9+1,1))-AVERAGE(OFFSET($H$3,0,0,'Données projet'!$E$9+1,1))</f>
        <v>503.64055031157477</v>
      </c>
      <c r="T32" s="60">
        <f t="shared" si="34"/>
        <v>266.76572540460842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60.142271355083743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90</v>
      </c>
      <c r="AJ32" s="14">
        <f>AI32*VLOOKUP('Données projet'!$B$10,Paramètres!$A$1:$I$89,3,0)*VLOOKUP('Données projet'!$B$10,Paramètres!$A$1:$I$89,5,0)</f>
        <v>81.432000000000002</v>
      </c>
      <c r="AK32" s="14">
        <f t="shared" si="35"/>
        <v>22.486953220240881</v>
      </c>
      <c r="AL32" s="22">
        <f t="shared" si="4"/>
        <v>180.99217685858619</v>
      </c>
      <c r="AM32" s="60">
        <f t="shared" si="5"/>
        <v>436.95828293833767</v>
      </c>
      <c r="AN32" s="60">
        <f ca="1">AVERAGE(OFFSET($AM$3,0,0,'Données projet'!$E$10+1,1))-AVERAGE(OFFSET($H$3,0,0,'Données projet'!$E$10+1,1))</f>
        <v>456.86058467343139</v>
      </c>
      <c r="AO32" s="60">
        <f t="shared" si="36"/>
        <v>243.88495931574937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60.142271355083743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6.7948717948717956</v>
      </c>
      <c r="BD32" s="13">
        <f>IF('Données projet'!$A$88&gt;35,BD31+BC32-BL31,IF(A32&lt;'Données projet'!$A$88,$BA$205^A32,IF(A32='Données projet'!$A$88,'Données projet'!$B$88,BD31+BC32-BL31)))</f>
        <v>108.58974358974356</v>
      </c>
      <c r="BE32" s="14">
        <f>BD32*VLOOKUP('Données projet'!$B$11,Paramètres!$A$1:$I$89,3,0)*VLOOKUP('Données projet'!$B$11,Paramètres!$A$1:$I$89,5,0)</f>
        <v>113.49799999999998</v>
      </c>
      <c r="BF32" s="14">
        <f t="shared" si="37"/>
        <v>30.153633093360881</v>
      </c>
      <c r="BG32" s="22">
        <f t="shared" si="7"/>
        <v>250.19326097093685</v>
      </c>
      <c r="BH32" s="60">
        <f t="shared" si="8"/>
        <v>506.15936705068833</v>
      </c>
      <c r="BI32" s="60">
        <f ca="1">AVERAGE(OFFSET($BH$3,0,0,'Données projet'!$E$11+1,1))-AVERAGE(OFFSET($H$3,0,0,'Données projet'!$E$11+1,1))</f>
        <v>518.47226207416952</v>
      </c>
      <c r="BJ32" s="60">
        <f t="shared" si="38"/>
        <v>314.6379787306804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60.142271355083743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7</v>
      </c>
      <c r="BY32" s="13">
        <f>IF('Données projet'!$A$114&gt;35,BY31+BX32-CG31,IF(A32&lt;'Données projet'!$A$114,$BV$205^A32,IF(A32='Données projet'!$A$114,'Données projet'!$B$114,BY31+BX32-CG31)))</f>
        <v>90</v>
      </c>
      <c r="BZ32" s="14">
        <f>BY32*VLOOKUP('Données projet'!$B$12,Paramètres!$A$1:$I$89,3,0)*VLOOKUP('Données projet'!$B$12,Paramètres!$A$1:$I$89,5,0)</f>
        <v>96.875999999999991</v>
      </c>
      <c r="CA32" s="14">
        <f t="shared" si="39"/>
        <v>26.21637845945024</v>
      </c>
      <c r="CB32" s="22">
        <f t="shared" si="10"/>
        <v>214.38589248354245</v>
      </c>
      <c r="CC32" s="60">
        <f t="shared" si="11"/>
        <v>470.35199856329393</v>
      </c>
      <c r="CD32" s="60">
        <f ca="1">AVERAGE(OFFSET($CC$3,0,0,'Données projet'!$E$12+1,1))-AVERAGE(OFFSET($H$3,0,0,'Données projet'!$E$12+1,1))</f>
        <v>530.32456073177104</v>
      </c>
      <c r="CE32" s="60">
        <f t="shared" si="40"/>
        <v>279.81519428470625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60.142271355083743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12</v>
      </c>
      <c r="CT32" s="13">
        <f>IF('Données projet'!$A$140&gt;35,CT31+CS32-DB31,IF(A32&lt;'Données projet'!$A$140,$CQ$205^A32,IF(A32='Données projet'!$A$140,'Données projet'!$B$140,CT31+CS32-DB31)))</f>
        <v>162.5</v>
      </c>
      <c r="CU32" s="18">
        <f>CT32*VLOOKUP('Données projet'!$B$13,Paramètres!$A$1:$I$89,3,0)*VLOOKUP('Données projet'!$B$13,Paramètres!$A$1:$I$89,5,0)</f>
        <v>141.96000000000004</v>
      </c>
      <c r="CV32" s="14">
        <f t="shared" si="41"/>
        <v>36.745650011720485</v>
      </c>
      <c r="CW32" s="22">
        <f t="shared" si="13"/>
        <v>311.24567377041325</v>
      </c>
      <c r="CX32" s="60">
        <f t="shared" si="14"/>
        <v>567.2117798501647</v>
      </c>
      <c r="CY32" s="60">
        <f ca="1">AVERAGE(OFFSET($CX$3,0,0,'Données projet'!$E$13+1,1))-AVERAGE(OFFSET($H$3,0,0,'Données projet'!$E$13+1,1))</f>
        <v>355.03862261578701</v>
      </c>
      <c r="CZ32" s="60">
        <f t="shared" si="42"/>
        <v>382.84441399266029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60.142271355083743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11.5</v>
      </c>
      <c r="DO32" s="13">
        <f>IF('Données projet'!$A$166&gt;35,DO31+DN32-DW31,IF(A32&lt;'Données projet'!$A$166,$DL$205^A32,IF(A32='Données projet'!$A$166,'Données projet'!$B$166,DO31+DN32-DW31)))</f>
        <v>131.99999999999997</v>
      </c>
      <c r="DP32" s="18">
        <f>DO32*VLOOKUP('Données projet'!$B$14,Paramètres!$A$1:$I$89,3,0)*VLOOKUP('Données projet'!$B$14,Paramètres!$A$1:$I$89,5,0)</f>
        <v>102.95999999999998</v>
      </c>
      <c r="DQ32" s="14">
        <f t="shared" si="43"/>
        <v>27.665975080374633</v>
      </c>
      <c r="DR32" s="22">
        <f t="shared" si="16"/>
        <v>227.50690659831912</v>
      </c>
      <c r="DS32" s="60">
        <f t="shared" si="17"/>
        <v>483.47301267807063</v>
      </c>
      <c r="DT32" s="60">
        <f ca="1">AVERAGE(OFFSET($DS$3,0,0,'Données projet'!$E$14+1,1))-AVERAGE(OFFSET($H$3,0,0,'Données projet'!$E$14+1,1))</f>
        <v>305.68891030516761</v>
      </c>
      <c r="DU32" s="60">
        <f t="shared" si="44"/>
        <v>296.00275062228275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60.142271355083743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7</v>
      </c>
      <c r="EJ32" s="13">
        <f>IF('Données projet'!$A$192&gt;35,EJ31+EI32-ER31,IF(A32&lt;'Données projet'!$A$192,$EG$205^A32,IF(A32='Données projet'!$A$192,'Données projet'!$B$192,EJ31+EI32-ER31)))</f>
        <v>90</v>
      </c>
      <c r="EK32" s="18">
        <f>EJ32*VLOOKUP('Données projet'!$B$15,Paramètres!$A$1:$I$89,3,0)*VLOOKUP('Données projet'!$B$15,Paramètres!$A$1:$I$89,5,0)</f>
        <v>87.048000000000002</v>
      </c>
      <c r="EL32" s="14">
        <f t="shared" si="45"/>
        <v>23.851897708444891</v>
      </c>
      <c r="EM32" s="22">
        <f t="shared" si="19"/>
        <v>193.15065517554152</v>
      </c>
      <c r="EN32" s="60">
        <f t="shared" si="20"/>
        <v>449.116761255293</v>
      </c>
      <c r="EO32" s="60">
        <f ca="1">AVERAGE(OFFSET($EN$3,0,0,'Données projet'!$E$15+1,1))-AVERAGE(OFFSET($H$3,0,0,'Données projet'!$E$15+1,1))</f>
        <v>483.60545605360528</v>
      </c>
      <c r="EP32" s="60">
        <f t="shared" si="46"/>
        <v>256.96685577560345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60.142271355083743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0" t="e">
        <f t="shared" si="23"/>
        <v>#N/A</v>
      </c>
      <c r="FJ32" s="60" t="e">
        <f ca="1">AVERAGE(OFFSET($FI$3,0,0,'Données projet'!$E$16+1,1))-AVERAGE(OFFSET($H$3,0,0,'Données projet'!$E$16+1,1))</f>
        <v>#N/A</v>
      </c>
      <c r="FK32" s="60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60.142271355083743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0" t="e">
        <f t="shared" si="26"/>
        <v>#N/A</v>
      </c>
      <c r="GE32" s="60" t="e">
        <f ca="1">AVERAGE(OFFSET($GD$3,0,0,'Données projet'!$E$17+1,1))-AVERAGE(OFFSET($H$3,0,0,'Données projet'!$E$17+1,1))</f>
        <v>#N/A</v>
      </c>
      <c r="GF32" s="60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60.142271355083743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4">
        <f>'Scénario référence'!$B$16*5+'Scénario référence'!$B$17*0+'Scénario référence'!$B$18*5</f>
        <v>3.2750000000000004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12.008333333333335</v>
      </c>
      <c r="H33" s="67">
        <f t="shared" si="1"/>
        <v>208.63333333333333</v>
      </c>
      <c r="I33" s="7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60.313280908493404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97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97</v>
      </c>
      <c r="O33" s="14">
        <f>N33*VLOOKUP('Données projet'!$B$9,Paramètres!$A$1:$I$89,3,0)*VLOOKUP('Données projet'!$B$9,Paramètres!$A$1:$I$89,5,0)</f>
        <v>98.358000000000004</v>
      </c>
      <c r="P33" s="14">
        <f t="shared" si="33"/>
        <v>26.570437554143126</v>
      </c>
      <c r="Q33" s="22">
        <f t="shared" si="2"/>
        <v>217.58369540679928</v>
      </c>
      <c r="R33" s="60">
        <f t="shared" si="0"/>
        <v>475.39905873794174</v>
      </c>
      <c r="S33" s="60">
        <f ca="1">AVERAGE(OFFSET($R$3,0,0,'Données projet'!$E$9+1,1))-AVERAGE(OFFSET($H$3,0,0,'Données projet'!$E$9+1,1))</f>
        <v>503.64055031157477</v>
      </c>
      <c r="T33" s="60">
        <f t="shared" si="34"/>
        <v>266.76572540460842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60.313280908493404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97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97</v>
      </c>
      <c r="AJ33" s="14">
        <f>AI33*VLOOKUP('Données projet'!$B$10,Paramètres!$A$1:$I$89,3,0)*VLOOKUP('Données projet'!$B$10,Paramètres!$A$1:$I$89,5,0)</f>
        <v>87.765600000000006</v>
      </c>
      <c r="AK33" s="14">
        <f t="shared" si="35"/>
        <v>24.025555589247954</v>
      </c>
      <c r="AL33" s="22">
        <f t="shared" si="4"/>
        <v>194.7029293179402</v>
      </c>
      <c r="AM33" s="60">
        <f t="shared" si="5"/>
        <v>452.5182926490827</v>
      </c>
      <c r="AN33" s="60">
        <f ca="1">AVERAGE(OFFSET($AM$3,0,0,'Données projet'!$E$10+1,1))-AVERAGE(OFFSET($H$3,0,0,'Données projet'!$E$10+1,1))</f>
        <v>456.86058467343139</v>
      </c>
      <c r="AO33" s="60">
        <f t="shared" si="36"/>
        <v>243.88495931574937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60.313280908493404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115.38461538461539</v>
      </c>
      <c r="BB33" s="13">
        <f>VLOOKUP(A33,'Données projet'!$A$87:$I$107,9,0)</f>
        <v>6.7948717948717956</v>
      </c>
      <c r="BC33" s="13">
        <f t="array" ref="BC33">INDEX(BB:BB,MIN(IF(ISNUMBER(BB33:BB229),ROW(BB33:BB229),"")))</f>
        <v>6.7948717948717956</v>
      </c>
      <c r="BD33" s="13">
        <f>IF('Données projet'!$A$88&gt;35,BD32+BC33-BL32,IF(A33&lt;'Données projet'!$A$88,$BA$205^A33,IF(A33='Données projet'!$A$88,'Données projet'!$B$88,BD32+BC33-BL32)))</f>
        <v>115.38461538461536</v>
      </c>
      <c r="BE33" s="14">
        <f>BD33*VLOOKUP('Données projet'!$B$11,Paramètres!$A$1:$I$89,3,0)*VLOOKUP('Données projet'!$B$11,Paramètres!$A$1:$I$89,5,0)</f>
        <v>120.59999999999998</v>
      </c>
      <c r="BF33" s="14">
        <f t="shared" si="37"/>
        <v>31.814898793993059</v>
      </c>
      <c r="BG33" s="22">
        <f t="shared" si="7"/>
        <v>265.45594873287126</v>
      </c>
      <c r="BH33" s="60">
        <f t="shared" si="8"/>
        <v>523.27131206401373</v>
      </c>
      <c r="BI33" s="60">
        <f ca="1">AVERAGE(OFFSET($BH$3,0,0,'Données projet'!$E$11+1,1))-AVERAGE(OFFSET($H$3,0,0,'Données projet'!$E$11+1,1))</f>
        <v>518.47226207416952</v>
      </c>
      <c r="BJ33" s="60">
        <f t="shared" si="38"/>
        <v>314.6379787306804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17.948717948717949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60.313280908493404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97</v>
      </c>
      <c r="BW33" s="13">
        <f>VLOOKUP(A33,'Données projet'!$A$113:$I$133,9,0)</f>
        <v>7</v>
      </c>
      <c r="BX33" s="13">
        <f t="array" ref="BX33">INDEX(BW:BW,MIN(IF(ISNUMBER(BW33:BW229),ROW(BW33:BW229),"")))</f>
        <v>7</v>
      </c>
      <c r="BY33" s="13">
        <f>IF('Données projet'!$A$114&gt;35,BY32+BX33-CG32,IF(A33&lt;'Données projet'!$A$114,$BV$205^A33,IF(A33='Données projet'!$A$114,'Données projet'!$B$114,BY32+BX33-CG32)))</f>
        <v>97</v>
      </c>
      <c r="BZ33" s="14">
        <f>BY33*VLOOKUP('Données projet'!$B$12,Paramètres!$A$1:$I$89,3,0)*VLOOKUP('Données projet'!$B$12,Paramètres!$A$1:$I$89,5,0)</f>
        <v>104.41079999999999</v>
      </c>
      <c r="CA33" s="14">
        <f t="shared" si="39"/>
        <v>28.010155571424168</v>
      </c>
      <c r="CB33" s="22">
        <f t="shared" si="10"/>
        <v>230.63316428689711</v>
      </c>
      <c r="CC33" s="60">
        <f t="shared" si="11"/>
        <v>488.44852761803958</v>
      </c>
      <c r="CD33" s="60">
        <f ca="1">AVERAGE(OFFSET($CC$3,0,0,'Données projet'!$E$12+1,1))-AVERAGE(OFFSET($H$3,0,0,'Données projet'!$E$12+1,1))</f>
        <v>530.32456073177104</v>
      </c>
      <c r="CE33" s="60">
        <f t="shared" si="40"/>
        <v>279.81519428470625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60.313280908493404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174.5</v>
      </c>
      <c r="CR33" s="13">
        <f>VLOOKUP(A33,'Données projet'!$A$139:$I$159,9,0)</f>
        <v>12</v>
      </c>
      <c r="CS33" s="13">
        <f t="array" ref="CS33">INDEX(CR:CR,MIN(IF(ISNUMBER(CR33:CR229),ROW(CR33:CR229),"")))</f>
        <v>12</v>
      </c>
      <c r="CT33" s="13">
        <f>IF('Données projet'!$A$140&gt;35,CT32+CS33-DB32,IF(A33&lt;'Données projet'!$A$140,$CQ$205^A33,IF(A33='Données projet'!$A$140,'Données projet'!$B$140,CT32+CS33-DB32)))</f>
        <v>174.5</v>
      </c>
      <c r="CU33" s="18">
        <f>CT33*VLOOKUP('Données projet'!$B$13,Paramètres!$A$1:$I$89,3,0)*VLOOKUP('Données projet'!$B$13,Paramètres!$A$1:$I$89,5,0)</f>
        <v>152.44320000000002</v>
      </c>
      <c r="CV33" s="14">
        <f t="shared" si="41"/>
        <v>39.133288418096313</v>
      </c>
      <c r="CW33" s="22">
        <f t="shared" si="13"/>
        <v>333.66238399485115</v>
      </c>
      <c r="CX33" s="60">
        <f t="shared" si="14"/>
        <v>591.47774732599362</v>
      </c>
      <c r="CY33" s="60">
        <f ca="1">AVERAGE(OFFSET($CX$3,0,0,'Données projet'!$E$13+1,1))-AVERAGE(OFFSET($H$3,0,0,'Données projet'!$E$13+1,1))</f>
        <v>355.03862261578701</v>
      </c>
      <c r="CZ33" s="60">
        <f t="shared" si="42"/>
        <v>382.84441399266029</v>
      </c>
      <c r="DA33" s="16">
        <f>IF(ISNA(VLOOKUP(A33,'Données projet'!$A$139:$I$159,3,0)),0,VLOOKUP(A33,'Données projet'!$A$139:$I$159,3,0))</f>
        <v>2</v>
      </c>
      <c r="DB33" s="16">
        <f>IF(ISNA(VLOOKUP(A33,'Données projet'!$A$139:$I$159,4,0)),0,VLOOKUP(A33,'Données projet'!$A$139:$I$159,4,0))</f>
        <v>56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60.313280908493404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11.5</v>
      </c>
      <c r="DO33" s="13">
        <f>IF('Données projet'!$A$166&gt;35,DO32+DN33-DW32,IF(A33&lt;'Données projet'!$A$166,$DL$205^A33,IF(A33='Données projet'!$A$166,'Données projet'!$B$166,DO32+DN33-DW32)))</f>
        <v>143.49999999999997</v>
      </c>
      <c r="DP33" s="18">
        <f>DO33*VLOOKUP('Données projet'!$B$14,Paramètres!$A$1:$I$89,3,0)*VLOOKUP('Données projet'!$B$14,Paramètres!$A$1:$I$89,5,0)</f>
        <v>111.92999999999998</v>
      </c>
      <c r="DQ33" s="14">
        <f t="shared" si="43"/>
        <v>29.785246291563833</v>
      </c>
      <c r="DR33" s="22">
        <f t="shared" si="16"/>
        <v>246.82072062447358</v>
      </c>
      <c r="DS33" s="60">
        <f t="shared" si="17"/>
        <v>504.63608395561607</v>
      </c>
      <c r="DT33" s="60">
        <f ca="1">AVERAGE(OFFSET($DS$3,0,0,'Données projet'!$E$14+1,1))-AVERAGE(OFFSET($H$3,0,0,'Données projet'!$E$14+1,1))</f>
        <v>305.68891030516761</v>
      </c>
      <c r="DU33" s="60">
        <f t="shared" si="44"/>
        <v>296.00275062228275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60.313280908493404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97</v>
      </c>
      <c r="EH33" s="13">
        <f>VLOOKUP(A33,'Données projet'!$A$191:$I$211,9,0)</f>
        <v>7</v>
      </c>
      <c r="EI33" s="13">
        <f t="array" ref="EI33">INDEX(EH:EH,MIN(IF(ISNUMBER(EH33:EH229),ROW(EH33:EH229),"")))</f>
        <v>7</v>
      </c>
      <c r="EJ33" s="13">
        <f>IF('Données projet'!$A$192&gt;35,EJ32+EI33-ER32,IF(A33&lt;'Données projet'!$A$192,$EG$205^A33,IF(A33='Données projet'!$A$192,'Données projet'!$B$192,EJ32+EI33-ER32)))</f>
        <v>97</v>
      </c>
      <c r="EK33" s="18">
        <f>EJ33*VLOOKUP('Données projet'!$B$15,Paramètres!$A$1:$I$89,3,0)*VLOOKUP('Données projet'!$B$15,Paramètres!$A$1:$I$89,5,0)</f>
        <v>93.818400000000011</v>
      </c>
      <c r="EL33" s="14">
        <f t="shared" si="45"/>
        <v>25.483892312609182</v>
      </c>
      <c r="EM33" s="22">
        <f t="shared" si="19"/>
        <v>207.78482577779434</v>
      </c>
      <c r="EN33" s="60">
        <f t="shared" si="20"/>
        <v>465.60018910893677</v>
      </c>
      <c r="EO33" s="60">
        <f ca="1">AVERAGE(OFFSET($EN$3,0,0,'Données projet'!$E$15+1,1))-AVERAGE(OFFSET($H$3,0,0,'Données projet'!$E$15+1,1))</f>
        <v>483.60545605360528</v>
      </c>
      <c r="EP33" s="60">
        <f t="shared" si="46"/>
        <v>256.96685577560345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60.313280908493404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0" t="e">
        <f t="shared" si="23"/>
        <v>#N/A</v>
      </c>
      <c r="FJ33" s="60" t="e">
        <f ca="1">AVERAGE(OFFSET($FI$3,0,0,'Données projet'!$E$16+1,1))-AVERAGE(OFFSET($H$3,0,0,'Données projet'!$E$16+1,1))</f>
        <v>#N/A</v>
      </c>
      <c r="FK33" s="60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60.313280908493404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0" t="e">
        <f t="shared" si="26"/>
        <v>#N/A</v>
      </c>
      <c r="GE33" s="60" t="e">
        <f ca="1">AVERAGE(OFFSET($GD$3,0,0,'Données projet'!$E$17+1,1))-AVERAGE(OFFSET($H$3,0,0,'Données projet'!$E$17+1,1))</f>
        <v>#N/A</v>
      </c>
      <c r="GF33" s="60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60.313280908493404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4">
        <f>'Scénario référence'!$B$16*5+'Scénario référence'!$B$17*0+'Scénario référence'!$B$18*5</f>
        <v>3.2750000000000004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12.008333333333335</v>
      </c>
      <c r="H34" s="67">
        <f t="shared" si="1"/>
        <v>208.63333333333333</v>
      </c>
      <c r="I34" s="7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60.481323828471496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105</v>
      </c>
      <c r="O34" s="14">
        <f>N34*VLOOKUP('Données projet'!$B$9,Paramètres!$A$1:$I$89,3,0)*VLOOKUP('Données projet'!$B$9,Paramètres!$A$1:$I$89,5,0)</f>
        <v>106.47</v>
      </c>
      <c r="P34" s="14">
        <f t="shared" si="33"/>
        <v>28.49771681771891</v>
      </c>
      <c r="Q34" s="22">
        <f t="shared" si="2"/>
        <v>235.06877345752704</v>
      </c>
      <c r="R34" s="60">
        <f t="shared" si="0"/>
        <v>493.50029416192251</v>
      </c>
      <c r="S34" s="60">
        <f ca="1">AVERAGE(OFFSET($R$3,0,0,'Données projet'!$E$9+1,1))-AVERAGE(OFFSET($H$3,0,0,'Données projet'!$E$9+1,1))</f>
        <v>503.64055031157477</v>
      </c>
      <c r="T34" s="60">
        <f t="shared" si="34"/>
        <v>266.76572540460842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60.481323828471496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IF('Données projet'!$A$62&gt;35,AI33+AH34-AQ33,IF(A34&lt;'Données projet'!$A$62,$AF$205^A34,IF(A34='Données projet'!$A$62,'Données projet'!$B$62,AI33+AH34-AQ33)))</f>
        <v>105</v>
      </c>
      <c r="AJ34" s="14">
        <f>AI34*VLOOKUP('Données projet'!$B$10,Paramètres!$A$1:$I$89,3,0)*VLOOKUP('Données projet'!$B$10,Paramètres!$A$1:$I$89,5,0)</f>
        <v>95.004000000000005</v>
      </c>
      <c r="AK34" s="14">
        <f t="shared" si="35"/>
        <v>25.768242550600785</v>
      </c>
      <c r="AL34" s="22">
        <f t="shared" si="4"/>
        <v>210.34498910896306</v>
      </c>
      <c r="AM34" s="60">
        <f t="shared" si="5"/>
        <v>468.77650981335853</v>
      </c>
      <c r="AN34" s="60">
        <f ca="1">AVERAGE(OFFSET($AM$3,0,0,'Données projet'!$E$10+1,1))-AVERAGE(OFFSET($H$3,0,0,'Données projet'!$E$10+1,1))</f>
        <v>456.86058467343139</v>
      </c>
      <c r="AO34" s="60">
        <f t="shared" si="36"/>
        <v>243.88495931574937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60.481323828471496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6.7948717948717956</v>
      </c>
      <c r="BD34" s="13">
        <f>IF('Données projet'!$A$88&gt;35,BD33+BC34-BL33,IF(A34&lt;'Données projet'!$A$88,$BA$205^A34,IF(A34='Données projet'!$A$88,'Données projet'!$B$88,BD33+BC34-BL33)))</f>
        <v>104.2307692307692</v>
      </c>
      <c r="BE34" s="14">
        <f>BD34*VLOOKUP('Données projet'!$B$11,Paramètres!$A$1:$I$89,3,0)*VLOOKUP('Données projet'!$B$11,Paramètres!$A$1:$I$89,5,0)</f>
        <v>108.94199999999996</v>
      </c>
      <c r="BF34" s="14">
        <f t="shared" si="37"/>
        <v>29.08157148085148</v>
      </c>
      <c r="BG34" s="22">
        <f t="shared" si="7"/>
        <v>240.39105366248293</v>
      </c>
      <c r="BH34" s="60">
        <f t="shared" si="8"/>
        <v>498.82257436687843</v>
      </c>
      <c r="BI34" s="60">
        <f ca="1">AVERAGE(OFFSET($BH$3,0,0,'Données projet'!$E$11+1,1))-AVERAGE(OFFSET($H$3,0,0,'Données projet'!$E$11+1,1))</f>
        <v>518.47226207416952</v>
      </c>
      <c r="BJ34" s="60">
        <f t="shared" si="38"/>
        <v>314.6379787306804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60.481323828471496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8</v>
      </c>
      <c r="BY34" s="13">
        <f>IF('Données projet'!$A$114&gt;35,BY33+BX34-CG33,IF(A34&lt;'Données projet'!$A$114,$BV$205^A34,IF(A34='Données projet'!$A$114,'Données projet'!$B$114,BY33+BX34-CG33)))</f>
        <v>105</v>
      </c>
      <c r="BZ34" s="14">
        <f>BY34*VLOOKUP('Données projet'!$B$12,Paramètres!$A$1:$I$89,3,0)*VLOOKUP('Données projet'!$B$12,Paramètres!$A$1:$I$89,5,0)</f>
        <v>113.02199999999999</v>
      </c>
      <c r="CA34" s="14">
        <f t="shared" si="39"/>
        <v>30.041864379091852</v>
      </c>
      <c r="CB34" s="22">
        <f t="shared" si="10"/>
        <v>249.16956379358496</v>
      </c>
      <c r="CC34" s="60">
        <f t="shared" si="11"/>
        <v>507.60108449798042</v>
      </c>
      <c r="CD34" s="60">
        <f ca="1">AVERAGE(OFFSET($CC$3,0,0,'Données projet'!$E$12+1,1))-AVERAGE(OFFSET($H$3,0,0,'Données projet'!$E$12+1,1))</f>
        <v>530.32456073177104</v>
      </c>
      <c r="CE34" s="60">
        <f t="shared" si="40"/>
        <v>279.81519428470625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60.481323828471496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10.780000000000001</v>
      </c>
      <c r="CT34" s="13">
        <f>IF('Données projet'!$A$140&gt;35,CT33+CS34-DB33,IF(A34&lt;'Données projet'!$A$140,$CQ$205^A34,IF(A34='Données projet'!$A$140,'Données projet'!$B$140,CT33+CS34-DB33)))</f>
        <v>129.28</v>
      </c>
      <c r="CU34" s="18">
        <f>CT34*VLOOKUP('Données projet'!$B$13,Paramètres!$A$1:$I$89,3,0)*VLOOKUP('Données projet'!$B$13,Paramètres!$A$1:$I$89,5,0)</f>
        <v>112.93900800000003</v>
      </c>
      <c r="CV34" s="14">
        <f t="shared" si="41"/>
        <v>30.022371571514686</v>
      </c>
      <c r="CW34" s="22">
        <f t="shared" si="13"/>
        <v>248.99106942038816</v>
      </c>
      <c r="CX34" s="60">
        <f t="shared" si="14"/>
        <v>507.42259012478365</v>
      </c>
      <c r="CY34" s="60">
        <f ca="1">AVERAGE(OFFSET($CX$3,0,0,'Données projet'!$E$13+1,1))-AVERAGE(OFFSET($H$3,0,0,'Données projet'!$E$13+1,1))</f>
        <v>355.03862261578701</v>
      </c>
      <c r="CZ34" s="60">
        <f t="shared" si="42"/>
        <v>382.84441399266029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60.481323828471496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>
        <f>VLOOKUP(A34,'Données projet'!$A$165:$I$185,2,0)</f>
        <v>155</v>
      </c>
      <c r="DM34" s="13">
        <f>VLOOKUP(A34,'Données projet'!$A$165:$I$185,9,0)</f>
        <v>11.5</v>
      </c>
      <c r="DN34" s="13">
        <f t="array" ref="DN34">INDEX(DM:DM,MIN(IF(ISNUMBER(DM34:DM230),ROW(DM34:DM230),"")))</f>
        <v>11.5</v>
      </c>
      <c r="DO34" s="13">
        <f>IF('Données projet'!$A$166&gt;35,DO33+DN34-DW33,IF(A34&lt;'Données projet'!$A$166,$DL$205^A34,IF(A34='Données projet'!$A$166,'Données projet'!$B$166,DO33+DN34-DW33)))</f>
        <v>154.99999999999997</v>
      </c>
      <c r="DP34" s="18">
        <f>DO34*VLOOKUP('Données projet'!$B$14,Paramètres!$A$1:$I$89,3,0)*VLOOKUP('Données projet'!$B$14,Paramètres!$A$1:$I$89,5,0)</f>
        <v>120.89999999999998</v>
      </c>
      <c r="DQ34" s="14">
        <f t="shared" si="43"/>
        <v>31.884818143351602</v>
      </c>
      <c r="DR34" s="22">
        <f t="shared" si="16"/>
        <v>266.10022493300397</v>
      </c>
      <c r="DS34" s="60">
        <f t="shared" si="17"/>
        <v>524.53174563739947</v>
      </c>
      <c r="DT34" s="60">
        <f ca="1">AVERAGE(OFFSET($DS$3,0,0,'Données projet'!$E$14+1,1))-AVERAGE(OFFSET($H$3,0,0,'Données projet'!$E$14+1,1))</f>
        <v>305.68891030516761</v>
      </c>
      <c r="DU34" s="60">
        <f t="shared" si="44"/>
        <v>296.00275062228275</v>
      </c>
      <c r="DV34" s="16">
        <f>IF(ISNA(VLOOKUP(A34,'Données projet'!$A$165:$I$185,3,0)),0,VLOOKUP(A34,'Données projet'!$A$165:$I$185,3,0))</f>
        <v>2</v>
      </c>
      <c r="DW34" s="16">
        <f>IF(ISNA(VLOOKUP(A34,'Données projet'!$A$165:$I$185,4,0)),0,VLOOKUP(A34,'Données projet'!$A$165:$I$185,4,0))</f>
        <v>36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60.481323828471496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8</v>
      </c>
      <c r="EJ34" s="13">
        <f>IF('Données projet'!$A$192&gt;35,EJ33+EI34-ER33,IF(A34&lt;'Données projet'!$A$192,$EG$205^A34,IF(A34='Données projet'!$A$192,'Données projet'!$B$192,EJ33+EI34-ER33)))</f>
        <v>105</v>
      </c>
      <c r="EK34" s="18">
        <f>EJ34*VLOOKUP('Données projet'!$B$15,Paramètres!$A$1:$I$89,3,0)*VLOOKUP('Données projet'!$B$15,Paramètres!$A$1:$I$89,5,0)</f>
        <v>101.556</v>
      </c>
      <c r="EL34" s="14">
        <f t="shared" si="45"/>
        <v>27.332359320696909</v>
      </c>
      <c r="EM34" s="22">
        <f t="shared" si="19"/>
        <v>224.48055915021379</v>
      </c>
      <c r="EN34" s="60">
        <f t="shared" si="20"/>
        <v>482.91207985460926</v>
      </c>
      <c r="EO34" s="60">
        <f ca="1">AVERAGE(OFFSET($EN$3,0,0,'Données projet'!$E$15+1,1))-AVERAGE(OFFSET($H$3,0,0,'Données projet'!$E$15+1,1))</f>
        <v>483.60545605360528</v>
      </c>
      <c r="EP34" s="60">
        <f t="shared" si="46"/>
        <v>256.96685577560345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60.481323828471496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0" t="e">
        <f t="shared" si="23"/>
        <v>#N/A</v>
      </c>
      <c r="FJ34" s="60" t="e">
        <f ca="1">AVERAGE(OFFSET($FI$3,0,0,'Données projet'!$E$16+1,1))-AVERAGE(OFFSET($H$3,0,0,'Données projet'!$E$16+1,1))</f>
        <v>#N/A</v>
      </c>
      <c r="FK34" s="60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60.481323828471496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0" t="e">
        <f t="shared" si="26"/>
        <v>#N/A</v>
      </c>
      <c r="GE34" s="60" t="e">
        <f ca="1">AVERAGE(OFFSET($GD$3,0,0,'Données projet'!$E$17+1,1))-AVERAGE(OFFSET($H$3,0,0,'Données projet'!$E$17+1,1))</f>
        <v>#N/A</v>
      </c>
      <c r="GF34" s="60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60.481323828471496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4">
        <f>'Scénario référence'!$B$16*5+'Scénario référence'!$B$17*0+'Scénario référence'!$B$18*5</f>
        <v>3.2750000000000004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12.008333333333335</v>
      </c>
      <c r="H35" s="67">
        <f t="shared" si="1"/>
        <v>208.63333333333333</v>
      </c>
      <c r="I35" s="7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60.646451579475652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113</v>
      </c>
      <c r="O35" s="14">
        <f>N35*VLOOKUP('Données projet'!$B$9,Paramètres!$A$1:$I$89,3,0)*VLOOKUP('Données projet'!$B$9,Paramètres!$A$1:$I$89,5,0)</f>
        <v>114.58200000000001</v>
      </c>
      <c r="P35" s="14">
        <f t="shared" si="33"/>
        <v>30.407962048850919</v>
      </c>
      <c r="Q35" s="22">
        <f t="shared" ref="Q35:Q66" si="53">(O35+P35)*0.475*44/12</f>
        <v>252.52418390174873</v>
      </c>
      <c r="R35" s="60">
        <f t="shared" si="0"/>
        <v>511.56117302649272</v>
      </c>
      <c r="S35" s="60">
        <f ca="1">AVERAGE(OFFSET($R$3,0,0,'Données projet'!$E$9+1,1))-AVERAGE(OFFSET($H$3,0,0,'Données projet'!$E$9+1,1))</f>
        <v>503.64055031157477</v>
      </c>
      <c r="T35" s="60">
        <f t="shared" si="34"/>
        <v>266.76572540460842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60.646451579475652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IF('Données projet'!$A$62&gt;35,AI34+AH35-AQ34,IF(A35&lt;'Données projet'!$A$62,$AF$205^A35,IF(A35='Données projet'!$A$62,'Données projet'!$B$62,AI34+AH35-AQ34)))</f>
        <v>113</v>
      </c>
      <c r="AJ35" s="14">
        <f>AI35*VLOOKUP('Données projet'!$B$10,Paramètres!$A$1:$I$89,3,0)*VLOOKUP('Données projet'!$B$10,Paramètres!$A$1:$I$89,5,0)</f>
        <v>102.24239999999999</v>
      </c>
      <c r="AK35" s="14">
        <f t="shared" si="35"/>
        <v>27.495526976991481</v>
      </c>
      <c r="AL35" s="22">
        <f t="shared" si="4"/>
        <v>225.96022281826015</v>
      </c>
      <c r="AM35" s="60">
        <f t="shared" si="5"/>
        <v>484.99721194300417</v>
      </c>
      <c r="AN35" s="60">
        <f ca="1">AVERAGE(OFFSET($AM$3,0,0,'Données projet'!$E$10+1,1))-AVERAGE(OFFSET($H$3,0,0,'Données projet'!$E$10+1,1))</f>
        <v>456.86058467343139</v>
      </c>
      <c r="AO35" s="60">
        <f t="shared" si="36"/>
        <v>243.88495931574937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60.646451579475652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6.7948717948717956</v>
      </c>
      <c r="BD35" s="13">
        <f>IF('Données projet'!$A$88&gt;35,BD34+BC35-BL34,IF(A35&lt;'Données projet'!$A$88,$BA$205^A35,IF(A35='Données projet'!$A$88,'Données projet'!$B$88,BD34+BC35-BL34)))</f>
        <v>111.02564102564099</v>
      </c>
      <c r="BE35" s="14">
        <f>BD35*VLOOKUP('Données projet'!$B$11,Paramètres!$A$1:$I$89,3,0)*VLOOKUP('Données projet'!$B$11,Paramètres!$A$1:$I$89,5,0)</f>
        <v>116.04399999999997</v>
      </c>
      <c r="BF35" s="14">
        <f t="shared" si="37"/>
        <v>30.750534860350001</v>
      </c>
      <c r="BG35" s="22">
        <f t="shared" si="7"/>
        <v>255.66714821510956</v>
      </c>
      <c r="BH35" s="60">
        <f t="shared" si="8"/>
        <v>514.70413733985356</v>
      </c>
      <c r="BI35" s="60">
        <f ca="1">AVERAGE(OFFSET($BH$3,0,0,'Données projet'!$E$11+1,1))-AVERAGE(OFFSET($H$3,0,0,'Données projet'!$E$11+1,1))</f>
        <v>518.47226207416952</v>
      </c>
      <c r="BJ35" s="60">
        <f t="shared" si="38"/>
        <v>314.6379787306804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60.646451579475652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8</v>
      </c>
      <c r="BY35" s="13">
        <f>IF('Données projet'!$A$114&gt;35,BY34+BX35-CG34,IF(A35&lt;'Données projet'!$A$114,$BV$205^A35,IF(A35='Données projet'!$A$114,'Données projet'!$B$114,BY34+BX35-CG34)))</f>
        <v>113</v>
      </c>
      <c r="BZ35" s="14">
        <f>BY35*VLOOKUP('Données projet'!$B$12,Paramètres!$A$1:$I$89,3,0)*VLOOKUP('Données projet'!$B$12,Paramètres!$A$1:$I$89,5,0)</f>
        <v>121.6332</v>
      </c>
      <c r="CA35" s="14">
        <f t="shared" si="39"/>
        <v>32.05561616599968</v>
      </c>
      <c r="CB35" s="22">
        <f t="shared" si="10"/>
        <v>267.6746881557828</v>
      </c>
      <c r="CC35" s="60">
        <f t="shared" si="11"/>
        <v>526.71167728052683</v>
      </c>
      <c r="CD35" s="60">
        <f ca="1">AVERAGE(OFFSET($CC$3,0,0,'Données projet'!$E$12+1,1))-AVERAGE(OFFSET($H$3,0,0,'Données projet'!$E$12+1,1))</f>
        <v>530.32456073177104</v>
      </c>
      <c r="CE35" s="60">
        <f t="shared" si="40"/>
        <v>279.81519428470625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60.646451579475652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10.780000000000001</v>
      </c>
      <c r="CT35" s="13">
        <f>IF('Données projet'!$A$140&gt;35,CT34+CS35-DB34,IF(A35&lt;'Données projet'!$A$140,$CQ$205^A35,IF(A35='Données projet'!$A$140,'Données projet'!$B$140,CT34+CS35-DB34)))</f>
        <v>140.06</v>
      </c>
      <c r="CU35" s="18">
        <f>CT35*VLOOKUP('Données projet'!$B$13,Paramètres!$A$1:$I$89,3,0)*VLOOKUP('Données projet'!$B$13,Paramètres!$A$1:$I$89,5,0)</f>
        <v>122.35641600000002</v>
      </c>
      <c r="CV35" s="14">
        <f t="shared" si="41"/>
        <v>32.223971060704159</v>
      </c>
      <c r="CW35" s="22">
        <f t="shared" si="13"/>
        <v>269.22750746405978</v>
      </c>
      <c r="CX35" s="60">
        <f t="shared" si="14"/>
        <v>528.26449658880381</v>
      </c>
      <c r="CY35" s="60">
        <f ca="1">AVERAGE(OFFSET($CX$3,0,0,'Données projet'!$E$13+1,1))-AVERAGE(OFFSET($H$3,0,0,'Données projet'!$E$13+1,1))</f>
        <v>355.03862261578701</v>
      </c>
      <c r="CZ35" s="60">
        <f t="shared" si="42"/>
        <v>382.84441399266029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60.646451579475652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11.5</v>
      </c>
      <c r="DO35" s="13">
        <f>IF('Données projet'!$A$166&gt;35,DO34+DN35-DW34,IF(A35&lt;'Données projet'!$A$166,$DL$205^A35,IF(A35='Données projet'!$A$166,'Données projet'!$B$166,DO34+DN35-DW34)))</f>
        <v>130.49999999999997</v>
      </c>
      <c r="DP35" s="18">
        <f>DO35*VLOOKUP('Données projet'!$B$14,Paramètres!$A$1:$I$89,3,0)*VLOOKUP('Données projet'!$B$14,Paramètres!$A$1:$I$89,5,0)</f>
        <v>101.78999999999998</v>
      </c>
      <c r="DQ35" s="14">
        <f t="shared" si="43"/>
        <v>27.38799903683508</v>
      </c>
      <c r="DR35" s="22">
        <f t="shared" si="16"/>
        <v>224.98501498915437</v>
      </c>
      <c r="DS35" s="60">
        <f t="shared" si="17"/>
        <v>484.02200411389839</v>
      </c>
      <c r="DT35" s="60">
        <f ca="1">AVERAGE(OFFSET($DS$3,0,0,'Données projet'!$E$14+1,1))-AVERAGE(OFFSET($H$3,0,0,'Données projet'!$E$14+1,1))</f>
        <v>305.68891030516761</v>
      </c>
      <c r="DU35" s="60">
        <f t="shared" si="44"/>
        <v>296.00275062228275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60.646451579475652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8</v>
      </c>
      <c r="EJ35" s="13">
        <f>IF('Données projet'!$A$192&gt;35,EJ34+EI35-ER34,IF(A35&lt;'Données projet'!$A$192,$EG$205^A35,IF(A35='Données projet'!$A$192,'Données projet'!$B$192,EJ34+EI35-ER34)))</f>
        <v>113</v>
      </c>
      <c r="EK35" s="18">
        <f>EJ35*VLOOKUP('Données projet'!$B$15,Paramètres!$A$1:$I$89,3,0)*VLOOKUP('Données projet'!$B$15,Paramètres!$A$1:$I$89,5,0)</f>
        <v>109.29360000000001</v>
      </c>
      <c r="EL35" s="14">
        <f t="shared" si="45"/>
        <v>29.16448886924675</v>
      </c>
      <c r="EM35" s="22">
        <f t="shared" si="19"/>
        <v>241.14783811393806</v>
      </c>
      <c r="EN35" s="60">
        <f t="shared" si="20"/>
        <v>500.18482723868209</v>
      </c>
      <c r="EO35" s="60">
        <f ca="1">AVERAGE(OFFSET($EN$3,0,0,'Données projet'!$E$15+1,1))-AVERAGE(OFFSET($H$3,0,0,'Données projet'!$E$15+1,1))</f>
        <v>483.60545605360528</v>
      </c>
      <c r="EP35" s="60">
        <f t="shared" si="46"/>
        <v>256.96685577560345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60.646451579475652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0" t="e">
        <f t="shared" si="23"/>
        <v>#N/A</v>
      </c>
      <c r="FJ35" s="60" t="e">
        <f ca="1">AVERAGE(OFFSET($FI$3,0,0,'Données projet'!$E$16+1,1))-AVERAGE(OFFSET($H$3,0,0,'Données projet'!$E$16+1,1))</f>
        <v>#N/A</v>
      </c>
      <c r="FK35" s="60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60.646451579475652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0" t="e">
        <f t="shared" si="26"/>
        <v>#N/A</v>
      </c>
      <c r="GE35" s="60" t="e">
        <f ca="1">AVERAGE(OFFSET($GD$3,0,0,'Données projet'!$E$17+1,1))-AVERAGE(OFFSET($H$3,0,0,'Données projet'!$E$17+1,1))</f>
        <v>#N/A</v>
      </c>
      <c r="GF35" s="60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60.646451579475652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4">
        <f>'Scénario référence'!$B$16*5+'Scénario référence'!$B$17*0+'Scénario référence'!$B$18*5</f>
        <v>3.2750000000000004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12.008333333333335</v>
      </c>
      <c r="H36" s="67">
        <f t="shared" si="1"/>
        <v>208.63333333333333</v>
      </c>
      <c r="I36" s="7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60.808714733170241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121</v>
      </c>
      <c r="O36" s="14">
        <f>N36*VLOOKUP('Données projet'!$B$9,Paramètres!$A$1:$I$89,3,0)*VLOOKUP('Données projet'!$B$9,Paramètres!$A$1:$I$89,5,0)</f>
        <v>122.69400000000002</v>
      </c>
      <c r="P36" s="14">
        <f t="shared" si="33"/>
        <v>32.302516360650685</v>
      </c>
      <c r="Q36" s="22">
        <f t="shared" si="53"/>
        <v>269.95226599479992</v>
      </c>
      <c r="R36" s="60">
        <f t="shared" si="0"/>
        <v>529.58422001642407</v>
      </c>
      <c r="S36" s="60">
        <f ca="1">AVERAGE(OFFSET($R$3,0,0,'Données projet'!$E$9+1,1))-AVERAGE(OFFSET($H$3,0,0,'Données projet'!$E$9+1,1))</f>
        <v>503.64055031157477</v>
      </c>
      <c r="T36" s="60">
        <f t="shared" si="34"/>
        <v>266.76572540460842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60.808714733170241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IF('Données projet'!$A$62&gt;35,AI35+AH36-AQ35,IF(A36&lt;'Données projet'!$A$62,$AF$205^A36,IF(A36='Données projet'!$A$62,'Données projet'!$B$62,AI35+AH36-AQ35)))</f>
        <v>121</v>
      </c>
      <c r="AJ36" s="14">
        <f>AI36*VLOOKUP('Données projet'!$B$10,Paramètres!$A$1:$I$89,3,0)*VLOOKUP('Données projet'!$B$10,Paramètres!$A$1:$I$89,5,0)</f>
        <v>109.48079999999999</v>
      </c>
      <c r="AK36" s="14">
        <f t="shared" si="35"/>
        <v>29.208623339903898</v>
      </c>
      <c r="AL36" s="22">
        <f t="shared" si="4"/>
        <v>241.5507456503326</v>
      </c>
      <c r="AM36" s="60">
        <f t="shared" si="5"/>
        <v>501.18269967195675</v>
      </c>
      <c r="AN36" s="60">
        <f ca="1">AVERAGE(OFFSET($AM$3,0,0,'Données projet'!$E$10+1,1))-AVERAGE(OFFSET($H$3,0,0,'Données projet'!$E$10+1,1))</f>
        <v>456.86058467343139</v>
      </c>
      <c r="AO36" s="60">
        <f t="shared" si="36"/>
        <v>243.88495931574937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60.808714733170241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6.7948717948717956</v>
      </c>
      <c r="BD36" s="13">
        <f>IF('Données projet'!$A$88&gt;35,BD35+BC36-BL35,IF(A36&lt;'Données projet'!$A$88,$BA$205^A36,IF(A36='Données projet'!$A$88,'Données projet'!$B$88,BD35+BC36-BL35)))</f>
        <v>117.82051282051279</v>
      </c>
      <c r="BE36" s="14">
        <f>BD36*VLOOKUP('Données projet'!$B$11,Paramètres!$A$1:$I$89,3,0)*VLOOKUP('Données projet'!$B$11,Paramètres!$A$1:$I$89,5,0)</f>
        <v>123.14599999999997</v>
      </c>
      <c r="BF36" s="14">
        <f t="shared" si="37"/>
        <v>32.407643337050729</v>
      </c>
      <c r="BG36" s="22">
        <f t="shared" si="7"/>
        <v>270.92259547869656</v>
      </c>
      <c r="BH36" s="60">
        <f t="shared" si="8"/>
        <v>530.55454950032072</v>
      </c>
      <c r="BI36" s="60">
        <f ca="1">AVERAGE(OFFSET($BH$3,0,0,'Données projet'!$E$11+1,1))-AVERAGE(OFFSET($H$3,0,0,'Données projet'!$E$11+1,1))</f>
        <v>518.47226207416952</v>
      </c>
      <c r="BJ36" s="60">
        <f t="shared" si="38"/>
        <v>314.6379787306804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60.808714733170241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8</v>
      </c>
      <c r="BY36" s="13">
        <f>IF('Données projet'!$A$114&gt;35,BY35+BX36-CG35,IF(A36&lt;'Données projet'!$A$114,$BV$205^A36,IF(A36='Données projet'!$A$114,'Données projet'!$B$114,BY35+BX36-CG35)))</f>
        <v>121</v>
      </c>
      <c r="BZ36" s="14">
        <f>BY36*VLOOKUP('Données projet'!$B$12,Paramètres!$A$1:$I$89,3,0)*VLOOKUP('Données projet'!$B$12,Paramètres!$A$1:$I$89,5,0)</f>
        <v>130.24439999999998</v>
      </c>
      <c r="CA36" s="14">
        <f t="shared" si="39"/>
        <v>34.052826821785409</v>
      </c>
      <c r="CB36" s="22">
        <f t="shared" si="10"/>
        <v>286.15100338127621</v>
      </c>
      <c r="CC36" s="60">
        <f t="shared" si="11"/>
        <v>545.78295740290037</v>
      </c>
      <c r="CD36" s="60">
        <f ca="1">AVERAGE(OFFSET($CC$3,0,0,'Données projet'!$E$12+1,1))-AVERAGE(OFFSET($H$3,0,0,'Données projet'!$E$12+1,1))</f>
        <v>530.32456073177104</v>
      </c>
      <c r="CE36" s="60">
        <f t="shared" si="40"/>
        <v>279.81519428470625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60.808714733170241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10.780000000000001</v>
      </c>
      <c r="CT36" s="13">
        <f>IF('Données projet'!$A$140&gt;35,CT35+CS36-DB35,IF(A36&lt;'Données projet'!$A$140,$CQ$205^A36,IF(A36='Données projet'!$A$140,'Données projet'!$B$140,CT35+CS36-DB35)))</f>
        <v>150.84</v>
      </c>
      <c r="CU36" s="18">
        <f>CT36*VLOOKUP('Données projet'!$B$13,Paramètres!$A$1:$I$89,3,0)*VLOOKUP('Données projet'!$B$13,Paramètres!$A$1:$I$89,5,0)</f>
        <v>131.77382400000002</v>
      </c>
      <c r="CV36" s="14">
        <f t="shared" si="41"/>
        <v>34.405914123082425</v>
      </c>
      <c r="CW36" s="22">
        <f t="shared" si="13"/>
        <v>289.42971056436858</v>
      </c>
      <c r="CX36" s="60">
        <f t="shared" si="14"/>
        <v>549.06166458599273</v>
      </c>
      <c r="CY36" s="60">
        <f ca="1">AVERAGE(OFFSET($CX$3,0,0,'Données projet'!$E$13+1,1))-AVERAGE(OFFSET($H$3,0,0,'Données projet'!$E$13+1,1))</f>
        <v>355.03862261578701</v>
      </c>
      <c r="CZ36" s="60">
        <f t="shared" si="42"/>
        <v>382.84441399266029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60.808714733170241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11.5</v>
      </c>
      <c r="DO36" s="13">
        <f>IF('Données projet'!$A$166&gt;35,DO35+DN36-DW35,IF(A36&lt;'Données projet'!$A$166,$DL$205^A36,IF(A36='Données projet'!$A$166,'Données projet'!$B$166,DO35+DN36-DW35)))</f>
        <v>141.99999999999997</v>
      </c>
      <c r="DP36" s="18">
        <f>DO36*VLOOKUP('Données projet'!$B$14,Paramètres!$A$1:$I$89,3,0)*VLOOKUP('Données projet'!$B$14,Paramètres!$A$1:$I$89,5,0)</f>
        <v>110.75999999999998</v>
      </c>
      <c r="DQ36" s="14">
        <f t="shared" si="43"/>
        <v>29.509974682362923</v>
      </c>
      <c r="DR36" s="22">
        <f t="shared" si="16"/>
        <v>244.30353923844871</v>
      </c>
      <c r="DS36" s="60">
        <f t="shared" si="17"/>
        <v>503.93549326007286</v>
      </c>
      <c r="DT36" s="60">
        <f ca="1">AVERAGE(OFFSET($DS$3,0,0,'Données projet'!$E$14+1,1))-AVERAGE(OFFSET($H$3,0,0,'Données projet'!$E$14+1,1))</f>
        <v>305.68891030516761</v>
      </c>
      <c r="DU36" s="60">
        <f t="shared" si="44"/>
        <v>296.00275062228275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60.808714733170241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8</v>
      </c>
      <c r="EJ36" s="13">
        <f>IF('Données projet'!$A$192&gt;35,EJ35+EI36-ER35,IF(A36&lt;'Données projet'!$A$192,$EG$205^A36,IF(A36='Données projet'!$A$192,'Données projet'!$B$192,EJ35+EI36-ER35)))</f>
        <v>121</v>
      </c>
      <c r="EK36" s="18">
        <f>EJ36*VLOOKUP('Données projet'!$B$15,Paramètres!$A$1:$I$89,3,0)*VLOOKUP('Données projet'!$B$15,Paramètres!$A$1:$I$89,5,0)</f>
        <v>117.0312</v>
      </c>
      <c r="EL36" s="14">
        <f t="shared" si="45"/>
        <v>30.981569147428527</v>
      </c>
      <c r="EM36" s="22">
        <f t="shared" si="19"/>
        <v>257.78890626510469</v>
      </c>
      <c r="EN36" s="60">
        <f t="shared" si="20"/>
        <v>517.42086028672884</v>
      </c>
      <c r="EO36" s="60">
        <f ca="1">AVERAGE(OFFSET($EN$3,0,0,'Données projet'!$E$15+1,1))-AVERAGE(OFFSET($H$3,0,0,'Données projet'!$E$15+1,1))</f>
        <v>483.60545605360528</v>
      </c>
      <c r="EP36" s="60">
        <f t="shared" si="46"/>
        <v>256.96685577560345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60.808714733170241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0" t="e">
        <f t="shared" si="23"/>
        <v>#N/A</v>
      </c>
      <c r="FJ36" s="60" t="e">
        <f ca="1">AVERAGE(OFFSET($FI$3,0,0,'Données projet'!$E$16+1,1))-AVERAGE(OFFSET($H$3,0,0,'Données projet'!$E$16+1,1))</f>
        <v>#N/A</v>
      </c>
      <c r="FK36" s="60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60.808714733170241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0" t="e">
        <f t="shared" si="26"/>
        <v>#N/A</v>
      </c>
      <c r="GE36" s="60" t="e">
        <f ca="1">AVERAGE(OFFSET($GD$3,0,0,'Données projet'!$E$17+1,1))-AVERAGE(OFFSET($H$3,0,0,'Données projet'!$E$17+1,1))</f>
        <v>#N/A</v>
      </c>
      <c r="GF36" s="60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60.808714733170241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4">
        <f>'Scénario référence'!$B$16*5+'Scénario référence'!$B$17*0+'Scénario référence'!$B$18*5</f>
        <v>3.2750000000000004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12.008333333333335</v>
      </c>
      <c r="H37" s="67">
        <f t="shared" si="1"/>
        <v>208.63333333333333</v>
      </c>
      <c r="I37" s="7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60.96816298391429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129</v>
      </c>
      <c r="O37" s="14">
        <f>N37*VLOOKUP('Données projet'!$B$9,Paramètres!$A$1:$I$89,3,0)*VLOOKUP('Données projet'!$B$9,Paramètres!$A$1:$I$89,5,0)</f>
        <v>130.80600000000001</v>
      </c>
      <c r="P37" s="14">
        <f t="shared" si="33"/>
        <v>34.182535218254564</v>
      </c>
      <c r="Q37" s="22">
        <f t="shared" si="53"/>
        <v>287.35503217179337</v>
      </c>
      <c r="R37" s="60">
        <f t="shared" si="0"/>
        <v>547.57162977947905</v>
      </c>
      <c r="S37" s="60">
        <f ca="1">AVERAGE(OFFSET($R$3,0,0,'Données projet'!$E$9+1,1))-AVERAGE(OFFSET($H$3,0,0,'Données projet'!$E$9+1,1))</f>
        <v>503.64055031157477</v>
      </c>
      <c r="T37" s="60">
        <f t="shared" si="34"/>
        <v>266.76572540460842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60.96816298391429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IF('Données projet'!$A$62&gt;35,AI36+AH37-AQ36,IF(A37&lt;'Données projet'!$A$62,$AF$205^A37,IF(A37='Données projet'!$A$62,'Données projet'!$B$62,AI36+AH37-AQ36)))</f>
        <v>129</v>
      </c>
      <c r="AJ37" s="14">
        <f>AI37*VLOOKUP('Données projet'!$B$10,Paramètres!$A$1:$I$89,3,0)*VLOOKUP('Données projet'!$B$10,Paramètres!$A$1:$I$89,5,0)</f>
        <v>116.71919999999999</v>
      </c>
      <c r="AK37" s="14">
        <f t="shared" si="35"/>
        <v>30.908576435525887</v>
      </c>
      <c r="AL37" s="22">
        <f t="shared" si="4"/>
        <v>257.1183772918742</v>
      </c>
      <c r="AM37" s="60">
        <f t="shared" si="5"/>
        <v>517.33497489955994</v>
      </c>
      <c r="AN37" s="60">
        <f ca="1">AVERAGE(OFFSET($AM$3,0,0,'Données projet'!$E$10+1,1))-AVERAGE(OFFSET($H$3,0,0,'Données projet'!$E$10+1,1))</f>
        <v>456.86058467343139</v>
      </c>
      <c r="AO37" s="60">
        <f t="shared" si="36"/>
        <v>243.88495931574937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60.96816298391429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6.7948717948717956</v>
      </c>
      <c r="BD37" s="13">
        <f>IF('Données projet'!$A$88&gt;35,BD36+BC37-BL36,IF(A37&lt;'Données projet'!$A$88,$BA$205^A37,IF(A37='Données projet'!$A$88,'Données projet'!$B$88,BD36+BC37-BL36)))</f>
        <v>124.61538461538458</v>
      </c>
      <c r="BE37" s="14">
        <f>BD37*VLOOKUP('Données projet'!$B$11,Paramètres!$A$1:$I$89,3,0)*VLOOKUP('Données projet'!$B$11,Paramètres!$A$1:$I$89,5,0)</f>
        <v>130.24799999999999</v>
      </c>
      <c r="BF37" s="14">
        <f t="shared" si="37"/>
        <v>34.053658492903352</v>
      </c>
      <c r="BG37" s="22">
        <f t="shared" si="7"/>
        <v>286.15872187513997</v>
      </c>
      <c r="BH37" s="60">
        <f t="shared" si="8"/>
        <v>546.37531948282572</v>
      </c>
      <c r="BI37" s="60">
        <f ca="1">AVERAGE(OFFSET($BH$3,0,0,'Données projet'!$E$11+1,1))-AVERAGE(OFFSET($H$3,0,0,'Données projet'!$E$11+1,1))</f>
        <v>518.47226207416952</v>
      </c>
      <c r="BJ37" s="60">
        <f t="shared" si="38"/>
        <v>314.6379787306804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60.96816298391429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8</v>
      </c>
      <c r="BY37" s="13">
        <f>IF('Données projet'!$A$114&gt;35,BY36+BX37-CG36,IF(A37&lt;'Données projet'!$A$114,$BV$205^A37,IF(A37='Données projet'!$A$114,'Données projet'!$B$114,BY36+BX37-CG36)))</f>
        <v>129</v>
      </c>
      <c r="BZ37" s="14">
        <f>BY37*VLOOKUP('Données projet'!$B$12,Paramètres!$A$1:$I$89,3,0)*VLOOKUP('Données projet'!$B$12,Paramètres!$A$1:$I$89,5,0)</f>
        <v>138.85559999999998</v>
      </c>
      <c r="CA37" s="14">
        <f t="shared" si="39"/>
        <v>36.034714420414154</v>
      </c>
      <c r="CB37" s="22">
        <f t="shared" si="10"/>
        <v>304.60063094888795</v>
      </c>
      <c r="CC37" s="60">
        <f t="shared" si="11"/>
        <v>564.8172285565737</v>
      </c>
      <c r="CD37" s="60">
        <f ca="1">AVERAGE(OFFSET($CC$3,0,0,'Données projet'!$E$12+1,1))-AVERAGE(OFFSET($H$3,0,0,'Données projet'!$E$12+1,1))</f>
        <v>530.32456073177104</v>
      </c>
      <c r="CE37" s="60">
        <f t="shared" si="40"/>
        <v>279.81519428470625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60.96816298391429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10.780000000000001</v>
      </c>
      <c r="CT37" s="13">
        <f>IF('Données projet'!$A$140&gt;35,CT36+CS37-DB36,IF(A37&lt;'Données projet'!$A$140,$CQ$205^A37,IF(A37='Données projet'!$A$140,'Données projet'!$B$140,CT36+CS37-DB36)))</f>
        <v>161.62</v>
      </c>
      <c r="CU37" s="18">
        <f>CT37*VLOOKUP('Données projet'!$B$13,Paramètres!$A$1:$I$89,3,0)*VLOOKUP('Données projet'!$B$13,Paramètres!$A$1:$I$89,5,0)</f>
        <v>141.19123200000001</v>
      </c>
      <c r="CV37" s="14">
        <f t="shared" si="41"/>
        <v>36.569765303686403</v>
      </c>
      <c r="CW37" s="22">
        <f t="shared" si="13"/>
        <v>309.60040363725381</v>
      </c>
      <c r="CX37" s="60">
        <f t="shared" si="14"/>
        <v>569.81700124493955</v>
      </c>
      <c r="CY37" s="60">
        <f ca="1">AVERAGE(OFFSET($CX$3,0,0,'Données projet'!$E$13+1,1))-AVERAGE(OFFSET($H$3,0,0,'Données projet'!$E$13+1,1))</f>
        <v>355.03862261578701</v>
      </c>
      <c r="CZ37" s="60">
        <f t="shared" si="42"/>
        <v>382.84441399266029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60.96816298391429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11.5</v>
      </c>
      <c r="DO37" s="13">
        <f>IF('Données projet'!$A$166&gt;35,DO36+DN37-DW36,IF(A37&lt;'Données projet'!$A$166,$DL$205^A37,IF(A37='Données projet'!$A$166,'Données projet'!$B$166,DO36+DN37-DW36)))</f>
        <v>153.49999999999997</v>
      </c>
      <c r="DP37" s="18">
        <f>DO37*VLOOKUP('Données projet'!$B$14,Paramètres!$A$1:$I$89,3,0)*VLOOKUP('Données projet'!$B$14,Paramètres!$A$1:$I$89,5,0)</f>
        <v>119.72999999999998</v>
      </c>
      <c r="DQ37" s="14">
        <f t="shared" si="43"/>
        <v>31.612017974790529</v>
      </c>
      <c r="DR37" s="22">
        <f t="shared" si="16"/>
        <v>263.58734797276014</v>
      </c>
      <c r="DS37" s="60">
        <f t="shared" si="17"/>
        <v>523.80394558044588</v>
      </c>
      <c r="DT37" s="60">
        <f ca="1">AVERAGE(OFFSET($DS$3,0,0,'Données projet'!$E$14+1,1))-AVERAGE(OFFSET($H$3,0,0,'Données projet'!$E$14+1,1))</f>
        <v>305.68891030516761</v>
      </c>
      <c r="DU37" s="60">
        <f t="shared" si="44"/>
        <v>296.00275062228275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60.96816298391429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8</v>
      </c>
      <c r="EJ37" s="13">
        <f>IF('Données projet'!$A$192&gt;35,EJ36+EI37-ER36,IF(A37&lt;'Données projet'!$A$192,$EG$205^A37,IF(A37='Données projet'!$A$192,'Données projet'!$B$192,EJ36+EI37-ER36)))</f>
        <v>129</v>
      </c>
      <c r="EK37" s="18">
        <f>EJ37*VLOOKUP('Données projet'!$B$15,Paramètres!$A$1:$I$89,3,0)*VLOOKUP('Données projet'!$B$15,Paramètres!$A$1:$I$89,5,0)</f>
        <v>124.76880000000001</v>
      </c>
      <c r="EL37" s="14">
        <f t="shared" si="45"/>
        <v>32.784708369928126</v>
      </c>
      <c r="EM37" s="22">
        <f t="shared" si="19"/>
        <v>274.40569374429145</v>
      </c>
      <c r="EN37" s="60">
        <f t="shared" si="20"/>
        <v>534.6222913519772</v>
      </c>
      <c r="EO37" s="60">
        <f ca="1">AVERAGE(OFFSET($EN$3,0,0,'Données projet'!$E$15+1,1))-AVERAGE(OFFSET($H$3,0,0,'Données projet'!$E$15+1,1))</f>
        <v>483.60545605360528</v>
      </c>
      <c r="EP37" s="60">
        <f t="shared" si="46"/>
        <v>256.96685577560345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60.96816298391429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0" t="e">
        <f t="shared" si="23"/>
        <v>#N/A</v>
      </c>
      <c r="FJ37" s="60" t="e">
        <f ca="1">AVERAGE(OFFSET($FI$3,0,0,'Données projet'!$E$16+1,1))-AVERAGE(OFFSET($H$3,0,0,'Données projet'!$E$16+1,1))</f>
        <v>#N/A</v>
      </c>
      <c r="FK37" s="60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60.96816298391429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0" t="e">
        <f t="shared" si="26"/>
        <v>#N/A</v>
      </c>
      <c r="GE37" s="60" t="e">
        <f ca="1">AVERAGE(OFFSET($GD$3,0,0,'Données projet'!$E$17+1,1))-AVERAGE(OFFSET($H$3,0,0,'Données projet'!$E$17+1,1))</f>
        <v>#N/A</v>
      </c>
      <c r="GF37" s="60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60.96816298391429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4">
        <f>'Scénario référence'!$B$16*5+'Scénario référence'!$B$17*0+'Scénario référence'!$B$18*5</f>
        <v>3.2750000000000004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12.008333333333335</v>
      </c>
      <c r="H38" s="67">
        <f t="shared" si="1"/>
        <v>208.63333333333333</v>
      </c>
      <c r="I38" s="7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61.124845163980808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137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137</v>
      </c>
      <c r="O38" s="14">
        <f>N38*VLOOKUP('Données projet'!$B$9,Paramètres!$A$1:$I$89,3,0)*VLOOKUP('Données projet'!$B$9,Paramètres!$A$1:$I$89,5,0)</f>
        <v>138.91800000000001</v>
      </c>
      <c r="P38" s="14">
        <f t="shared" si="33"/>
        <v>36.049022673886341</v>
      </c>
      <c r="Q38" s="22">
        <f t="shared" si="53"/>
        <v>304.73423115701871</v>
      </c>
      <c r="R38" s="60">
        <f t="shared" si="0"/>
        <v>565.52533009161493</v>
      </c>
      <c r="S38" s="60">
        <f ca="1">AVERAGE(OFFSET($R$3,0,0,'Données projet'!$E$9+1,1))-AVERAGE(OFFSET($H$3,0,0,'Données projet'!$E$9+1,1))</f>
        <v>503.64055031157477</v>
      </c>
      <c r="T38" s="60">
        <f t="shared" si="34"/>
        <v>266.76572540460842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42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61.124845163980808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137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IF('Données projet'!$A$62&gt;35,AI37+AH38-AQ37,IF(A38&lt;'Données projet'!$A$62,$AF$205^A38,IF(A38='Données projet'!$A$62,'Données projet'!$B$62,AI37+AH38-AQ37)))</f>
        <v>137</v>
      </c>
      <c r="AJ38" s="14">
        <f>AI38*VLOOKUP('Données projet'!$B$10,Paramètres!$A$1:$I$89,3,0)*VLOOKUP('Données projet'!$B$10,Paramètres!$A$1:$I$89,5,0)</f>
        <v>123.9576</v>
      </c>
      <c r="AK38" s="14">
        <f t="shared" si="35"/>
        <v>32.59629414926458</v>
      </c>
      <c r="AL38" s="22">
        <f t="shared" si="4"/>
        <v>272.6646989766358</v>
      </c>
      <c r="AM38" s="60">
        <f t="shared" si="5"/>
        <v>533.45579791123214</v>
      </c>
      <c r="AN38" s="60">
        <f ca="1">AVERAGE(OFFSET($AM$3,0,0,'Données projet'!$E$10+1,1))-AVERAGE(OFFSET($H$3,0,0,'Données projet'!$E$10+1,1))</f>
        <v>456.86058467343139</v>
      </c>
      <c r="AO38" s="60">
        <f t="shared" si="36"/>
        <v>243.88495931574937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42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61.124845163980808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131.41025641025641</v>
      </c>
      <c r="BB38" s="13">
        <f>VLOOKUP(A38,'Données projet'!$A$87:$I$107,9,0)</f>
        <v>6.7948717948717956</v>
      </c>
      <c r="BC38" s="13">
        <f t="array" ref="BC38">INDEX(BB:BB,MIN(IF(ISNUMBER(BB38:BB234),ROW(BB38:BB234),"")))</f>
        <v>6.7948717948717956</v>
      </c>
      <c r="BD38" s="13">
        <f>IF('Données projet'!$A$88&gt;35,BD37+BC38-BL37,IF(A38&lt;'Données projet'!$A$88,$BA$205^A38,IF(A38='Données projet'!$A$88,'Données projet'!$B$88,BD37+BC38-BL37)))</f>
        <v>131.41025641025638</v>
      </c>
      <c r="BE38" s="14">
        <f>BD38*VLOOKUP('Données projet'!$B$11,Paramètres!$A$1:$I$89,3,0)*VLOOKUP('Données projet'!$B$11,Paramètres!$A$1:$I$89,5,0)</f>
        <v>137.35</v>
      </c>
      <c r="BF38" s="14">
        <f t="shared" si="37"/>
        <v>35.68925416600387</v>
      </c>
      <c r="BG38" s="22">
        <f t="shared" si="7"/>
        <v>301.37670100579004</v>
      </c>
      <c r="BH38" s="60">
        <f t="shared" si="8"/>
        <v>562.16779994038632</v>
      </c>
      <c r="BI38" s="60">
        <f ca="1">AVERAGE(OFFSET($BH$3,0,0,'Données projet'!$E$11+1,1))-AVERAGE(OFFSET($H$3,0,0,'Données projet'!$E$11+1,1))</f>
        <v>518.47226207416952</v>
      </c>
      <c r="BJ38" s="60">
        <f t="shared" si="38"/>
        <v>314.6379787306804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61.124845163980808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137</v>
      </c>
      <c r="BW38" s="13">
        <f>VLOOKUP(A38,'Données projet'!$A$113:$I$133,9,0)</f>
        <v>8</v>
      </c>
      <c r="BX38" s="13">
        <f t="array" ref="BX38">INDEX(BW:BW,MIN(IF(ISNUMBER(BW38:BW234),ROW(BW38:BW234),"")))</f>
        <v>8</v>
      </c>
      <c r="BY38" s="13">
        <f>IF('Données projet'!$A$114&gt;35,BY37+BX38-CG37,IF(A38&lt;'Données projet'!$A$114,$BV$205^A38,IF(A38='Données projet'!$A$114,'Données projet'!$B$114,BY37+BX38-CG37)))</f>
        <v>137</v>
      </c>
      <c r="BZ38" s="14">
        <f>BY38*VLOOKUP('Données projet'!$B$12,Paramètres!$A$1:$I$89,3,0)*VLOOKUP('Données projet'!$B$12,Paramètres!$A$1:$I$89,5,0)</f>
        <v>147.46679999999998</v>
      </c>
      <c r="CA38" s="14">
        <f t="shared" si="39"/>
        <v>38.002337418636273</v>
      </c>
      <c r="CB38" s="22">
        <f t="shared" si="10"/>
        <v>323.02541433745813</v>
      </c>
      <c r="CC38" s="60">
        <f t="shared" si="11"/>
        <v>583.81651327205441</v>
      </c>
      <c r="CD38" s="60">
        <f ca="1">AVERAGE(OFFSET($CC$3,0,0,'Données projet'!$E$12+1,1))-AVERAGE(OFFSET($H$3,0,0,'Données projet'!$E$12+1,1))</f>
        <v>530.32456073177104</v>
      </c>
      <c r="CE38" s="60">
        <f t="shared" si="40"/>
        <v>279.81519428470625</v>
      </c>
      <c r="CF38" s="16">
        <f>IF(ISNA(VLOOKUP(A38,'Données projet'!$A$113:$I$133,3,0)),0,VLOOKUP(A38,'Données projet'!$A$113:$I$133,3,0))</f>
        <v>2</v>
      </c>
      <c r="CG38" s="16">
        <f>IF(ISNA(VLOOKUP(A38,'Données projet'!$A$113:$I$133,4,0)),0,VLOOKUP(A38,'Données projet'!$A$113:$I$133,4,0))</f>
        <v>42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61.124845163980808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172.4</v>
      </c>
      <c r="CR38" s="13">
        <f>VLOOKUP(A38,'Données projet'!$A$139:$I$159,9,0)</f>
        <v>10.780000000000001</v>
      </c>
      <c r="CS38" s="13">
        <f t="array" ref="CS38">INDEX(CR:CR,MIN(IF(ISNUMBER(CR38:CR234),ROW(CR38:CR234),"")))</f>
        <v>10.780000000000001</v>
      </c>
      <c r="CT38" s="13">
        <f>IF('Données projet'!$A$140&gt;35,CT37+CS38-DB37,IF(A38&lt;'Données projet'!$A$140,$CQ$205^A38,IF(A38='Données projet'!$A$140,'Données projet'!$B$140,CT37+CS38-DB37)))</f>
        <v>172.4</v>
      </c>
      <c r="CU38" s="18">
        <f>CT38*VLOOKUP('Données projet'!$B$13,Paramètres!$A$1:$I$89,3,0)*VLOOKUP('Données projet'!$B$13,Paramètres!$A$1:$I$89,5,0)</f>
        <v>150.60864000000004</v>
      </c>
      <c r="CV38" s="14">
        <f t="shared" si="41"/>
        <v>38.716868630535288</v>
      </c>
      <c r="CW38" s="22">
        <f t="shared" si="13"/>
        <v>329.74192753151567</v>
      </c>
      <c r="CX38" s="60">
        <f t="shared" si="14"/>
        <v>590.53302646611201</v>
      </c>
      <c r="CY38" s="60">
        <f ca="1">AVERAGE(OFFSET($CX$3,0,0,'Données projet'!$E$13+1,1))-AVERAGE(OFFSET($H$3,0,0,'Données projet'!$E$13+1,1))</f>
        <v>355.03862261578701</v>
      </c>
      <c r="CZ38" s="60">
        <f t="shared" si="42"/>
        <v>382.84441399266029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61.124845163980808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11.5</v>
      </c>
      <c r="DO38" s="13">
        <f>IF('Données projet'!$A$166&gt;35,DO37+DN38-DW37,IF(A38&lt;'Données projet'!$A$166,$DL$205^A38,IF(A38='Données projet'!$A$166,'Données projet'!$B$166,DO37+DN38-DW37)))</f>
        <v>164.99999999999997</v>
      </c>
      <c r="DP38" s="18">
        <f>DO38*VLOOKUP('Données projet'!$B$14,Paramètres!$A$1:$I$89,3,0)*VLOOKUP('Données projet'!$B$14,Paramètres!$A$1:$I$89,5,0)</f>
        <v>128.69999999999999</v>
      </c>
      <c r="DQ38" s="14">
        <f t="shared" si="43"/>
        <v>33.695792019186115</v>
      </c>
      <c r="DR38" s="22">
        <f t="shared" si="16"/>
        <v>282.83933776674911</v>
      </c>
      <c r="DS38" s="60">
        <f t="shared" si="17"/>
        <v>543.63043670134539</v>
      </c>
      <c r="DT38" s="60">
        <f ca="1">AVERAGE(OFFSET($DS$3,0,0,'Données projet'!$E$14+1,1))-AVERAGE(OFFSET($H$3,0,0,'Données projet'!$E$14+1,1))</f>
        <v>305.68891030516761</v>
      </c>
      <c r="DU38" s="60">
        <f t="shared" si="44"/>
        <v>296.00275062228275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61.124845163980808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137</v>
      </c>
      <c r="EH38" s="13">
        <f>VLOOKUP(A38,'Données projet'!$A$191:$I$211,9,0)</f>
        <v>8</v>
      </c>
      <c r="EI38" s="13">
        <f t="array" ref="EI38">INDEX(EH:EH,MIN(IF(ISNUMBER(EH38:EH234),ROW(EH38:EH234),"")))</f>
        <v>8</v>
      </c>
      <c r="EJ38" s="13">
        <f>IF('Données projet'!$A$192&gt;35,EJ37+EI38-ER37,IF(A38&lt;'Données projet'!$A$192,$EG$205^A38,IF(A38='Données projet'!$A$192,'Données projet'!$B$192,EJ37+EI38-ER37)))</f>
        <v>137</v>
      </c>
      <c r="EK38" s="18">
        <f>EJ38*VLOOKUP('Données projet'!$B$15,Paramètres!$A$1:$I$89,3,0)*VLOOKUP('Données projet'!$B$15,Paramètres!$A$1:$I$89,5,0)</f>
        <v>132.50640000000001</v>
      </c>
      <c r="EL38" s="14">
        <f t="shared" si="45"/>
        <v>34.574869530248939</v>
      </c>
      <c r="EM38" s="22">
        <f t="shared" si="19"/>
        <v>290.99987776518356</v>
      </c>
      <c r="EN38" s="60">
        <f t="shared" si="20"/>
        <v>551.79097669977978</v>
      </c>
      <c r="EO38" s="60">
        <f ca="1">AVERAGE(OFFSET($EN$3,0,0,'Données projet'!$E$15+1,1))-AVERAGE(OFFSET($H$3,0,0,'Données projet'!$E$15+1,1))</f>
        <v>483.60545605360528</v>
      </c>
      <c r="EP38" s="60">
        <f t="shared" si="46"/>
        <v>256.96685577560345</v>
      </c>
      <c r="EQ38" s="16">
        <f>IF(ISNA(VLOOKUP(A38,'Données projet'!$A$191:$I$211,3,0)),0,VLOOKUP(A38,'Données projet'!$A$191:$I$211,3,0))</f>
        <v>2</v>
      </c>
      <c r="ER38" s="16">
        <f>IF(ISNA(VLOOKUP(A38,'Données projet'!$A$191:$I$211,4,0)),0,VLOOKUP(A38,'Données projet'!$A$191:$I$211,4,0))</f>
        <v>42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61.124845163980808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0" t="e">
        <f t="shared" si="23"/>
        <v>#N/A</v>
      </c>
      <c r="FJ38" s="60" t="e">
        <f ca="1">AVERAGE(OFFSET($FI$3,0,0,'Données projet'!$E$16+1,1))-AVERAGE(OFFSET($H$3,0,0,'Données projet'!$E$16+1,1))</f>
        <v>#N/A</v>
      </c>
      <c r="FK38" s="60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61.124845163980808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0" t="e">
        <f t="shared" si="26"/>
        <v>#N/A</v>
      </c>
      <c r="GE38" s="60" t="e">
        <f ca="1">AVERAGE(OFFSET($GD$3,0,0,'Données projet'!$E$17+1,1))-AVERAGE(OFFSET($H$3,0,0,'Données projet'!$E$17+1,1))</f>
        <v>#N/A</v>
      </c>
      <c r="GF38" s="60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61.124845163980808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4">
        <f>'Scénario référence'!$B$16*5+'Scénario référence'!$B$17*0+'Scénario référence'!$B$18*5</f>
        <v>3.2750000000000004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12.008333333333335</v>
      </c>
      <c r="H39" s="67">
        <f t="shared" si="1"/>
        <v>208.63333333333333</v>
      </c>
      <c r="I39" s="7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61.278809258512055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103.4</v>
      </c>
      <c r="O39" s="14">
        <f>N39*VLOOKUP('Données projet'!$B$9,Paramètres!$A$1:$I$89,3,0)*VLOOKUP('Données projet'!$B$9,Paramètres!$A$1:$I$89,5,0)</f>
        <v>104.84760000000001</v>
      </c>
      <c r="P39" s="14">
        <f t="shared" si="33"/>
        <v>28.113670466115643</v>
      </c>
      <c r="Q39" s="22">
        <f t="shared" si="53"/>
        <v>231.57421272848475</v>
      </c>
      <c r="R39" s="60">
        <f t="shared" si="0"/>
        <v>492.92984667636233</v>
      </c>
      <c r="S39" s="60">
        <f ca="1">AVERAGE(OFFSET($R$3,0,0,'Données projet'!$E$9+1,1))-AVERAGE(OFFSET($H$3,0,0,'Données projet'!$E$9+1,1))</f>
        <v>503.64055031157477</v>
      </c>
      <c r="T39" s="60">
        <f t="shared" si="34"/>
        <v>266.76572540460842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61.278809258512055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103.4</v>
      </c>
      <c r="AJ39" s="14">
        <f>AI39*VLOOKUP('Données projet'!$B$10,Paramètres!$A$1:$I$89,3,0)*VLOOKUP('Données projet'!$B$10,Paramètres!$A$1:$I$89,5,0)</f>
        <v>93.556319999999999</v>
      </c>
      <c r="AK39" s="14">
        <f t="shared" si="35"/>
        <v>25.420979659258073</v>
      </c>
      <c r="AL39" s="22">
        <f t="shared" si="4"/>
        <v>207.21879690654114</v>
      </c>
      <c r="AM39" s="60">
        <f t="shared" si="5"/>
        <v>468.57443085441867</v>
      </c>
      <c r="AN39" s="60">
        <f ca="1">AVERAGE(OFFSET($AM$3,0,0,'Données projet'!$E$10+1,1))-AVERAGE(OFFSET($H$3,0,0,'Données projet'!$E$10+1,1))</f>
        <v>456.86058467343139</v>
      </c>
      <c r="AO39" s="60">
        <f t="shared" si="36"/>
        <v>243.88495931574937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61.278809258512055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6.5384615384615357</v>
      </c>
      <c r="BD39" s="13">
        <f>IF('Données projet'!$A$88&gt;35,BD38+BC39-BL38,IF(A39&lt;'Données projet'!$A$88,$BA$205^A39,IF(A39='Données projet'!$A$88,'Données projet'!$B$88,BD38+BC39-BL38)))</f>
        <v>137.94871794871793</v>
      </c>
      <c r="BE39" s="14">
        <f>BD39*VLOOKUP('Données projet'!$B$11,Paramètres!$A$1:$I$89,3,0)*VLOOKUP('Données projet'!$B$11,Paramètres!$A$1:$I$89,5,0)</f>
        <v>144.184</v>
      </c>
      <c r="BF39" s="14">
        <f t="shared" si="37"/>
        <v>37.253852236732257</v>
      </c>
      <c r="BG39" s="22">
        <f t="shared" si="7"/>
        <v>316.00425931230865</v>
      </c>
      <c r="BH39" s="60">
        <f t="shared" si="8"/>
        <v>577.35989326018625</v>
      </c>
      <c r="BI39" s="60">
        <f ca="1">AVERAGE(OFFSET($BH$3,0,0,'Données projet'!$E$11+1,1))-AVERAGE(OFFSET($H$3,0,0,'Données projet'!$E$11+1,1))</f>
        <v>518.47226207416952</v>
      </c>
      <c r="BJ39" s="60">
        <f t="shared" si="38"/>
        <v>314.6379787306804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61.278809258512055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8.4</v>
      </c>
      <c r="BY39" s="13">
        <f>IF('Données projet'!$A$114&gt;35,BY38+BX39-CG38,IF(A39&lt;'Données projet'!$A$114,$BV$205^A39,IF(A39='Données projet'!$A$114,'Données projet'!$B$114,BY38+BX39-CG38)))</f>
        <v>103.4</v>
      </c>
      <c r="BZ39" s="14">
        <f>BY39*VLOOKUP('Données projet'!$B$12,Paramètres!$A$1:$I$89,3,0)*VLOOKUP('Données projet'!$B$12,Paramètres!$A$1:$I$89,5,0)</f>
        <v>111.29976000000001</v>
      </c>
      <c r="CA39" s="14">
        <f t="shared" si="39"/>
        <v>29.637008492427388</v>
      </c>
      <c r="CB39" s="22">
        <f t="shared" si="10"/>
        <v>245.46487179097775</v>
      </c>
      <c r="CC39" s="60">
        <f t="shared" si="11"/>
        <v>506.82050573885533</v>
      </c>
      <c r="CD39" s="60">
        <f ca="1">AVERAGE(OFFSET($CC$3,0,0,'Données projet'!$E$12+1,1))-AVERAGE(OFFSET($H$3,0,0,'Données projet'!$E$12+1,1))</f>
        <v>530.32456073177104</v>
      </c>
      <c r="CE39" s="60">
        <f t="shared" si="40"/>
        <v>279.81519428470625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61.278809258512055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9.4399999999999977</v>
      </c>
      <c r="CT39" s="13">
        <f>IF('Données projet'!$A$140&gt;35,CT38+CS39-DB38,IF(A39&lt;'Données projet'!$A$140,$CQ$205^A39,IF(A39='Données projet'!$A$140,'Données projet'!$B$140,CT38+CS39-DB38)))</f>
        <v>181.84</v>
      </c>
      <c r="CU39" s="18">
        <f>CT39*VLOOKUP('Données projet'!$B$13,Paramètres!$A$1:$I$89,3,0)*VLOOKUP('Données projet'!$B$13,Paramètres!$A$1:$I$89,5,0)</f>
        <v>158.85542400000003</v>
      </c>
      <c r="CV39" s="14">
        <f t="shared" si="41"/>
        <v>40.584245324611537</v>
      </c>
      <c r="CW39" s="22">
        <f t="shared" si="13"/>
        <v>347.35742407369844</v>
      </c>
      <c r="CX39" s="60">
        <f t="shared" si="14"/>
        <v>608.71305802157599</v>
      </c>
      <c r="CY39" s="60">
        <f ca="1">AVERAGE(OFFSET($CX$3,0,0,'Données projet'!$E$13+1,1))-AVERAGE(OFFSET($H$3,0,0,'Données projet'!$E$13+1,1))</f>
        <v>355.03862261578701</v>
      </c>
      <c r="CZ39" s="60">
        <f t="shared" si="42"/>
        <v>382.84441399266029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61.278809258512055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11.5</v>
      </c>
      <c r="DO39" s="13">
        <f>IF('Données projet'!$A$166&gt;35,DO38+DN39-DW38,IF(A39&lt;'Données projet'!$A$166,$DL$205^A39,IF(A39='Données projet'!$A$166,'Données projet'!$B$166,DO38+DN39-DW38)))</f>
        <v>176.49999999999997</v>
      </c>
      <c r="DP39" s="18">
        <f>DO39*VLOOKUP('Données projet'!$B$14,Paramètres!$A$1:$I$89,3,0)*VLOOKUP('Données projet'!$B$14,Paramètres!$A$1:$I$89,5,0)</f>
        <v>137.66999999999999</v>
      </c>
      <c r="DQ39" s="14">
        <f t="shared" si="43"/>
        <v>35.762714965854656</v>
      </c>
      <c r="DR39" s="22">
        <f t="shared" si="16"/>
        <v>302.06197856553018</v>
      </c>
      <c r="DS39" s="60">
        <f t="shared" si="17"/>
        <v>563.41761251340768</v>
      </c>
      <c r="DT39" s="60">
        <f ca="1">AVERAGE(OFFSET($DS$3,0,0,'Données projet'!$E$14+1,1))-AVERAGE(OFFSET($H$3,0,0,'Données projet'!$E$14+1,1))</f>
        <v>305.68891030516761</v>
      </c>
      <c r="DU39" s="60">
        <f t="shared" si="44"/>
        <v>296.00275062228275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61.278809258512055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8.4</v>
      </c>
      <c r="EJ39" s="13">
        <f>IF('Données projet'!$A$192&gt;35,EJ38+EI39-ER38,IF(A39&lt;'Données projet'!$A$192,$EG$205^A39,IF(A39='Données projet'!$A$192,'Données projet'!$B$192,EJ38+EI39-ER38)))</f>
        <v>103.4</v>
      </c>
      <c r="EK39" s="18">
        <f>EJ39*VLOOKUP('Données projet'!$B$15,Paramètres!$A$1:$I$89,3,0)*VLOOKUP('Données projet'!$B$15,Paramètres!$A$1:$I$89,5,0)</f>
        <v>100.00848000000001</v>
      </c>
      <c r="EL39" s="14">
        <f t="shared" si="45"/>
        <v>26.964017781444337</v>
      </c>
      <c r="EM39" s="22">
        <f t="shared" si="19"/>
        <v>221.14376696934889</v>
      </c>
      <c r="EN39" s="60">
        <f t="shared" si="20"/>
        <v>482.49940091722647</v>
      </c>
      <c r="EO39" s="60">
        <f ca="1">AVERAGE(OFFSET($EN$3,0,0,'Données projet'!$E$15+1,1))-AVERAGE(OFFSET($H$3,0,0,'Données projet'!$E$15+1,1))</f>
        <v>483.60545605360528</v>
      </c>
      <c r="EP39" s="60">
        <f t="shared" si="46"/>
        <v>256.96685577560345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61.278809258512055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0" t="e">
        <f t="shared" si="23"/>
        <v>#N/A</v>
      </c>
      <c r="FJ39" s="60" t="e">
        <f ca="1">AVERAGE(OFFSET($FI$3,0,0,'Données projet'!$E$16+1,1))-AVERAGE(OFFSET($H$3,0,0,'Données projet'!$E$16+1,1))</f>
        <v>#N/A</v>
      </c>
      <c r="FK39" s="60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61.278809258512055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0" t="e">
        <f t="shared" si="26"/>
        <v>#N/A</v>
      </c>
      <c r="GE39" s="60" t="e">
        <f ca="1">AVERAGE(OFFSET($GD$3,0,0,'Données projet'!$E$17+1,1))-AVERAGE(OFFSET($H$3,0,0,'Données projet'!$E$17+1,1))</f>
        <v>#N/A</v>
      </c>
      <c r="GF39" s="60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61.278809258512055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4">
        <f>'Scénario référence'!$B$16*5+'Scénario référence'!$B$17*0+'Scénario référence'!$B$18*5</f>
        <v>3.2750000000000004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12.008333333333335</v>
      </c>
      <c r="H40" s="67">
        <f t="shared" si="1"/>
        <v>208.63333333333333</v>
      </c>
      <c r="I40" s="7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61.430102420215334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111.80000000000001</v>
      </c>
      <c r="O40" s="14">
        <f>N40*VLOOKUP('Données projet'!$B$9,Paramètres!$A$1:$I$89,3,0)*VLOOKUP('Données projet'!$B$9,Paramètres!$A$1:$I$89,5,0)</f>
        <v>113.36520000000003</v>
      </c>
      <c r="P40" s="14">
        <f t="shared" si="33"/>
        <v>30.122456058687614</v>
      </c>
      <c r="Q40" s="22">
        <f t="shared" si="53"/>
        <v>249.9076676355476</v>
      </c>
      <c r="R40" s="60">
        <f t="shared" si="0"/>
        <v>511.81804317633714</v>
      </c>
      <c r="S40" s="60">
        <f ca="1">AVERAGE(OFFSET($R$3,0,0,'Données projet'!$E$9+1,1))-AVERAGE(OFFSET($H$3,0,0,'Données projet'!$E$9+1,1))</f>
        <v>503.64055031157477</v>
      </c>
      <c r="T40" s="60">
        <f t="shared" si="34"/>
        <v>266.76572540460842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61.430102420215334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111.80000000000001</v>
      </c>
      <c r="AJ40" s="14">
        <f>AI40*VLOOKUP('Données projet'!$B$10,Paramètres!$A$1:$I$89,3,0)*VLOOKUP('Données projet'!$B$10,Paramètres!$A$1:$I$89,5,0)</f>
        <v>101.15664000000001</v>
      </c>
      <c r="AK40" s="14">
        <f t="shared" si="35"/>
        <v>27.237366379381644</v>
      </c>
      <c r="AL40" s="22">
        <f t="shared" si="4"/>
        <v>223.61956111075639</v>
      </c>
      <c r="AM40" s="60">
        <f t="shared" si="5"/>
        <v>485.529936651546</v>
      </c>
      <c r="AN40" s="60">
        <f ca="1">AVERAGE(OFFSET($AM$3,0,0,'Données projet'!$E$10+1,1))-AVERAGE(OFFSET($H$3,0,0,'Données projet'!$E$10+1,1))</f>
        <v>456.86058467343139</v>
      </c>
      <c r="AO40" s="60">
        <f t="shared" si="36"/>
        <v>243.88495931574937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61.430102420215334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6.5384615384615357</v>
      </c>
      <c r="BD40" s="13">
        <f>IF('Données projet'!$A$88&gt;35,BD39+BC40-BL39,IF(A40&lt;'Données projet'!$A$88,$BA$205^A40,IF(A40='Données projet'!$A$88,'Données projet'!$B$88,BD39+BC40-BL39)))</f>
        <v>144.48717948717947</v>
      </c>
      <c r="BE40" s="14">
        <f>BD40*VLOOKUP('Données projet'!$B$11,Paramètres!$A$1:$I$89,3,0)*VLOOKUP('Données projet'!$B$11,Paramètres!$A$1:$I$89,5,0)</f>
        <v>151.018</v>
      </c>
      <c r="BF40" s="14">
        <f t="shared" si="37"/>
        <v>38.809838626521376</v>
      </c>
      <c r="BG40" s="22">
        <f t="shared" si="7"/>
        <v>330.61681894119141</v>
      </c>
      <c r="BH40" s="60">
        <f t="shared" si="8"/>
        <v>592.52719448198104</v>
      </c>
      <c r="BI40" s="60">
        <f ca="1">AVERAGE(OFFSET($BH$3,0,0,'Données projet'!$E$11+1,1))-AVERAGE(OFFSET($H$3,0,0,'Données projet'!$E$11+1,1))</f>
        <v>518.47226207416952</v>
      </c>
      <c r="BJ40" s="60">
        <f t="shared" si="38"/>
        <v>314.6379787306804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61.430102420215334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8.4</v>
      </c>
      <c r="BY40" s="13">
        <f>IF('Données projet'!$A$114&gt;35,BY39+BX40-CG39,IF(A40&lt;'Données projet'!$A$114,$BV$205^A40,IF(A40='Données projet'!$A$114,'Données projet'!$B$114,BY39+BX40-CG39)))</f>
        <v>111.80000000000001</v>
      </c>
      <c r="BZ40" s="14">
        <f>BY40*VLOOKUP('Données projet'!$B$12,Paramètres!$A$1:$I$89,3,0)*VLOOKUP('Données projet'!$B$12,Paramètres!$A$1:$I$89,5,0)</f>
        <v>120.34152</v>
      </c>
      <c r="CA40" s="14">
        <f t="shared" si="39"/>
        <v>31.754640046026051</v>
      </c>
      <c r="CB40" s="22">
        <f t="shared" si="10"/>
        <v>264.90081208016204</v>
      </c>
      <c r="CC40" s="60">
        <f t="shared" si="11"/>
        <v>526.81118762095161</v>
      </c>
      <c r="CD40" s="60">
        <f ca="1">AVERAGE(OFFSET($CC$3,0,0,'Données projet'!$E$12+1,1))-AVERAGE(OFFSET($H$3,0,0,'Données projet'!$E$12+1,1))</f>
        <v>530.32456073177104</v>
      </c>
      <c r="CE40" s="60">
        <f t="shared" si="40"/>
        <v>279.81519428470625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61.430102420215334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9.4399999999999977</v>
      </c>
      <c r="CT40" s="13">
        <f>IF('Données projet'!$A$140&gt;35,CT39+CS40-DB39,IF(A40&lt;'Données projet'!$A$140,$CQ$205^A40,IF(A40='Données projet'!$A$140,'Données projet'!$B$140,CT39+CS40-DB39)))</f>
        <v>191.28</v>
      </c>
      <c r="CU40" s="18">
        <f>CT40*VLOOKUP('Données projet'!$B$13,Paramètres!$A$1:$I$89,3,0)*VLOOKUP('Données projet'!$B$13,Paramètres!$A$1:$I$89,5,0)</f>
        <v>167.10220800000002</v>
      </c>
      <c r="CV40" s="14">
        <f t="shared" si="41"/>
        <v>42.440366591968385</v>
      </c>
      <c r="CW40" s="22">
        <f t="shared" si="13"/>
        <v>364.95331741434489</v>
      </c>
      <c r="CX40" s="60">
        <f t="shared" si="14"/>
        <v>626.86369295513441</v>
      </c>
      <c r="CY40" s="60">
        <f ca="1">AVERAGE(OFFSET($CX$3,0,0,'Données projet'!$E$13+1,1))-AVERAGE(OFFSET($H$3,0,0,'Données projet'!$E$13+1,1))</f>
        <v>355.03862261578701</v>
      </c>
      <c r="CZ40" s="60">
        <f t="shared" si="42"/>
        <v>382.84441399266029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61.430102420215334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>
        <f>VLOOKUP(A40,'Données projet'!$A$165:$I$185,2,0)</f>
        <v>188</v>
      </c>
      <c r="DM40" s="13">
        <f>VLOOKUP(A40,'Données projet'!$A$165:$I$185,9,0)</f>
        <v>11.5</v>
      </c>
      <c r="DN40" s="13">
        <f t="array" ref="DN40">INDEX(DM:DM,MIN(IF(ISNUMBER(DM40:DM236),ROW(DM40:DM236),"")))</f>
        <v>11.5</v>
      </c>
      <c r="DO40" s="13">
        <f>IF('Données projet'!$A$166&gt;35,DO39+DN40-DW39,IF(A40&lt;'Données projet'!$A$166,$DL$205^A40,IF(A40='Données projet'!$A$166,'Données projet'!$B$166,DO39+DN40-DW39)))</f>
        <v>187.99999999999997</v>
      </c>
      <c r="DP40" s="18">
        <f>DO40*VLOOKUP('Données projet'!$B$14,Paramètres!$A$1:$I$89,3,0)*VLOOKUP('Données projet'!$B$14,Paramètres!$A$1:$I$89,5,0)</f>
        <v>146.63999999999999</v>
      </c>
      <c r="DQ40" s="14">
        <f t="shared" si="43"/>
        <v>37.814009712703026</v>
      </c>
      <c r="DR40" s="22">
        <f t="shared" si="16"/>
        <v>321.25740024962437</v>
      </c>
      <c r="DS40" s="60">
        <f t="shared" si="17"/>
        <v>583.167775790414</v>
      </c>
      <c r="DT40" s="60">
        <f ca="1">AVERAGE(OFFSET($DS$3,0,0,'Données projet'!$E$14+1,1))-AVERAGE(OFFSET($H$3,0,0,'Données projet'!$E$14+1,1))</f>
        <v>305.68891030516761</v>
      </c>
      <c r="DU40" s="60">
        <f t="shared" si="44"/>
        <v>296.00275062228275</v>
      </c>
      <c r="DV40" s="16">
        <f>IF(ISNA(VLOOKUP(A40,'Données projet'!$A$165:$I$185,3,0)),0,VLOOKUP(A40,'Données projet'!$A$165:$I$185,3,0))</f>
        <v>3</v>
      </c>
      <c r="DW40" s="16">
        <f>IF(ISNA(VLOOKUP(A40,'Données projet'!$A$165:$I$185,4,0)),0,VLOOKUP(A40,'Données projet'!$A$165:$I$185,4,0))</f>
        <v>36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61.430102420215334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8.4</v>
      </c>
      <c r="EJ40" s="13">
        <f>IF('Données projet'!$A$192&gt;35,EJ39+EI40-ER39,IF(A40&lt;'Données projet'!$A$192,$EG$205^A40,IF(A40='Données projet'!$A$192,'Données projet'!$B$192,EJ39+EI40-ER39)))</f>
        <v>111.80000000000001</v>
      </c>
      <c r="EK40" s="18">
        <f>EJ40*VLOOKUP('Données projet'!$B$15,Paramètres!$A$1:$I$89,3,0)*VLOOKUP('Données projet'!$B$15,Paramètres!$A$1:$I$89,5,0)</f>
        <v>108.13296000000001</v>
      </c>
      <c r="EL40" s="14">
        <f t="shared" si="45"/>
        <v>28.890658079177882</v>
      </c>
      <c r="EM40" s="22">
        <f t="shared" si="19"/>
        <v>238.64946815456815</v>
      </c>
      <c r="EN40" s="60">
        <f t="shared" si="20"/>
        <v>500.5598436953577</v>
      </c>
      <c r="EO40" s="60">
        <f ca="1">AVERAGE(OFFSET($EN$3,0,0,'Données projet'!$E$15+1,1))-AVERAGE(OFFSET($H$3,0,0,'Données projet'!$E$15+1,1))</f>
        <v>483.60545605360528</v>
      </c>
      <c r="EP40" s="60">
        <f t="shared" si="46"/>
        <v>256.96685577560345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61.430102420215334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0" t="e">
        <f t="shared" si="23"/>
        <v>#N/A</v>
      </c>
      <c r="FJ40" s="60" t="e">
        <f ca="1">AVERAGE(OFFSET($FI$3,0,0,'Données projet'!$E$16+1,1))-AVERAGE(OFFSET($H$3,0,0,'Données projet'!$E$16+1,1))</f>
        <v>#N/A</v>
      </c>
      <c r="FK40" s="60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61.430102420215334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0" t="e">
        <f t="shared" si="26"/>
        <v>#N/A</v>
      </c>
      <c r="GE40" s="60" t="e">
        <f ca="1">AVERAGE(OFFSET($GD$3,0,0,'Données projet'!$E$17+1,1))-AVERAGE(OFFSET($H$3,0,0,'Données projet'!$E$17+1,1))</f>
        <v>#N/A</v>
      </c>
      <c r="GF40" s="60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61.430102420215334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4">
        <f>'Scénario référence'!$B$16*5+'Scénario référence'!$B$17*0+'Scénario référence'!$B$18*5</f>
        <v>3.2750000000000004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12.008333333333335</v>
      </c>
      <c r="H41" s="67">
        <f t="shared" si="1"/>
        <v>208.63333333333333</v>
      </c>
      <c r="I41" s="7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61.578770983803899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120.20000000000002</v>
      </c>
      <c r="O41" s="14">
        <f>N41*VLOOKUP('Données projet'!$B$9,Paramètres!$A$1:$I$89,3,0)*VLOOKUP('Données projet'!$B$9,Paramètres!$A$1:$I$89,5,0)</f>
        <v>121.88280000000002</v>
      </c>
      <c r="P41" s="14">
        <f t="shared" si="33"/>
        <v>32.113732800054677</v>
      </c>
      <c r="Q41" s="22">
        <f t="shared" si="53"/>
        <v>268.21062796009522</v>
      </c>
      <c r="R41" s="60">
        <f t="shared" si="0"/>
        <v>530.66612156737619</v>
      </c>
      <c r="S41" s="60">
        <f ca="1">AVERAGE(OFFSET($R$3,0,0,'Données projet'!$E$9+1,1))-AVERAGE(OFFSET($H$3,0,0,'Données projet'!$E$9+1,1))</f>
        <v>503.64055031157477</v>
      </c>
      <c r="T41" s="60">
        <f t="shared" si="34"/>
        <v>266.76572540460842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61.578770983803899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120.20000000000002</v>
      </c>
      <c r="AJ41" s="14">
        <f>AI41*VLOOKUP('Données projet'!$B$10,Paramètres!$A$1:$I$89,3,0)*VLOOKUP('Données projet'!$B$10,Paramètres!$A$1:$I$89,5,0)</f>
        <v>108.75696000000002</v>
      </c>
      <c r="AK41" s="14">
        <f t="shared" si="35"/>
        <v>29.037921223305609</v>
      </c>
      <c r="AL41" s="22">
        <f t="shared" si="4"/>
        <v>239.99275146392395</v>
      </c>
      <c r="AM41" s="60">
        <f t="shared" si="5"/>
        <v>502.44824507120495</v>
      </c>
      <c r="AN41" s="60">
        <f ca="1">AVERAGE(OFFSET($AM$3,0,0,'Données projet'!$E$10+1,1))-AVERAGE(OFFSET($H$3,0,0,'Données projet'!$E$10+1,1))</f>
        <v>456.86058467343139</v>
      </c>
      <c r="AO41" s="60">
        <f t="shared" si="36"/>
        <v>243.88495931574937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61.578770983803899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6.5384615384615357</v>
      </c>
      <c r="BD41" s="13">
        <f>IF('Données projet'!$A$88&gt;35,BD40+BC41-BL40,IF(A41&lt;'Données projet'!$A$88,$BA$205^A41,IF(A41='Données projet'!$A$88,'Données projet'!$B$88,BD40+BC41-BL40)))</f>
        <v>151.02564102564102</v>
      </c>
      <c r="BE41" s="14">
        <f>BD41*VLOOKUP('Données projet'!$B$11,Paramètres!$A$1:$I$89,3,0)*VLOOKUP('Données projet'!$B$11,Paramètres!$A$1:$I$89,5,0)</f>
        <v>157.852</v>
      </c>
      <c r="BF41" s="14">
        <f t="shared" si="37"/>
        <v>40.357647559226351</v>
      </c>
      <c r="BG41" s="22">
        <f t="shared" si="7"/>
        <v>345.21513616565261</v>
      </c>
      <c r="BH41" s="60">
        <f t="shared" si="8"/>
        <v>607.67062977293358</v>
      </c>
      <c r="BI41" s="60">
        <f ca="1">AVERAGE(OFFSET($BH$3,0,0,'Données projet'!$E$11+1,1))-AVERAGE(OFFSET($H$3,0,0,'Données projet'!$E$11+1,1))</f>
        <v>518.47226207416952</v>
      </c>
      <c r="BJ41" s="60">
        <f t="shared" si="38"/>
        <v>314.6379787306804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61.578770983803899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8.4</v>
      </c>
      <c r="BY41" s="13">
        <f>IF('Données projet'!$A$114&gt;35,BY40+BX41-CG40,IF(A41&lt;'Données projet'!$A$114,$BV$205^A41,IF(A41='Données projet'!$A$114,'Données projet'!$B$114,BY40+BX41-CG40)))</f>
        <v>120.20000000000002</v>
      </c>
      <c r="BZ41" s="14">
        <f>BY41*VLOOKUP('Données projet'!$B$12,Paramètres!$A$1:$I$89,3,0)*VLOOKUP('Données projet'!$B$12,Paramètres!$A$1:$I$89,5,0)</f>
        <v>129.38328000000001</v>
      </c>
      <c r="CA41" s="14">
        <f t="shared" si="39"/>
        <v>33.853814032069536</v>
      </c>
      <c r="CB41" s="22">
        <f t="shared" si="10"/>
        <v>284.30460543918775</v>
      </c>
      <c r="CC41" s="60">
        <f t="shared" si="11"/>
        <v>546.76009904646867</v>
      </c>
      <c r="CD41" s="60">
        <f ca="1">AVERAGE(OFFSET($CC$3,0,0,'Données projet'!$E$12+1,1))-AVERAGE(OFFSET($H$3,0,0,'Données projet'!$E$12+1,1))</f>
        <v>530.32456073177104</v>
      </c>
      <c r="CE41" s="60">
        <f t="shared" si="40"/>
        <v>279.81519428470625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61.578770983803899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9.4399999999999977</v>
      </c>
      <c r="CT41" s="13">
        <f>IF('Données projet'!$A$140&gt;35,CT40+CS41-DB40,IF(A41&lt;'Données projet'!$A$140,$CQ$205^A41,IF(A41='Données projet'!$A$140,'Données projet'!$B$140,CT40+CS41-DB40)))</f>
        <v>200.72</v>
      </c>
      <c r="CU41" s="18">
        <f>CT41*VLOOKUP('Données projet'!$B$13,Paramètres!$A$1:$I$89,3,0)*VLOOKUP('Données projet'!$B$13,Paramètres!$A$1:$I$89,5,0)</f>
        <v>175.34899200000004</v>
      </c>
      <c r="CV41" s="14">
        <f t="shared" si="41"/>
        <v>44.285851301313052</v>
      </c>
      <c r="CW41" s="22">
        <f t="shared" si="13"/>
        <v>382.53068541645354</v>
      </c>
      <c r="CX41" s="60">
        <f t="shared" si="14"/>
        <v>644.98617902373451</v>
      </c>
      <c r="CY41" s="60">
        <f ca="1">AVERAGE(OFFSET($CX$3,0,0,'Données projet'!$E$13+1,1))-AVERAGE(OFFSET($H$3,0,0,'Données projet'!$E$13+1,1))</f>
        <v>355.03862261578701</v>
      </c>
      <c r="CZ41" s="60">
        <f t="shared" si="42"/>
        <v>382.84441399266029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61.578770983803899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11.142857142857142</v>
      </c>
      <c r="DO41" s="13">
        <f>IF('Données projet'!$A$166&gt;35,DO40+DN41-DW40,IF(A41&lt;'Données projet'!$A$166,$DL$205^A41,IF(A41='Données projet'!$A$166,'Données projet'!$B$166,DO40+DN41-DW40)))</f>
        <v>163.14285714285711</v>
      </c>
      <c r="DP41" s="18">
        <f>DO41*VLOOKUP('Données projet'!$B$14,Paramètres!$A$1:$I$89,3,0)*VLOOKUP('Données projet'!$B$14,Paramètres!$A$1:$I$89,5,0)</f>
        <v>127.25142857142855</v>
      </c>
      <c r="DQ41" s="14">
        <f t="shared" si="43"/>
        <v>33.360457439554281</v>
      </c>
      <c r="DR41" s="22">
        <f t="shared" si="16"/>
        <v>279.73236813579507</v>
      </c>
      <c r="DS41" s="60">
        <f t="shared" si="17"/>
        <v>542.18786174307604</v>
      </c>
      <c r="DT41" s="60">
        <f ca="1">AVERAGE(OFFSET($DS$3,0,0,'Données projet'!$E$14+1,1))-AVERAGE(OFFSET($H$3,0,0,'Données projet'!$E$14+1,1))</f>
        <v>305.68891030516761</v>
      </c>
      <c r="DU41" s="60">
        <f t="shared" si="44"/>
        <v>296.00275062228275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61.578770983803899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8.4</v>
      </c>
      <c r="EJ41" s="13">
        <f>IF('Données projet'!$A$192&gt;35,EJ40+EI41-ER40,IF(A41&lt;'Données projet'!$A$192,$EG$205^A41,IF(A41='Données projet'!$A$192,'Données projet'!$B$192,EJ40+EI41-ER40)))</f>
        <v>120.20000000000002</v>
      </c>
      <c r="EK41" s="18">
        <f>EJ41*VLOOKUP('Données projet'!$B$15,Paramètres!$A$1:$I$89,3,0)*VLOOKUP('Données projet'!$B$15,Paramètres!$A$1:$I$89,5,0)</f>
        <v>116.25744000000003</v>
      </c>
      <c r="EL41" s="14">
        <f t="shared" si="45"/>
        <v>30.800505515381992</v>
      </c>
      <c r="EM41" s="22">
        <f t="shared" si="19"/>
        <v>256.12592177262371</v>
      </c>
      <c r="EN41" s="60">
        <f t="shared" si="20"/>
        <v>518.58141537990468</v>
      </c>
      <c r="EO41" s="60">
        <f ca="1">AVERAGE(OFFSET($EN$3,0,0,'Données projet'!$E$15+1,1))-AVERAGE(OFFSET($H$3,0,0,'Données projet'!$E$15+1,1))</f>
        <v>483.60545605360528</v>
      </c>
      <c r="EP41" s="60">
        <f t="shared" si="46"/>
        <v>256.96685577560345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61.578770983803899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0" t="e">
        <f t="shared" si="23"/>
        <v>#N/A</v>
      </c>
      <c r="FJ41" s="60" t="e">
        <f ca="1">AVERAGE(OFFSET($FI$3,0,0,'Données projet'!$E$16+1,1))-AVERAGE(OFFSET($H$3,0,0,'Données projet'!$E$16+1,1))</f>
        <v>#N/A</v>
      </c>
      <c r="FK41" s="60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61.578770983803899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0" t="e">
        <f t="shared" si="26"/>
        <v>#N/A</v>
      </c>
      <c r="GE41" s="60" t="e">
        <f ca="1">AVERAGE(OFFSET($GD$3,0,0,'Données projet'!$E$17+1,1))-AVERAGE(OFFSET($H$3,0,0,'Données projet'!$E$17+1,1))</f>
        <v>#N/A</v>
      </c>
      <c r="GF41" s="60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61.578770983803899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4">
        <f>'Scénario référence'!$B$16*5+'Scénario référence'!$B$17*0+'Scénario référence'!$B$18*5</f>
        <v>3.2750000000000004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12.008333333333335</v>
      </c>
      <c r="H42" s="67">
        <f t="shared" si="1"/>
        <v>208.63333333333333</v>
      </c>
      <c r="I42" s="7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61.724860480187324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128.60000000000002</v>
      </c>
      <c r="O42" s="14">
        <f>N42*VLOOKUP('Données projet'!$B$9,Paramètres!$A$1:$I$89,3,0)*VLOOKUP('Données projet'!$B$9,Paramètres!$A$1:$I$89,5,0)</f>
        <v>130.40040000000002</v>
      </c>
      <c r="P42" s="14">
        <f t="shared" si="33"/>
        <v>34.088863450406919</v>
      </c>
      <c r="Q42" s="22">
        <f t="shared" si="53"/>
        <v>286.48546717612544</v>
      </c>
      <c r="R42" s="60">
        <f t="shared" si="0"/>
        <v>549.47662227014553</v>
      </c>
      <c r="S42" s="60">
        <f ca="1">AVERAGE(OFFSET($R$3,0,0,'Données projet'!$E$9+1,1))-AVERAGE(OFFSET($H$3,0,0,'Données projet'!$E$9+1,1))</f>
        <v>503.64055031157477</v>
      </c>
      <c r="T42" s="60">
        <f t="shared" si="34"/>
        <v>266.76572540460842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61.724860480187324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128.60000000000002</v>
      </c>
      <c r="AJ42" s="14">
        <f>AI42*VLOOKUP('Données projet'!$B$10,Paramètres!$A$1:$I$89,3,0)*VLOOKUP('Données projet'!$B$10,Paramètres!$A$1:$I$89,5,0)</f>
        <v>116.35728000000002</v>
      </c>
      <c r="AK42" s="14">
        <f t="shared" si="35"/>
        <v>30.823876427820704</v>
      </c>
      <c r="AL42" s="22">
        <f t="shared" si="4"/>
        <v>256.34051411178774</v>
      </c>
      <c r="AM42" s="60">
        <f t="shared" si="5"/>
        <v>519.33166920580788</v>
      </c>
      <c r="AN42" s="60">
        <f ca="1">AVERAGE(OFFSET($AM$3,0,0,'Données projet'!$E$10+1,1))-AVERAGE(OFFSET($H$3,0,0,'Données projet'!$E$10+1,1))</f>
        <v>456.86058467343139</v>
      </c>
      <c r="AO42" s="60">
        <f t="shared" si="36"/>
        <v>243.88495931574937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61.724860480187324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6.5384615384615357</v>
      </c>
      <c r="BD42" s="13">
        <f>IF('Données projet'!$A$88&gt;35,BD41+BC42-BL41,IF(A42&lt;'Données projet'!$A$88,$BA$205^A42,IF(A42='Données projet'!$A$88,'Données projet'!$B$88,BD41+BC42-BL41)))</f>
        <v>157.56410256410257</v>
      </c>
      <c r="BE42" s="14">
        <f>BD42*VLOOKUP('Données projet'!$B$11,Paramètres!$A$1:$I$89,3,0)*VLOOKUP('Données projet'!$B$11,Paramètres!$A$1:$I$89,5,0)</f>
        <v>164.68600000000001</v>
      </c>
      <c r="BF42" s="14">
        <f t="shared" si="37"/>
        <v>41.89767353409232</v>
      </c>
      <c r="BG42" s="22">
        <f t="shared" si="7"/>
        <v>359.79989807187752</v>
      </c>
      <c r="BH42" s="60">
        <f t="shared" si="8"/>
        <v>622.79105316589767</v>
      </c>
      <c r="BI42" s="60">
        <f ca="1">AVERAGE(OFFSET($BH$3,0,0,'Données projet'!$E$11+1,1))-AVERAGE(OFFSET($H$3,0,0,'Données projet'!$E$11+1,1))</f>
        <v>518.47226207416952</v>
      </c>
      <c r="BJ42" s="60">
        <f t="shared" si="38"/>
        <v>314.6379787306804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61.724860480187324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8.4</v>
      </c>
      <c r="BY42" s="13">
        <f>IF('Données projet'!$A$114&gt;35,BY41+BX42-CG41,IF(A42&lt;'Données projet'!$A$114,$BV$205^A42,IF(A42='Données projet'!$A$114,'Données projet'!$B$114,BY41+BX42-CG41)))</f>
        <v>128.60000000000002</v>
      </c>
      <c r="BZ42" s="14">
        <f>BY42*VLOOKUP('Données projet'!$B$12,Paramètres!$A$1:$I$89,3,0)*VLOOKUP('Données projet'!$B$12,Paramètres!$A$1:$I$89,5,0)</f>
        <v>138.42504000000002</v>
      </c>
      <c r="CA42" s="14">
        <f t="shared" si="39"/>
        <v>35.935967051850263</v>
      </c>
      <c r="CB42" s="22">
        <f t="shared" si="10"/>
        <v>303.67875394863927</v>
      </c>
      <c r="CC42" s="60">
        <f t="shared" si="11"/>
        <v>566.66990904265936</v>
      </c>
      <c r="CD42" s="60">
        <f ca="1">AVERAGE(OFFSET($CC$3,0,0,'Données projet'!$E$12+1,1))-AVERAGE(OFFSET($H$3,0,0,'Données projet'!$E$12+1,1))</f>
        <v>530.32456073177104</v>
      </c>
      <c r="CE42" s="60">
        <f t="shared" si="40"/>
        <v>279.81519428470625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61.724860480187324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9.4399999999999977</v>
      </c>
      <c r="CT42" s="13">
        <f>IF('Données projet'!$A$140&gt;35,CT41+CS42-DB41,IF(A42&lt;'Données projet'!$A$140,$CQ$205^A42,IF(A42='Données projet'!$A$140,'Données projet'!$B$140,CT41+CS42-DB41)))</f>
        <v>210.16</v>
      </c>
      <c r="CU42" s="18">
        <f>CT42*VLOOKUP('Données projet'!$B$13,Paramètres!$A$1:$I$89,3,0)*VLOOKUP('Données projet'!$B$13,Paramètres!$A$1:$I$89,5,0)</f>
        <v>183.59577600000003</v>
      </c>
      <c r="CV42" s="14">
        <f t="shared" si="41"/>
        <v>46.121256820129133</v>
      </c>
      <c r="CW42" s="22">
        <f t="shared" si="13"/>
        <v>400.09049882839162</v>
      </c>
      <c r="CX42" s="60">
        <f t="shared" si="14"/>
        <v>663.08165392241176</v>
      </c>
      <c r="CY42" s="60">
        <f ca="1">AVERAGE(OFFSET($CX$3,0,0,'Données projet'!$E$13+1,1))-AVERAGE(OFFSET($H$3,0,0,'Données projet'!$E$13+1,1))</f>
        <v>355.03862261578701</v>
      </c>
      <c r="CZ42" s="60">
        <f t="shared" si="42"/>
        <v>382.84441399266029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61.724860480187324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11.142857142857142</v>
      </c>
      <c r="DO42" s="13">
        <f>IF('Données projet'!$A$166&gt;35,DO41+DN42-DW41,IF(A42&lt;'Données projet'!$A$166,$DL$205^A42,IF(A42='Données projet'!$A$166,'Données projet'!$B$166,DO41+DN42-DW41)))</f>
        <v>174.28571428571425</v>
      </c>
      <c r="DP42" s="18">
        <f>DO42*VLOOKUP('Données projet'!$B$14,Paramètres!$A$1:$I$89,3,0)*VLOOKUP('Données projet'!$B$14,Paramètres!$A$1:$I$89,5,0)</f>
        <v>135.94285714285712</v>
      </c>
      <c r="DQ42" s="14">
        <f t="shared" si="43"/>
        <v>35.365986273808367</v>
      </c>
      <c r="DR42" s="22">
        <f t="shared" si="16"/>
        <v>298.36290228402572</v>
      </c>
      <c r="DS42" s="60">
        <f t="shared" si="17"/>
        <v>561.35405737804581</v>
      </c>
      <c r="DT42" s="60">
        <f ca="1">AVERAGE(OFFSET($DS$3,0,0,'Données projet'!$E$14+1,1))-AVERAGE(OFFSET($H$3,0,0,'Données projet'!$E$14+1,1))</f>
        <v>305.68891030516761</v>
      </c>
      <c r="DU42" s="60">
        <f t="shared" si="44"/>
        <v>296.00275062228275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61.724860480187324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8.4</v>
      </c>
      <c r="EJ42" s="13">
        <f>IF('Données projet'!$A$192&gt;35,EJ41+EI42-ER41,IF(A42&lt;'Données projet'!$A$192,$EG$205^A42,IF(A42='Données projet'!$A$192,'Données projet'!$B$192,EJ41+EI42-ER41)))</f>
        <v>128.60000000000002</v>
      </c>
      <c r="EK42" s="18">
        <f>EJ42*VLOOKUP('Données projet'!$B$15,Paramètres!$A$1:$I$89,3,0)*VLOOKUP('Données projet'!$B$15,Paramètres!$A$1:$I$89,5,0)</f>
        <v>124.38192000000002</v>
      </c>
      <c r="EL42" s="14">
        <f t="shared" si="45"/>
        <v>32.694867122876893</v>
      </c>
      <c r="EM42" s="22">
        <f t="shared" si="19"/>
        <v>273.5754042390106</v>
      </c>
      <c r="EN42" s="60">
        <f t="shared" si="20"/>
        <v>536.56655933303068</v>
      </c>
      <c r="EO42" s="60">
        <f ca="1">AVERAGE(OFFSET($EN$3,0,0,'Données projet'!$E$15+1,1))-AVERAGE(OFFSET($H$3,0,0,'Données projet'!$E$15+1,1))</f>
        <v>483.60545605360528</v>
      </c>
      <c r="EP42" s="60">
        <f t="shared" si="46"/>
        <v>256.96685577560345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61.724860480187324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0" t="e">
        <f t="shared" si="23"/>
        <v>#N/A</v>
      </c>
      <c r="FJ42" s="60" t="e">
        <f ca="1">AVERAGE(OFFSET($FI$3,0,0,'Données projet'!$E$16+1,1))-AVERAGE(OFFSET($H$3,0,0,'Données projet'!$E$16+1,1))</f>
        <v>#N/A</v>
      </c>
      <c r="FK42" s="60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61.724860480187324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0" t="e">
        <f t="shared" si="26"/>
        <v>#N/A</v>
      </c>
      <c r="GE42" s="60" t="e">
        <f ca="1">AVERAGE(OFFSET($GD$3,0,0,'Données projet'!$E$17+1,1))-AVERAGE(OFFSET($H$3,0,0,'Données projet'!$E$17+1,1))</f>
        <v>#N/A</v>
      </c>
      <c r="GF42" s="60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61.724860480187324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4">
        <f>'Scénario référence'!$B$16*5+'Scénario référence'!$B$17*0+'Scénario référence'!$B$18*5</f>
        <v>3.2750000000000004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12.008333333333335</v>
      </c>
      <c r="H43" s="67">
        <f t="shared" si="1"/>
        <v>208.63333333333333</v>
      </c>
      <c r="I43" s="7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61.86841565041567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137.00000000000003</v>
      </c>
      <c r="O43" s="14">
        <f>N43*VLOOKUP('Données projet'!$B$9,Paramètres!$A$1:$I$89,3,0)*VLOOKUP('Données projet'!$B$9,Paramètres!$A$1:$I$89,5,0)</f>
        <v>138.91800000000003</v>
      </c>
      <c r="P43" s="14">
        <f t="shared" si="33"/>
        <v>36.049022673886341</v>
      </c>
      <c r="Q43" s="22">
        <f t="shared" si="53"/>
        <v>304.73423115701877</v>
      </c>
      <c r="R43" s="60">
        <f t="shared" si="0"/>
        <v>568.25175520854282</v>
      </c>
      <c r="S43" s="60">
        <f ca="1">AVERAGE(OFFSET($R$3,0,0,'Données projet'!$E$9+1,1))-AVERAGE(OFFSET($H$3,0,0,'Données projet'!$E$9+1,1))</f>
        <v>503.64055031157477</v>
      </c>
      <c r="T43" s="60">
        <f t="shared" si="34"/>
        <v>266.76572540460842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61.86841565041567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137.00000000000003</v>
      </c>
      <c r="AJ43" s="14">
        <f>AI43*VLOOKUP('Données projet'!$B$10,Paramètres!$A$1:$I$89,3,0)*VLOOKUP('Données projet'!$B$10,Paramètres!$A$1:$I$89,5,0)</f>
        <v>123.95760000000001</v>
      </c>
      <c r="AK43" s="14">
        <f t="shared" si="35"/>
        <v>32.59629414926458</v>
      </c>
      <c r="AL43" s="22">
        <f t="shared" si="4"/>
        <v>272.6646989766358</v>
      </c>
      <c r="AM43" s="60">
        <f t="shared" si="5"/>
        <v>536.18222302815991</v>
      </c>
      <c r="AN43" s="60">
        <f ca="1">AVERAGE(OFFSET($AM$3,0,0,'Données projet'!$E$10+1,1))-AVERAGE(OFFSET($H$3,0,0,'Données projet'!$E$10+1,1))</f>
        <v>456.86058467343139</v>
      </c>
      <c r="AO43" s="60">
        <f t="shared" si="36"/>
        <v>243.88495931574937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61.86841565041567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164.10256410256409</v>
      </c>
      <c r="BB43" s="13">
        <f>VLOOKUP(A43,'Données projet'!$A$87:$I$107,9,0)</f>
        <v>6.5384615384615357</v>
      </c>
      <c r="BC43" s="13">
        <f t="array" ref="BC43">INDEX(BB:BB,MIN(IF(ISNUMBER(BB43:BB239),ROW(BB43:BB239),"")))</f>
        <v>6.5384615384615357</v>
      </c>
      <c r="BD43" s="13">
        <f>IF('Données projet'!$A$88&gt;35,BD42+BC43-BL42,IF(A43&lt;'Données projet'!$A$88,$BA$205^A43,IF(A43='Données projet'!$A$88,'Données projet'!$B$88,BD42+BC43-BL42)))</f>
        <v>164.10256410256412</v>
      </c>
      <c r="BE43" s="14">
        <f>BD43*VLOOKUP('Données projet'!$B$11,Paramètres!$A$1:$I$89,3,0)*VLOOKUP('Données projet'!$B$11,Paramètres!$A$1:$I$89,5,0)</f>
        <v>171.52000000000004</v>
      </c>
      <c r="BF43" s="14">
        <f t="shared" si="37"/>
        <v>43.430276456724698</v>
      </c>
      <c r="BG43" s="22">
        <f t="shared" si="7"/>
        <v>374.3717314954622</v>
      </c>
      <c r="BH43" s="60">
        <f t="shared" si="8"/>
        <v>637.88925554698631</v>
      </c>
      <c r="BI43" s="60">
        <f ca="1">AVERAGE(OFFSET($BH$3,0,0,'Données projet'!$E$11+1,1))-AVERAGE(OFFSET($H$3,0,0,'Données projet'!$E$11+1,1))</f>
        <v>518.47226207416952</v>
      </c>
      <c r="BJ43" s="60">
        <f t="shared" si="38"/>
        <v>314.6379787306804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22.435897435897434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61.86841565041567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137</v>
      </c>
      <c r="BW43" s="13">
        <f>VLOOKUP(A43,'Données projet'!$A$113:$I$133,9,0)</f>
        <v>8.4</v>
      </c>
      <c r="BX43" s="13">
        <f t="array" ref="BX43">INDEX(BW:BW,MIN(IF(ISNUMBER(BW43:BW239),ROW(BW43:BW239),"")))</f>
        <v>8.4</v>
      </c>
      <c r="BY43" s="13">
        <f>IF('Données projet'!$A$114&gt;35,BY42+BX43-CG42,IF(A43&lt;'Données projet'!$A$114,$BV$205^A43,IF(A43='Données projet'!$A$114,'Données projet'!$B$114,BY42+BX43-CG42)))</f>
        <v>137.00000000000003</v>
      </c>
      <c r="BZ43" s="14">
        <f>BY43*VLOOKUP('Données projet'!$B$12,Paramètres!$A$1:$I$89,3,0)*VLOOKUP('Données projet'!$B$12,Paramètres!$A$1:$I$89,5,0)</f>
        <v>147.46680000000003</v>
      </c>
      <c r="CA43" s="14">
        <f t="shared" si="39"/>
        <v>38.002337418636309</v>
      </c>
      <c r="CB43" s="22">
        <f t="shared" si="10"/>
        <v>323.02541433745824</v>
      </c>
      <c r="CC43" s="60">
        <f t="shared" si="11"/>
        <v>586.54293838898229</v>
      </c>
      <c r="CD43" s="60">
        <f ca="1">AVERAGE(OFFSET($CC$3,0,0,'Données projet'!$E$12+1,1))-AVERAGE(OFFSET($H$3,0,0,'Données projet'!$E$12+1,1))</f>
        <v>530.32456073177104</v>
      </c>
      <c r="CE43" s="60">
        <f t="shared" si="40"/>
        <v>279.81519428470625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61.86841565041567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219.6</v>
      </c>
      <c r="CR43" s="13">
        <f>VLOOKUP(A43,'Données projet'!$A$139:$I$159,9,0)</f>
        <v>9.4399999999999977</v>
      </c>
      <c r="CS43" s="13">
        <f t="array" ref="CS43">INDEX(CR:CR,MIN(IF(ISNUMBER(CR43:CR239),ROW(CR43:CR239),"")))</f>
        <v>9.4399999999999977</v>
      </c>
      <c r="CT43" s="13">
        <f>IF('Données projet'!$A$140&gt;35,CT42+CS43-DB42,IF(A43&lt;'Données projet'!$A$140,$CQ$205^A43,IF(A43='Données projet'!$A$140,'Données projet'!$B$140,CT42+CS43-DB42)))</f>
        <v>219.6</v>
      </c>
      <c r="CU43" s="18">
        <f>CT43*VLOOKUP('Données projet'!$B$13,Paramètres!$A$1:$I$89,3,0)*VLOOKUP('Données projet'!$B$13,Paramètres!$A$1:$I$89,5,0)</f>
        <v>191.84256000000002</v>
      </c>
      <c r="CV43" s="14">
        <f t="shared" si="41"/>
        <v>47.947087613384845</v>
      </c>
      <c r="CW43" s="22">
        <f t="shared" si="13"/>
        <v>417.63363625997863</v>
      </c>
      <c r="CX43" s="60">
        <f t="shared" si="14"/>
        <v>681.15116031150274</v>
      </c>
      <c r="CY43" s="60">
        <f ca="1">AVERAGE(OFFSET($CX$3,0,0,'Données projet'!$E$13+1,1))-AVERAGE(OFFSET($H$3,0,0,'Données projet'!$E$13+1,1))</f>
        <v>355.03862261578701</v>
      </c>
      <c r="CZ43" s="60">
        <f t="shared" si="42"/>
        <v>382.84441399266029</v>
      </c>
      <c r="DA43" s="16">
        <f>IF(ISNA(VLOOKUP(A43,'Données projet'!$A$139:$I$159,3,0)),0,VLOOKUP(A43,'Données projet'!$A$139:$I$159,3,0))</f>
        <v>3</v>
      </c>
      <c r="DB43" s="16">
        <f>IF(ISNA(VLOOKUP(A43,'Données projet'!$A$139:$I$159,4,0)),0,VLOOKUP(A43,'Données projet'!$A$139:$I$159,4,0))</f>
        <v>56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61.86841565041567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11.142857142857142</v>
      </c>
      <c r="DO43" s="13">
        <f>IF('Données projet'!$A$166&gt;35,DO42+DN43-DW42,IF(A43&lt;'Données projet'!$A$166,$DL$205^A43,IF(A43='Données projet'!$A$166,'Données projet'!$B$166,DO42+DN43-DW42)))</f>
        <v>185.42857142857139</v>
      </c>
      <c r="DP43" s="18">
        <f>DO43*VLOOKUP('Données projet'!$B$14,Paramètres!$A$1:$I$89,3,0)*VLOOKUP('Données projet'!$B$14,Paramètres!$A$1:$I$89,5,0)</f>
        <v>144.63428571428568</v>
      </c>
      <c r="DQ43" s="14">
        <f t="shared" si="43"/>
        <v>37.356634728420524</v>
      </c>
      <c r="DR43" s="22">
        <f t="shared" si="16"/>
        <v>316.96751977104663</v>
      </c>
      <c r="DS43" s="60">
        <f t="shared" si="17"/>
        <v>580.48504382257079</v>
      </c>
      <c r="DT43" s="60">
        <f ca="1">AVERAGE(OFFSET($DS$3,0,0,'Données projet'!$E$14+1,1))-AVERAGE(OFFSET($H$3,0,0,'Données projet'!$E$14+1,1))</f>
        <v>305.68891030516761</v>
      </c>
      <c r="DU43" s="60">
        <f t="shared" si="44"/>
        <v>296.00275062228275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61.86841565041567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137</v>
      </c>
      <c r="EH43" s="13">
        <f>VLOOKUP(A43,'Données projet'!$A$191:$I$211,9,0)</f>
        <v>8.4</v>
      </c>
      <c r="EI43" s="13">
        <f t="array" ref="EI43">INDEX(EH:EH,MIN(IF(ISNUMBER(EH43:EH239),ROW(EH43:EH239),"")))</f>
        <v>8.4</v>
      </c>
      <c r="EJ43" s="13">
        <f>IF('Données projet'!$A$192&gt;35,EJ42+EI43-ER42,IF(A43&lt;'Données projet'!$A$192,$EG$205^A43,IF(A43='Données projet'!$A$192,'Données projet'!$B$192,EJ42+EI43-ER42)))</f>
        <v>137.00000000000003</v>
      </c>
      <c r="EK43" s="18">
        <f>EJ43*VLOOKUP('Données projet'!$B$15,Paramètres!$A$1:$I$89,3,0)*VLOOKUP('Données projet'!$B$15,Paramètres!$A$1:$I$89,5,0)</f>
        <v>132.50640000000001</v>
      </c>
      <c r="EL43" s="14">
        <f t="shared" si="45"/>
        <v>34.574869530248939</v>
      </c>
      <c r="EM43" s="22">
        <f t="shared" si="19"/>
        <v>290.99987776518356</v>
      </c>
      <c r="EN43" s="60">
        <f t="shared" si="20"/>
        <v>554.51740181670766</v>
      </c>
      <c r="EO43" s="60">
        <f ca="1">AVERAGE(OFFSET($EN$3,0,0,'Données projet'!$E$15+1,1))-AVERAGE(OFFSET($H$3,0,0,'Données projet'!$E$15+1,1))</f>
        <v>483.60545605360528</v>
      </c>
      <c r="EP43" s="60">
        <f t="shared" si="46"/>
        <v>256.96685577560345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61.86841565041567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0" t="e">
        <f t="shared" si="23"/>
        <v>#N/A</v>
      </c>
      <c r="FJ43" s="60" t="e">
        <f ca="1">AVERAGE(OFFSET($FI$3,0,0,'Données projet'!$E$16+1,1))-AVERAGE(OFFSET($H$3,0,0,'Données projet'!$E$16+1,1))</f>
        <v>#N/A</v>
      </c>
      <c r="FK43" s="60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61.86841565041567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0" t="e">
        <f t="shared" si="26"/>
        <v>#N/A</v>
      </c>
      <c r="GE43" s="60" t="e">
        <f ca="1">AVERAGE(OFFSET($GD$3,0,0,'Données projet'!$E$17+1,1))-AVERAGE(OFFSET($H$3,0,0,'Données projet'!$E$17+1,1))</f>
        <v>#N/A</v>
      </c>
      <c r="GF43" s="60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61.86841565041567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4">
        <f>'Scénario référence'!$B$16*5+'Scénario référence'!$B$17*0+'Scénario référence'!$B$18*5</f>
        <v>3.2750000000000004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12.008333333333335</v>
      </c>
      <c r="H44" s="67">
        <f t="shared" si="1"/>
        <v>208.63333333333333</v>
      </c>
      <c r="I44" s="7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62.009480459381841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145.40000000000003</v>
      </c>
      <c r="O44" s="14">
        <f>N44*VLOOKUP('Données projet'!$B$9,Paramètres!$A$1:$I$89,3,0)*VLOOKUP('Données projet'!$B$9,Paramètres!$A$1:$I$89,5,0)</f>
        <v>147.43560000000002</v>
      </c>
      <c r="P44" s="14">
        <f t="shared" si="33"/>
        <v>37.99523294834102</v>
      </c>
      <c r="Q44" s="22">
        <f t="shared" si="53"/>
        <v>322.95870071836066</v>
      </c>
      <c r="R44" s="60">
        <f t="shared" si="0"/>
        <v>586.99346240276077</v>
      </c>
      <c r="S44" s="60">
        <f ca="1">AVERAGE(OFFSET($R$3,0,0,'Données projet'!$E$9+1,1))-AVERAGE(OFFSET($H$3,0,0,'Données projet'!$E$9+1,1))</f>
        <v>503.64055031157477</v>
      </c>
      <c r="T44" s="60">
        <f t="shared" si="34"/>
        <v>266.76572540460842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62.009480459381841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145.40000000000003</v>
      </c>
      <c r="AJ44" s="14">
        <f>AI44*VLOOKUP('Données projet'!$B$10,Paramètres!$A$1:$I$89,3,0)*VLOOKUP('Données projet'!$B$10,Paramètres!$A$1:$I$89,5,0)</f>
        <v>131.55792000000002</v>
      </c>
      <c r="AK44" s="14">
        <f t="shared" si="35"/>
        <v>34.3560989338864</v>
      </c>
      <c r="AL44" s="22">
        <f t="shared" si="4"/>
        <v>288.96691630985219</v>
      </c>
      <c r="AM44" s="60">
        <f t="shared" si="5"/>
        <v>553.0016779942523</v>
      </c>
      <c r="AN44" s="60">
        <f ca="1">AVERAGE(OFFSET($AM$3,0,0,'Données projet'!$E$10+1,1))-AVERAGE(OFFSET($H$3,0,0,'Données projet'!$E$10+1,1))</f>
        <v>456.86058467343139</v>
      </c>
      <c r="AO44" s="60">
        <f t="shared" si="36"/>
        <v>243.88495931574937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62.009480459381841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6.2820512820512819</v>
      </c>
      <c r="BD44" s="13">
        <f>IF('Données projet'!$A$88&gt;35,BD43+BC44-BL43,IF(A44&lt;'Données projet'!$A$88,$BA$205^A44,IF(A44='Données projet'!$A$88,'Données projet'!$B$88,BD43+BC44-BL43)))</f>
        <v>147.94871794871796</v>
      </c>
      <c r="BE44" s="14">
        <f>BD44*VLOOKUP('Données projet'!$B$11,Paramètres!$A$1:$I$89,3,0)*VLOOKUP('Données projet'!$B$11,Paramètres!$A$1:$I$89,5,0)</f>
        <v>154.63600000000002</v>
      </c>
      <c r="BF44" s="14">
        <f t="shared" si="37"/>
        <v>39.630259615196607</v>
      </c>
      <c r="BG44" s="22">
        <f t="shared" si="7"/>
        <v>338.34706882980078</v>
      </c>
      <c r="BH44" s="60">
        <f t="shared" si="8"/>
        <v>602.38183051420083</v>
      </c>
      <c r="BI44" s="60">
        <f ca="1">AVERAGE(OFFSET($BH$3,0,0,'Données projet'!$E$11+1,1))-AVERAGE(OFFSET($H$3,0,0,'Données projet'!$E$11+1,1))</f>
        <v>518.47226207416952</v>
      </c>
      <c r="BJ44" s="60">
        <f t="shared" si="38"/>
        <v>314.6379787306804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62.009480459381841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8.4</v>
      </c>
      <c r="BY44" s="13">
        <f>IF('Données projet'!$A$114&gt;35,BY43+BX44-CG43,IF(A44&lt;'Données projet'!$A$114,$BV$205^A44,IF(A44='Données projet'!$A$114,'Données projet'!$B$114,BY43+BX44-CG43)))</f>
        <v>145.40000000000003</v>
      </c>
      <c r="BZ44" s="14">
        <f>BY44*VLOOKUP('Données projet'!$B$12,Paramètres!$A$1:$I$89,3,0)*VLOOKUP('Données projet'!$B$12,Paramètres!$A$1:$I$89,5,0)</f>
        <v>156.50856000000005</v>
      </c>
      <c r="CA44" s="14">
        <f t="shared" si="39"/>
        <v>40.054003013194027</v>
      </c>
      <c r="CB44" s="22">
        <f t="shared" si="10"/>
        <v>342.34646391464634</v>
      </c>
      <c r="CC44" s="60">
        <f t="shared" si="11"/>
        <v>606.3812255990465</v>
      </c>
      <c r="CD44" s="60">
        <f ca="1">AVERAGE(OFFSET($CC$3,0,0,'Données projet'!$E$12+1,1))-AVERAGE(OFFSET($H$3,0,0,'Données projet'!$E$12+1,1))</f>
        <v>530.32456073177104</v>
      </c>
      <c r="CE44" s="60">
        <f t="shared" si="40"/>
        <v>279.81519428470625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62.009480459381841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8.2000000000000064</v>
      </c>
      <c r="CT44" s="13">
        <f>IF('Données projet'!$A$140&gt;35,CT43+CS44-DB43,IF(A44&lt;'Données projet'!$A$140,$CQ$205^A44,IF(A44='Données projet'!$A$140,'Données projet'!$B$140,CT43+CS44-DB43)))</f>
        <v>171.8</v>
      </c>
      <c r="CU44" s="18">
        <f>CT44*VLOOKUP('Données projet'!$B$13,Paramètres!$A$1:$I$89,3,0)*VLOOKUP('Données projet'!$B$13,Paramètres!$A$1:$I$89,5,0)</f>
        <v>150.08448000000001</v>
      </c>
      <c r="CV44" s="14">
        <f t="shared" si="41"/>
        <v>38.597783374841299</v>
      </c>
      <c r="CW44" s="22">
        <f t="shared" si="13"/>
        <v>328.62160871118198</v>
      </c>
      <c r="CX44" s="60">
        <f t="shared" si="14"/>
        <v>592.65637039558214</v>
      </c>
      <c r="CY44" s="60">
        <f ca="1">AVERAGE(OFFSET($CX$3,0,0,'Données projet'!$E$13+1,1))-AVERAGE(OFFSET($H$3,0,0,'Données projet'!$E$13+1,1))</f>
        <v>355.03862261578701</v>
      </c>
      <c r="CZ44" s="60">
        <f t="shared" si="42"/>
        <v>382.84441399266029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62.009480459381841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11.142857142857142</v>
      </c>
      <c r="DO44" s="13">
        <f>IF('Données projet'!$A$166&gt;35,DO43+DN44-DW43,IF(A44&lt;'Données projet'!$A$166,$DL$205^A44,IF(A44='Données projet'!$A$166,'Données projet'!$B$166,DO43+DN44-DW43)))</f>
        <v>196.57142857142853</v>
      </c>
      <c r="DP44" s="18">
        <f>DO44*VLOOKUP('Données projet'!$B$14,Paramètres!$A$1:$I$89,3,0)*VLOOKUP('Données projet'!$B$14,Paramètres!$A$1:$I$89,5,0)</f>
        <v>153.32571428571427</v>
      </c>
      <c r="DQ44" s="14">
        <f t="shared" si="43"/>
        <v>39.33339883761419</v>
      </c>
      <c r="DR44" s="22">
        <f t="shared" si="16"/>
        <v>335.54795535646372</v>
      </c>
      <c r="DS44" s="60">
        <f t="shared" si="17"/>
        <v>599.58271704086383</v>
      </c>
      <c r="DT44" s="60">
        <f ca="1">AVERAGE(OFFSET($DS$3,0,0,'Données projet'!$E$14+1,1))-AVERAGE(OFFSET($H$3,0,0,'Données projet'!$E$14+1,1))</f>
        <v>305.68891030516761</v>
      </c>
      <c r="DU44" s="60">
        <f t="shared" si="44"/>
        <v>296.00275062228275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62.009480459381841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8.4</v>
      </c>
      <c r="EJ44" s="13">
        <f>IF('Données projet'!$A$192&gt;35,EJ43+EI44-ER43,IF(A44&lt;'Données projet'!$A$192,$EG$205^A44,IF(A44='Données projet'!$A$192,'Données projet'!$B$192,EJ43+EI44-ER43)))</f>
        <v>145.40000000000003</v>
      </c>
      <c r="EK44" s="18">
        <f>EJ44*VLOOKUP('Données projet'!$B$15,Paramètres!$A$1:$I$89,3,0)*VLOOKUP('Données projet'!$B$15,Paramètres!$A$1:$I$89,5,0)</f>
        <v>140.63088000000005</v>
      </c>
      <c r="EL44" s="14">
        <f t="shared" si="45"/>
        <v>36.441493403146445</v>
      </c>
      <c r="EM44" s="22">
        <f t="shared" si="19"/>
        <v>308.40105034381344</v>
      </c>
      <c r="EN44" s="60">
        <f t="shared" si="20"/>
        <v>572.4358120282136</v>
      </c>
      <c r="EO44" s="60">
        <f ca="1">AVERAGE(OFFSET($EN$3,0,0,'Données projet'!$E$15+1,1))-AVERAGE(OFFSET($H$3,0,0,'Données projet'!$E$15+1,1))</f>
        <v>483.60545605360528</v>
      </c>
      <c r="EP44" s="60">
        <f t="shared" si="46"/>
        <v>256.96685577560345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62.009480459381841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0" t="e">
        <f t="shared" si="23"/>
        <v>#N/A</v>
      </c>
      <c r="FJ44" s="60" t="e">
        <f ca="1">AVERAGE(OFFSET($FI$3,0,0,'Données projet'!$E$16+1,1))-AVERAGE(OFFSET($H$3,0,0,'Données projet'!$E$16+1,1))</f>
        <v>#N/A</v>
      </c>
      <c r="FK44" s="60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62.009480459381841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0" t="e">
        <f t="shared" si="26"/>
        <v>#N/A</v>
      </c>
      <c r="GE44" s="60" t="e">
        <f ca="1">AVERAGE(OFFSET($GD$3,0,0,'Données projet'!$E$17+1,1))-AVERAGE(OFFSET($H$3,0,0,'Données projet'!$E$17+1,1))</f>
        <v>#N/A</v>
      </c>
      <c r="GF44" s="60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62.009480459381841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4">
        <f>'Scénario référence'!$B$16*5+'Scénario référence'!$B$17*0+'Scénario référence'!$B$18*5</f>
        <v>3.2750000000000004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12.008333333333335</v>
      </c>
      <c r="H45" s="67">
        <f t="shared" si="1"/>
        <v>208.63333333333333</v>
      </c>
      <c r="I45" s="7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62.14809810928611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153.80000000000004</v>
      </c>
      <c r="O45" s="14">
        <f>N45*VLOOKUP('Données projet'!$B$9,Paramètres!$A$1:$I$89,3,0)*VLOOKUP('Données projet'!$B$9,Paramètres!$A$1:$I$89,5,0)</f>
        <v>155.95320000000004</v>
      </c>
      <c r="P45" s="14">
        <f t="shared" si="33"/>
        <v>39.928391937903875</v>
      </c>
      <c r="Q45" s="22">
        <f t="shared" si="53"/>
        <v>341.16043929184929</v>
      </c>
      <c r="R45" s="60">
        <f t="shared" si="0"/>
        <v>605.70346569256503</v>
      </c>
      <c r="S45" s="60">
        <f ca="1">AVERAGE(OFFSET($R$3,0,0,'Données projet'!$E$9+1,1))-AVERAGE(OFFSET($H$3,0,0,'Données projet'!$E$9+1,1))</f>
        <v>503.64055031157477</v>
      </c>
      <c r="T45" s="60">
        <f t="shared" si="34"/>
        <v>266.76572540460842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62.14809810928611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153.80000000000004</v>
      </c>
      <c r="AJ45" s="14">
        <f>AI45*VLOOKUP('Données projet'!$B$10,Paramètres!$A$1:$I$89,3,0)*VLOOKUP('Données projet'!$B$10,Paramètres!$A$1:$I$89,5,0)</f>
        <v>139.15824000000003</v>
      </c>
      <c r="AK45" s="14">
        <f t="shared" si="35"/>
        <v>36.104102468715482</v>
      </c>
      <c r="AL45" s="22">
        <f t="shared" si="4"/>
        <v>305.24857979967953</v>
      </c>
      <c r="AM45" s="60">
        <f t="shared" si="5"/>
        <v>569.79160620039534</v>
      </c>
      <c r="AN45" s="60">
        <f ca="1">AVERAGE(OFFSET($AM$3,0,0,'Données projet'!$E$10+1,1))-AVERAGE(OFFSET($H$3,0,0,'Données projet'!$E$10+1,1))</f>
        <v>456.86058467343139</v>
      </c>
      <c r="AO45" s="60">
        <f t="shared" si="36"/>
        <v>243.88495931574937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62.14809810928611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6.2820512820512819</v>
      </c>
      <c r="BD45" s="13">
        <f>IF('Données projet'!$A$88&gt;35,BD44+BC45-BL44,IF(A45&lt;'Données projet'!$A$88,$BA$205^A45,IF(A45='Données projet'!$A$88,'Données projet'!$B$88,BD44+BC45-BL44)))</f>
        <v>154.23076923076923</v>
      </c>
      <c r="BE45" s="14">
        <f>BD45*VLOOKUP('Données projet'!$B$11,Paramètres!$A$1:$I$89,3,0)*VLOOKUP('Données projet'!$B$11,Paramètres!$A$1:$I$89,5,0)</f>
        <v>161.20200000000003</v>
      </c>
      <c r="BF45" s="14">
        <f t="shared" si="37"/>
        <v>41.113511653265036</v>
      </c>
      <c r="BG45" s="22">
        <f t="shared" si="7"/>
        <v>352.36618279610326</v>
      </c>
      <c r="BH45" s="60">
        <f t="shared" si="8"/>
        <v>616.90920919681901</v>
      </c>
      <c r="BI45" s="60">
        <f ca="1">AVERAGE(OFFSET($BH$3,0,0,'Données projet'!$E$11+1,1))-AVERAGE(OFFSET($H$3,0,0,'Données projet'!$E$11+1,1))</f>
        <v>518.47226207416952</v>
      </c>
      <c r="BJ45" s="60">
        <f t="shared" si="38"/>
        <v>314.6379787306804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62.14809810928611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8.4</v>
      </c>
      <c r="BY45" s="13">
        <f>IF('Données projet'!$A$114&gt;35,BY44+BX45-CG44,IF(A45&lt;'Données projet'!$A$114,$BV$205^A45,IF(A45='Données projet'!$A$114,'Données projet'!$B$114,BY44+BX45-CG44)))</f>
        <v>153.80000000000004</v>
      </c>
      <c r="BZ45" s="14">
        <f>BY45*VLOOKUP('Données projet'!$B$12,Paramètres!$A$1:$I$89,3,0)*VLOOKUP('Données projet'!$B$12,Paramètres!$A$1:$I$89,5,0)</f>
        <v>165.55032000000003</v>
      </c>
      <c r="CA45" s="14">
        <f t="shared" si="39"/>
        <v>42.091910139548794</v>
      </c>
      <c r="CB45" s="22">
        <f t="shared" si="10"/>
        <v>361.64355082638082</v>
      </c>
      <c r="CC45" s="60">
        <f t="shared" si="11"/>
        <v>626.18657722709656</v>
      </c>
      <c r="CD45" s="60">
        <f ca="1">AVERAGE(OFFSET($CC$3,0,0,'Données projet'!$E$12+1,1))-AVERAGE(OFFSET($H$3,0,0,'Données projet'!$E$12+1,1))</f>
        <v>530.32456073177104</v>
      </c>
      <c r="CE45" s="60">
        <f t="shared" si="40"/>
        <v>279.81519428470625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62.14809810928611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8.2000000000000064</v>
      </c>
      <c r="CT45" s="13">
        <f>IF('Données projet'!$A$140&gt;35,CT44+CS45-DB44,IF(A45&lt;'Données projet'!$A$140,$CQ$205^A45,IF(A45='Données projet'!$A$140,'Données projet'!$B$140,CT44+CS45-DB44)))</f>
        <v>180.00000000000003</v>
      </c>
      <c r="CU45" s="18">
        <f>CT45*VLOOKUP('Données projet'!$B$13,Paramètres!$A$1:$I$89,3,0)*VLOOKUP('Données projet'!$B$13,Paramètres!$A$1:$I$89,5,0)</f>
        <v>157.24800000000005</v>
      </c>
      <c r="CV45" s="14">
        <f t="shared" si="41"/>
        <v>40.221168744348645</v>
      </c>
      <c r="CW45" s="22">
        <f t="shared" si="13"/>
        <v>343.92546889640727</v>
      </c>
      <c r="CX45" s="60">
        <f t="shared" si="14"/>
        <v>608.46849529712301</v>
      </c>
      <c r="CY45" s="60">
        <f ca="1">AVERAGE(OFFSET($CX$3,0,0,'Données projet'!$E$13+1,1))-AVERAGE(OFFSET($H$3,0,0,'Données projet'!$E$13+1,1))</f>
        <v>355.03862261578701</v>
      </c>
      <c r="CZ45" s="60">
        <f t="shared" si="42"/>
        <v>382.84441399266029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62.14809810928611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11.142857142857142</v>
      </c>
      <c r="DO45" s="13">
        <f>IF('Données projet'!$A$166&gt;35,DO44+DN45-DW44,IF(A45&lt;'Données projet'!$A$166,$DL$205^A45,IF(A45='Données projet'!$A$166,'Données projet'!$B$166,DO44+DN45-DW44)))</f>
        <v>207.71428571428567</v>
      </c>
      <c r="DP45" s="18">
        <f>DO45*VLOOKUP('Données projet'!$B$14,Paramètres!$A$1:$I$89,3,0)*VLOOKUP('Données projet'!$B$14,Paramètres!$A$1:$I$89,5,0)</f>
        <v>162.01714285714283</v>
      </c>
      <c r="DQ45" s="14">
        <f t="shared" si="43"/>
        <v>41.297155335096676</v>
      </c>
      <c r="DR45" s="22">
        <f t="shared" si="16"/>
        <v>354.10573601815048</v>
      </c>
      <c r="DS45" s="60">
        <f t="shared" si="17"/>
        <v>618.64876241886623</v>
      </c>
      <c r="DT45" s="60">
        <f ca="1">AVERAGE(OFFSET($DS$3,0,0,'Données projet'!$E$14+1,1))-AVERAGE(OFFSET($H$3,0,0,'Données projet'!$E$14+1,1))</f>
        <v>305.68891030516761</v>
      </c>
      <c r="DU45" s="60">
        <f t="shared" si="44"/>
        <v>296.00275062228275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62.14809810928611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8.4</v>
      </c>
      <c r="EJ45" s="13">
        <f>IF('Données projet'!$A$192&gt;35,EJ44+EI45-ER44,IF(A45&lt;'Données projet'!$A$192,$EG$205^A45,IF(A45='Données projet'!$A$192,'Données projet'!$B$192,EJ44+EI45-ER44)))</f>
        <v>153.80000000000004</v>
      </c>
      <c r="EK45" s="18">
        <f>EJ45*VLOOKUP('Données projet'!$B$15,Paramètres!$A$1:$I$89,3,0)*VLOOKUP('Données projet'!$B$15,Paramètres!$A$1:$I$89,5,0)</f>
        <v>148.75536000000005</v>
      </c>
      <c r="EL45" s="14">
        <f t="shared" si="45"/>
        <v>38.295599697511591</v>
      </c>
      <c r="EM45" s="22">
        <f t="shared" si="19"/>
        <v>325.78042147316609</v>
      </c>
      <c r="EN45" s="60">
        <f t="shared" si="20"/>
        <v>590.32344787388183</v>
      </c>
      <c r="EO45" s="60">
        <f ca="1">AVERAGE(OFFSET($EN$3,0,0,'Données projet'!$E$15+1,1))-AVERAGE(OFFSET($H$3,0,0,'Données projet'!$E$15+1,1))</f>
        <v>483.60545605360528</v>
      </c>
      <c r="EP45" s="60">
        <f t="shared" si="46"/>
        <v>256.96685577560345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62.14809810928611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0" t="e">
        <f t="shared" si="23"/>
        <v>#N/A</v>
      </c>
      <c r="FJ45" s="60" t="e">
        <f ca="1">AVERAGE(OFFSET($FI$3,0,0,'Données projet'!$E$16+1,1))-AVERAGE(OFFSET($H$3,0,0,'Données projet'!$E$16+1,1))</f>
        <v>#N/A</v>
      </c>
      <c r="FK45" s="60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62.14809810928611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0" t="e">
        <f t="shared" si="26"/>
        <v>#N/A</v>
      </c>
      <c r="GE45" s="60" t="e">
        <f ca="1">AVERAGE(OFFSET($GD$3,0,0,'Données projet'!$E$17+1,1))-AVERAGE(OFFSET($H$3,0,0,'Données projet'!$E$17+1,1))</f>
        <v>#N/A</v>
      </c>
      <c r="GF45" s="60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62.14809810928611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4">
        <f>'Scénario référence'!$B$16*5+'Scénario référence'!$B$17*0+'Scénario référence'!$B$18*5</f>
        <v>3.2750000000000004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12.008333333333335</v>
      </c>
      <c r="H46" s="67">
        <f t="shared" si="1"/>
        <v>208.63333333333333</v>
      </c>
      <c r="I46" s="7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62.284311052867182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162.20000000000005</v>
      </c>
      <c r="O46" s="14">
        <f>N46*VLOOKUP('Données projet'!$B$9,Paramètres!$A$1:$I$89,3,0)*VLOOKUP('Données projet'!$B$9,Paramètres!$A$1:$I$89,5,0)</f>
        <v>164.47080000000005</v>
      </c>
      <c r="P46" s="14">
        <f t="shared" si="33"/>
        <v>41.849293714451377</v>
      </c>
      <c r="Q46" s="22">
        <f t="shared" si="53"/>
        <v>359.34082988600289</v>
      </c>
      <c r="R46" s="60">
        <f t="shared" si="0"/>
        <v>624.38330374651582</v>
      </c>
      <c r="S46" s="60">
        <f ca="1">AVERAGE(OFFSET($R$3,0,0,'Données projet'!$E$9+1,1))-AVERAGE(OFFSET($H$3,0,0,'Données projet'!$E$9+1,1))</f>
        <v>503.64055031157477</v>
      </c>
      <c r="T46" s="60">
        <f t="shared" si="34"/>
        <v>266.76572540460842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62.284311052867182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162.20000000000005</v>
      </c>
      <c r="AJ46" s="14">
        <f>AI46*VLOOKUP('Données projet'!$B$10,Paramètres!$A$1:$I$89,3,0)*VLOOKUP('Données projet'!$B$10,Paramètres!$A$1:$I$89,5,0)</f>
        <v>146.75856000000005</v>
      </c>
      <c r="AK46" s="14">
        <f t="shared" si="35"/>
        <v>37.841022770456242</v>
      </c>
      <c r="AL46" s="22">
        <f t="shared" si="4"/>
        <v>321.51093999187805</v>
      </c>
      <c r="AM46" s="60">
        <f t="shared" si="5"/>
        <v>586.55341385239103</v>
      </c>
      <c r="AN46" s="60">
        <f ca="1">AVERAGE(OFFSET($AM$3,0,0,'Données projet'!$E$10+1,1))-AVERAGE(OFFSET($H$3,0,0,'Données projet'!$E$10+1,1))</f>
        <v>456.86058467343139</v>
      </c>
      <c r="AO46" s="60">
        <f t="shared" si="36"/>
        <v>243.88495931574937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62.284311052867182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6.2820512820512819</v>
      </c>
      <c r="BD46" s="13">
        <f>IF('Données projet'!$A$88&gt;35,BD45+BC46-BL45,IF(A46&lt;'Données projet'!$A$88,$BA$205^A46,IF(A46='Données projet'!$A$88,'Données projet'!$B$88,BD45+BC46-BL45)))</f>
        <v>160.5128205128205</v>
      </c>
      <c r="BE46" s="14">
        <f>BD46*VLOOKUP('Données projet'!$B$11,Paramètres!$A$1:$I$89,3,0)*VLOOKUP('Données projet'!$B$11,Paramètres!$A$1:$I$89,5,0)</f>
        <v>167.768</v>
      </c>
      <c r="BF46" s="14">
        <f t="shared" si="37"/>
        <v>42.589745970134487</v>
      </c>
      <c r="BG46" s="22">
        <f t="shared" si="7"/>
        <v>366.37307423131756</v>
      </c>
      <c r="BH46" s="60">
        <f t="shared" si="8"/>
        <v>631.41554809183049</v>
      </c>
      <c r="BI46" s="60">
        <f ca="1">AVERAGE(OFFSET($BH$3,0,0,'Données projet'!$E$11+1,1))-AVERAGE(OFFSET($H$3,0,0,'Données projet'!$E$11+1,1))</f>
        <v>518.47226207416952</v>
      </c>
      <c r="BJ46" s="60">
        <f t="shared" si="38"/>
        <v>314.6379787306804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62.284311052867182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8.4</v>
      </c>
      <c r="BY46" s="13">
        <f>IF('Données projet'!$A$114&gt;35,BY45+BX46-CG45,IF(A46&lt;'Données projet'!$A$114,$BV$205^A46,IF(A46='Données projet'!$A$114,'Données projet'!$B$114,BY45+BX46-CG45)))</f>
        <v>162.20000000000005</v>
      </c>
      <c r="BZ46" s="14">
        <f>BY46*VLOOKUP('Données projet'!$B$12,Paramètres!$A$1:$I$89,3,0)*VLOOKUP('Données projet'!$B$12,Paramètres!$A$1:$I$89,5,0)</f>
        <v>174.59208000000004</v>
      </c>
      <c r="CA46" s="14">
        <f t="shared" si="39"/>
        <v>44.116895896327598</v>
      </c>
      <c r="CB46" s="22">
        <f t="shared" si="10"/>
        <v>380.91813301943733</v>
      </c>
      <c r="CC46" s="60">
        <f t="shared" si="11"/>
        <v>645.96060687995032</v>
      </c>
      <c r="CD46" s="60">
        <f ca="1">AVERAGE(OFFSET($CC$3,0,0,'Données projet'!$E$12+1,1))-AVERAGE(OFFSET($H$3,0,0,'Données projet'!$E$12+1,1))</f>
        <v>530.32456073177104</v>
      </c>
      <c r="CE46" s="60">
        <f t="shared" si="40"/>
        <v>279.81519428470625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62.284311052867182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8.2000000000000064</v>
      </c>
      <c r="CT46" s="13">
        <f>IF('Données projet'!$A$140&gt;35,CT45+CS46-DB45,IF(A46&lt;'Données projet'!$A$140,$CQ$205^A46,IF(A46='Données projet'!$A$140,'Données projet'!$B$140,CT45+CS46-DB45)))</f>
        <v>188.20000000000005</v>
      </c>
      <c r="CU46" s="18">
        <f>CT46*VLOOKUP('Données projet'!$B$13,Paramètres!$A$1:$I$89,3,0)*VLOOKUP('Données projet'!$B$13,Paramètres!$A$1:$I$89,5,0)</f>
        <v>164.41152000000005</v>
      </c>
      <c r="CV46" s="14">
        <f t="shared" si="41"/>
        <v>41.835965488659532</v>
      </c>
      <c r="CW46" s="22">
        <f t="shared" si="13"/>
        <v>359.21437055941539</v>
      </c>
      <c r="CX46" s="60">
        <f t="shared" si="14"/>
        <v>624.25684441992837</v>
      </c>
      <c r="CY46" s="60">
        <f ca="1">AVERAGE(OFFSET($CX$3,0,0,'Données projet'!$E$13+1,1))-AVERAGE(OFFSET($H$3,0,0,'Données projet'!$E$13+1,1))</f>
        <v>355.03862261578701</v>
      </c>
      <c r="CZ46" s="60">
        <f t="shared" si="42"/>
        <v>382.84441399266029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62.284311052867182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11.142857142857142</v>
      </c>
      <c r="DO46" s="13">
        <f>IF('Données projet'!$A$166&gt;35,DO45+DN46-DW45,IF(A46&lt;'Données projet'!$A$166,$DL$205^A46,IF(A46='Données projet'!$A$166,'Données projet'!$B$166,DO45+DN46-DW45)))</f>
        <v>218.8571428571428</v>
      </c>
      <c r="DP46" s="18">
        <f>DO46*VLOOKUP('Données projet'!$B$14,Paramètres!$A$1:$I$89,3,0)*VLOOKUP('Données projet'!$B$14,Paramètres!$A$1:$I$89,5,0)</f>
        <v>170.70857142857139</v>
      </c>
      <c r="DQ46" s="14">
        <f t="shared" si="43"/>
        <v>43.248681576985412</v>
      </c>
      <c r="DR46" s="22">
        <f t="shared" si="16"/>
        <v>372.64221565134471</v>
      </c>
      <c r="DS46" s="60">
        <f t="shared" si="17"/>
        <v>637.68468951185764</v>
      </c>
      <c r="DT46" s="60">
        <f ca="1">AVERAGE(OFFSET($DS$3,0,0,'Données projet'!$E$14+1,1))-AVERAGE(OFFSET($H$3,0,0,'Données projet'!$E$14+1,1))</f>
        <v>305.68891030516761</v>
      </c>
      <c r="DU46" s="60">
        <f t="shared" si="44"/>
        <v>296.00275062228275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62.284311052867182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8.4</v>
      </c>
      <c r="EJ46" s="13">
        <f>IF('Données projet'!$A$192&gt;35,EJ45+EI46-ER45,IF(A46&lt;'Données projet'!$A$192,$EG$205^A46,IF(A46='Données projet'!$A$192,'Données projet'!$B$192,EJ45+EI46-ER45)))</f>
        <v>162.20000000000005</v>
      </c>
      <c r="EK46" s="18">
        <f>EJ46*VLOOKUP('Données projet'!$B$15,Paramètres!$A$1:$I$89,3,0)*VLOOKUP('Données projet'!$B$15,Paramètres!$A$1:$I$89,5,0)</f>
        <v>156.87984000000003</v>
      </c>
      <c r="EL46" s="14">
        <f t="shared" si="45"/>
        <v>40.137950013229407</v>
      </c>
      <c r="EM46" s="22">
        <f t="shared" si="19"/>
        <v>343.13931760637462</v>
      </c>
      <c r="EN46" s="60">
        <f t="shared" si="20"/>
        <v>608.1817914668876</v>
      </c>
      <c r="EO46" s="60">
        <f ca="1">AVERAGE(OFFSET($EN$3,0,0,'Données projet'!$E$15+1,1))-AVERAGE(OFFSET($H$3,0,0,'Données projet'!$E$15+1,1))</f>
        <v>483.60545605360528</v>
      </c>
      <c r="EP46" s="60">
        <f t="shared" si="46"/>
        <v>256.96685577560345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62.284311052867182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0" t="e">
        <f t="shared" si="23"/>
        <v>#N/A</v>
      </c>
      <c r="FJ46" s="60" t="e">
        <f ca="1">AVERAGE(OFFSET($FI$3,0,0,'Données projet'!$E$16+1,1))-AVERAGE(OFFSET($H$3,0,0,'Données projet'!$E$16+1,1))</f>
        <v>#N/A</v>
      </c>
      <c r="FK46" s="60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62.284311052867182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0" t="e">
        <f t="shared" si="26"/>
        <v>#N/A</v>
      </c>
      <c r="GE46" s="60" t="e">
        <f ca="1">AVERAGE(OFFSET($GD$3,0,0,'Données projet'!$E$17+1,1))-AVERAGE(OFFSET($H$3,0,0,'Données projet'!$E$17+1,1))</f>
        <v>#N/A</v>
      </c>
      <c r="GF46" s="60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62.284311052867182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4">
        <f>'Scénario référence'!$B$16*5+'Scénario référence'!$B$17*0+'Scénario référence'!$B$18*5</f>
        <v>3.2750000000000004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12.008333333333335</v>
      </c>
      <c r="H47" s="67">
        <f t="shared" si="1"/>
        <v>208.63333333333333</v>
      </c>
      <c r="I47" s="7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62.418161006403636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170.60000000000005</v>
      </c>
      <c r="O47" s="14">
        <f>N47*VLOOKUP('Données projet'!$B$9,Paramètres!$A$1:$I$89,3,0)*VLOOKUP('Données projet'!$B$9,Paramètres!$A$1:$I$89,5,0)</f>
        <v>172.98840000000007</v>
      </c>
      <c r="P47" s="14">
        <f t="shared" si="33"/>
        <v>43.758645457754092</v>
      </c>
      <c r="Q47" s="22">
        <f t="shared" si="53"/>
        <v>377.50110417225511</v>
      </c>
      <c r="R47" s="60">
        <f t="shared" si="0"/>
        <v>643.03436119573507</v>
      </c>
      <c r="S47" s="60">
        <f ca="1">AVERAGE(OFFSET($R$3,0,0,'Données projet'!$E$9+1,1))-AVERAGE(OFFSET($H$3,0,0,'Données projet'!$E$9+1,1))</f>
        <v>503.64055031157477</v>
      </c>
      <c r="T47" s="60">
        <f t="shared" si="34"/>
        <v>266.76572540460842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62.418161006403636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170.60000000000005</v>
      </c>
      <c r="AJ47" s="14">
        <f>AI47*VLOOKUP('Données projet'!$B$10,Paramètres!$A$1:$I$89,3,0)*VLOOKUP('Données projet'!$B$10,Paramètres!$A$1:$I$89,5,0)</f>
        <v>154.35888000000003</v>
      </c>
      <c r="AK47" s="14">
        <f t="shared" si="35"/>
        <v>39.567499286120309</v>
      </c>
      <c r="AL47" s="22">
        <f t="shared" si="4"/>
        <v>337.75511058999291</v>
      </c>
      <c r="AM47" s="60">
        <f t="shared" si="5"/>
        <v>603.28836761347293</v>
      </c>
      <c r="AN47" s="60">
        <f ca="1">AVERAGE(OFFSET($AM$3,0,0,'Données projet'!$E$10+1,1))-AVERAGE(OFFSET($H$3,0,0,'Données projet'!$E$10+1,1))</f>
        <v>456.86058467343139</v>
      </c>
      <c r="AO47" s="60">
        <f t="shared" si="36"/>
        <v>243.88495931574937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62.418161006403636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6.2820512820512819</v>
      </c>
      <c r="BD47" s="13">
        <f>IF('Données projet'!$A$88&gt;35,BD46+BC47-BL46,IF(A47&lt;'Données projet'!$A$88,$BA$205^A47,IF(A47='Données projet'!$A$88,'Données projet'!$B$88,BD46+BC47-BL46)))</f>
        <v>166.79487179487177</v>
      </c>
      <c r="BE47" s="14">
        <f>BD47*VLOOKUP('Données projet'!$B$11,Paramètres!$A$1:$I$89,3,0)*VLOOKUP('Données projet'!$B$11,Paramètres!$A$1:$I$89,5,0)</f>
        <v>174.334</v>
      </c>
      <c r="BF47" s="14">
        <f t="shared" si="37"/>
        <v>44.059268652696204</v>
      </c>
      <c r="BG47" s="22">
        <f t="shared" si="7"/>
        <v>380.3682762367792</v>
      </c>
      <c r="BH47" s="60">
        <f t="shared" si="8"/>
        <v>645.90153326025916</v>
      </c>
      <c r="BI47" s="60">
        <f ca="1">AVERAGE(OFFSET($BH$3,0,0,'Données projet'!$E$11+1,1))-AVERAGE(OFFSET($H$3,0,0,'Données projet'!$E$11+1,1))</f>
        <v>518.47226207416952</v>
      </c>
      <c r="BJ47" s="60">
        <f t="shared" si="38"/>
        <v>314.6379787306804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62.418161006403636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8.4</v>
      </c>
      <c r="BY47" s="13">
        <f>IF('Données projet'!$A$114&gt;35,BY46+BX47-CG46,IF(A47&lt;'Données projet'!$A$114,$BV$205^A47,IF(A47='Données projet'!$A$114,'Données projet'!$B$114,BY46+BX47-CG46)))</f>
        <v>170.60000000000005</v>
      </c>
      <c r="BZ47" s="14">
        <f>BY47*VLOOKUP('Données projet'!$B$12,Paramètres!$A$1:$I$89,3,0)*VLOOKUP('Données projet'!$B$12,Paramètres!$A$1:$I$89,5,0)</f>
        <v>183.63384000000005</v>
      </c>
      <c r="CA47" s="14">
        <f t="shared" si="39"/>
        <v>46.129705781806493</v>
      </c>
      <c r="CB47" s="22">
        <f t="shared" si="10"/>
        <v>400.17150890331305</v>
      </c>
      <c r="CC47" s="60">
        <f t="shared" si="11"/>
        <v>665.70476592679302</v>
      </c>
      <c r="CD47" s="60">
        <f ca="1">AVERAGE(OFFSET($CC$3,0,0,'Données projet'!$E$12+1,1))-AVERAGE(OFFSET($H$3,0,0,'Données projet'!$E$12+1,1))</f>
        <v>530.32456073177104</v>
      </c>
      <c r="CE47" s="60">
        <f t="shared" si="40"/>
        <v>279.81519428470625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62.418161006403636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8.2000000000000064</v>
      </c>
      <c r="CT47" s="13">
        <f>IF('Données projet'!$A$140&gt;35,CT46+CS47-DB46,IF(A47&lt;'Données projet'!$A$140,$CQ$205^A47,IF(A47='Données projet'!$A$140,'Données projet'!$B$140,CT46+CS47-DB46)))</f>
        <v>196.40000000000006</v>
      </c>
      <c r="CU47" s="18">
        <f>CT47*VLOOKUP('Données projet'!$B$13,Paramètres!$A$1:$I$89,3,0)*VLOOKUP('Données projet'!$B$13,Paramètres!$A$1:$I$89,5,0)</f>
        <v>171.57504000000009</v>
      </c>
      <c r="CV47" s="14">
        <f t="shared" si="41"/>
        <v>43.44259058996105</v>
      </c>
      <c r="CW47" s="22">
        <f t="shared" si="13"/>
        <v>374.48903994418225</v>
      </c>
      <c r="CX47" s="60">
        <f t="shared" si="14"/>
        <v>640.02229696766221</v>
      </c>
      <c r="CY47" s="60">
        <f ca="1">AVERAGE(OFFSET($CX$3,0,0,'Données projet'!$E$13+1,1))-AVERAGE(OFFSET($H$3,0,0,'Données projet'!$E$13+1,1))</f>
        <v>355.03862261578701</v>
      </c>
      <c r="CZ47" s="60">
        <f t="shared" si="42"/>
        <v>382.84441399266029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62.418161006403636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>
        <f>VLOOKUP(A47,'Données projet'!$A$165:$I$185,2,0)</f>
        <v>230</v>
      </c>
      <c r="DM47" s="13">
        <f>VLOOKUP(A47,'Données projet'!$A$165:$I$185,9,0)</f>
        <v>11.142857142857142</v>
      </c>
      <c r="DN47" s="13">
        <f t="array" ref="DN47">INDEX(DM:DM,MIN(IF(ISNUMBER(DM47:DM243),ROW(DM47:DM243),"")))</f>
        <v>11.142857142857142</v>
      </c>
      <c r="DO47" s="13">
        <f>IF('Données projet'!$A$166&gt;35,DO46+DN47-DW46,IF(A47&lt;'Données projet'!$A$166,$DL$205^A47,IF(A47='Données projet'!$A$166,'Données projet'!$B$166,DO46+DN47-DW46)))</f>
        <v>229.99999999999994</v>
      </c>
      <c r="DP47" s="18">
        <f>DO47*VLOOKUP('Données projet'!$B$14,Paramètres!$A$1:$I$89,3,0)*VLOOKUP('Données projet'!$B$14,Paramètres!$A$1:$I$89,5,0)</f>
        <v>179.39999999999995</v>
      </c>
      <c r="DQ47" s="14">
        <f t="shared" si="43"/>
        <v>45.188671291872232</v>
      </c>
      <c r="DR47" s="22">
        <f t="shared" si="16"/>
        <v>391.15860250001066</v>
      </c>
      <c r="DS47" s="60">
        <f t="shared" si="17"/>
        <v>656.69185952349062</v>
      </c>
      <c r="DT47" s="60">
        <f ca="1">AVERAGE(OFFSET($DS$3,0,0,'Données projet'!$E$14+1,1))-AVERAGE(OFFSET($H$3,0,0,'Données projet'!$E$14+1,1))</f>
        <v>305.68891030516761</v>
      </c>
      <c r="DU47" s="60">
        <f t="shared" si="44"/>
        <v>296.00275062228275</v>
      </c>
      <c r="DV47" s="16">
        <f>IF(ISNA(VLOOKUP(A47,'Données projet'!$A$165:$I$185,3,0)),0,VLOOKUP(A47,'Données projet'!$A$165:$I$185,3,0))</f>
        <v>4</v>
      </c>
      <c r="DW47" s="16">
        <f>IF(ISNA(VLOOKUP(A47,'Données projet'!$A$165:$I$185,4,0)),0,VLOOKUP(A47,'Données projet'!$A$165:$I$185,4,0))</f>
        <v>43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62.418161006403636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8.4</v>
      </c>
      <c r="EJ47" s="13">
        <f>IF('Données projet'!$A$192&gt;35,EJ46+EI47-ER46,IF(A47&lt;'Données projet'!$A$192,$EG$205^A47,IF(A47='Données projet'!$A$192,'Données projet'!$B$192,EJ46+EI47-ER46)))</f>
        <v>170.60000000000005</v>
      </c>
      <c r="EK47" s="18">
        <f>EJ47*VLOOKUP('Données projet'!$B$15,Paramètres!$A$1:$I$89,3,0)*VLOOKUP('Données projet'!$B$15,Paramètres!$A$1:$I$89,5,0)</f>
        <v>165.00432000000006</v>
      </c>
      <c r="EL47" s="14">
        <f t="shared" si="45"/>
        <v>41.969222611359086</v>
      </c>
      <c r="EM47" s="22">
        <f t="shared" si="19"/>
        <v>360.47892004811712</v>
      </c>
      <c r="EN47" s="60">
        <f t="shared" si="20"/>
        <v>626.01217707159708</v>
      </c>
      <c r="EO47" s="60">
        <f ca="1">AVERAGE(OFFSET($EN$3,0,0,'Données projet'!$E$15+1,1))-AVERAGE(OFFSET($H$3,0,0,'Données projet'!$E$15+1,1))</f>
        <v>483.60545605360528</v>
      </c>
      <c r="EP47" s="60">
        <f t="shared" si="46"/>
        <v>256.96685577560345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62.418161006403636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0" t="e">
        <f t="shared" si="23"/>
        <v>#N/A</v>
      </c>
      <c r="FJ47" s="60" t="e">
        <f ca="1">AVERAGE(OFFSET($FI$3,0,0,'Données projet'!$E$16+1,1))-AVERAGE(OFFSET($H$3,0,0,'Données projet'!$E$16+1,1))</f>
        <v>#N/A</v>
      </c>
      <c r="FK47" s="60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62.418161006403636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0" t="e">
        <f t="shared" si="26"/>
        <v>#N/A</v>
      </c>
      <c r="GE47" s="60" t="e">
        <f ca="1">AVERAGE(OFFSET($GD$3,0,0,'Données projet'!$E$17+1,1))-AVERAGE(OFFSET($H$3,0,0,'Données projet'!$E$17+1,1))</f>
        <v>#N/A</v>
      </c>
      <c r="GF47" s="60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62.418161006403636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4">
        <f>'Scénario référence'!$B$16*5+'Scénario référence'!$B$17*0+'Scénario référence'!$B$18*5</f>
        <v>3.2750000000000004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12.008333333333335</v>
      </c>
      <c r="H48" s="67">
        <f t="shared" si="1"/>
        <v>208.63333333333333</v>
      </c>
      <c r="I48" s="7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62.54968896248991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179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179.00000000000006</v>
      </c>
      <c r="O48" s="14">
        <f>N48*VLOOKUP('Données projet'!$B$9,Paramètres!$A$1:$I$89,3,0)*VLOOKUP('Données projet'!$B$9,Paramètres!$A$1:$I$89,5,0)</f>
        <v>181.50600000000006</v>
      </c>
      <c r="P48" s="14">
        <f t="shared" si="33"/>
        <v>45.657080773122978</v>
      </c>
      <c r="Q48" s="22">
        <f t="shared" si="53"/>
        <v>395.64236567985591</v>
      </c>
      <c r="R48" s="60">
        <f t="shared" si="0"/>
        <v>661.65789187565224</v>
      </c>
      <c r="S48" s="60">
        <f ca="1">AVERAGE(OFFSET($R$3,0,0,'Données projet'!$E$9+1,1))-AVERAGE(OFFSET($H$3,0,0,'Données projet'!$E$9+1,1))</f>
        <v>503.64055031157477</v>
      </c>
      <c r="T48" s="60">
        <f t="shared" si="34"/>
        <v>266.76572540460842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42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62.54968896248991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179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179.00000000000006</v>
      </c>
      <c r="AJ48" s="14">
        <f>AI48*VLOOKUP('Données projet'!$B$10,Paramètres!$A$1:$I$89,3,0)*VLOOKUP('Données projet'!$B$10,Paramètres!$A$1:$I$89,5,0)</f>
        <v>161.95920000000004</v>
      </c>
      <c r="AK48" s="14">
        <f t="shared" si="35"/>
        <v>41.284104935125725</v>
      </c>
      <c r="AL48" s="22">
        <f t="shared" si="4"/>
        <v>353.9820894286774</v>
      </c>
      <c r="AM48" s="60">
        <f t="shared" si="5"/>
        <v>619.99761562447372</v>
      </c>
      <c r="AN48" s="60">
        <f ca="1">AVERAGE(OFFSET($AM$3,0,0,'Données projet'!$E$10+1,1))-AVERAGE(OFFSET($H$3,0,0,'Données projet'!$E$10+1,1))</f>
        <v>456.86058467343139</v>
      </c>
      <c r="AO48" s="60">
        <f t="shared" si="36"/>
        <v>243.88495931574937</v>
      </c>
      <c r="AP48" s="16">
        <f>IF(ISNA(VLOOKUP(A48,'Données projet'!$A$61:$I$81,3,0)),0,VLOOKUP(A48,'Données projet'!$A$61:$I$81,3,0))</f>
        <v>3</v>
      </c>
      <c r="AQ48" s="16">
        <f>IF(ISNA(VLOOKUP(A48,'Données projet'!$A$61:$I$81,4,0)),0,VLOOKUP(A48,'Données projet'!$A$61:$I$81,4,0))</f>
        <v>42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62.54968896248991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173.07692307692307</v>
      </c>
      <c r="BB48" s="13">
        <f>VLOOKUP(A48,'Données projet'!$A$87:$I$107,9,0)</f>
        <v>6.2820512820512819</v>
      </c>
      <c r="BC48" s="13">
        <f t="array" ref="BC48">INDEX(BB:BB,MIN(IF(ISNUMBER(BB48:BB244),ROW(BB48:BB244),"")))</f>
        <v>6.2820512820512819</v>
      </c>
      <c r="BD48" s="13">
        <f>IF('Données projet'!$A$88&gt;35,BD47+BC48-BL47,IF(A48&lt;'Données projet'!$A$88,$BA$205^A48,IF(A48='Données projet'!$A$88,'Données projet'!$B$88,BD47+BC48-BL47)))</f>
        <v>173.07692307692304</v>
      </c>
      <c r="BE48" s="14">
        <f>BD48*VLOOKUP('Données projet'!$B$11,Paramètres!$A$1:$I$89,3,0)*VLOOKUP('Données projet'!$B$11,Paramètres!$A$1:$I$89,5,0)</f>
        <v>180.89999999999998</v>
      </c>
      <c r="BF48" s="14">
        <f t="shared" si="37"/>
        <v>45.522361425254346</v>
      </c>
      <c r="BG48" s="22">
        <f t="shared" si="7"/>
        <v>394.35227948231795</v>
      </c>
      <c r="BH48" s="60">
        <f t="shared" si="8"/>
        <v>660.36780567811434</v>
      </c>
      <c r="BI48" s="60">
        <f ca="1">AVERAGE(OFFSET($BH$3,0,0,'Données projet'!$E$11+1,1))-AVERAGE(OFFSET($H$3,0,0,'Données projet'!$E$11+1,1))</f>
        <v>518.47226207416952</v>
      </c>
      <c r="BJ48" s="60">
        <f t="shared" si="38"/>
        <v>314.6379787306804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62.54968896248991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179</v>
      </c>
      <c r="BW48" s="13">
        <f>VLOOKUP(A48,'Données projet'!$A$113:$I$133,9,0)</f>
        <v>8.4</v>
      </c>
      <c r="BX48" s="13">
        <f t="array" ref="BX48">INDEX(BW:BW,MIN(IF(ISNUMBER(BW48:BW244),ROW(BW48:BW244),"")))</f>
        <v>8.4</v>
      </c>
      <c r="BY48" s="13">
        <f>IF('Données projet'!$A$114&gt;35,BY47+BX48-CG47,IF(A48&lt;'Données projet'!$A$114,$BV$205^A48,IF(A48='Données projet'!$A$114,'Données projet'!$B$114,BY47+BX48-CG47)))</f>
        <v>179.00000000000006</v>
      </c>
      <c r="BZ48" s="14">
        <f>BY48*VLOOKUP('Données projet'!$B$12,Paramètres!$A$1:$I$89,3,0)*VLOOKUP('Données projet'!$B$12,Paramètres!$A$1:$I$89,5,0)</f>
        <v>192.67560000000006</v>
      </c>
      <c r="CA48" s="14">
        <f t="shared" si="39"/>
        <v>48.131007733172986</v>
      </c>
      <c r="CB48" s="22">
        <f t="shared" si="10"/>
        <v>419.40484180194306</v>
      </c>
      <c r="CC48" s="60">
        <f t="shared" si="11"/>
        <v>685.42036799773939</v>
      </c>
      <c r="CD48" s="60">
        <f ca="1">AVERAGE(OFFSET($CC$3,0,0,'Données projet'!$E$12+1,1))-AVERAGE(OFFSET($H$3,0,0,'Données projet'!$E$12+1,1))</f>
        <v>530.32456073177104</v>
      </c>
      <c r="CE48" s="60">
        <f t="shared" si="40"/>
        <v>279.81519428470625</v>
      </c>
      <c r="CF48" s="16">
        <f>IF(ISNA(VLOOKUP(A48,'Données projet'!$A$113:$I$133,3,0)),0,VLOOKUP(A48,'Données projet'!$A$113:$I$133,3,0))</f>
        <v>3</v>
      </c>
      <c r="CG48" s="16">
        <f>IF(ISNA(VLOOKUP(A48,'Données projet'!$A$113:$I$133,4,0)),0,VLOOKUP(A48,'Données projet'!$A$113:$I$133,4,0))</f>
        <v>42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62.54968896248991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204.60000000000002</v>
      </c>
      <c r="CR48" s="13">
        <f>VLOOKUP(A48,'Données projet'!$A$139:$I$159,9,0)</f>
        <v>8.2000000000000064</v>
      </c>
      <c r="CS48" s="13">
        <f t="array" ref="CS48">INDEX(CR:CR,MIN(IF(ISNUMBER(CR48:CR244),ROW(CR48:CR244),"")))</f>
        <v>8.2000000000000064</v>
      </c>
      <c r="CT48" s="13">
        <f>IF('Données projet'!$A$140&gt;35,CT47+CS48-DB47,IF(A48&lt;'Données projet'!$A$140,$CQ$205^A48,IF(A48='Données projet'!$A$140,'Données projet'!$B$140,CT47+CS48-DB47)))</f>
        <v>204.60000000000008</v>
      </c>
      <c r="CU48" s="18">
        <f>CT48*VLOOKUP('Données projet'!$B$13,Paramètres!$A$1:$I$89,3,0)*VLOOKUP('Données projet'!$B$13,Paramètres!$A$1:$I$89,5,0)</f>
        <v>178.73856000000009</v>
      </c>
      <c r="CV48" s="14">
        <f t="shared" si="41"/>
        <v>45.041424241265368</v>
      </c>
      <c r="CW48" s="22">
        <f t="shared" si="13"/>
        <v>389.75013922020395</v>
      </c>
      <c r="CX48" s="60">
        <f t="shared" si="14"/>
        <v>655.76566541600027</v>
      </c>
      <c r="CY48" s="60">
        <f ca="1">AVERAGE(OFFSET($CX$3,0,0,'Données projet'!$E$13+1,1))-AVERAGE(OFFSET($H$3,0,0,'Données projet'!$E$13+1,1))</f>
        <v>355.03862261578701</v>
      </c>
      <c r="CZ48" s="60">
        <f t="shared" si="42"/>
        <v>382.84441399266029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62.54968896248991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10.375</v>
      </c>
      <c r="DO48" s="13">
        <f>IF('Données projet'!$A$166&gt;35,DO47+DN48-DW47,IF(A48&lt;'Données projet'!$A$166,$DL$205^A48,IF(A48='Données projet'!$A$166,'Données projet'!$B$166,DO47+DN48-DW47)))</f>
        <v>197.37499999999994</v>
      </c>
      <c r="DP48" s="18">
        <f>DO48*VLOOKUP('Données projet'!$B$14,Paramètres!$A$1:$I$89,3,0)*VLOOKUP('Données projet'!$B$14,Paramètres!$A$1:$I$89,5,0)</f>
        <v>153.95249999999996</v>
      </c>
      <c r="DQ48" s="14">
        <f t="shared" si="43"/>
        <v>39.475441267837397</v>
      </c>
      <c r="DR48" s="22">
        <f t="shared" si="16"/>
        <v>336.88699770815003</v>
      </c>
      <c r="DS48" s="60">
        <f t="shared" si="17"/>
        <v>602.9025239039463</v>
      </c>
      <c r="DT48" s="60">
        <f ca="1">AVERAGE(OFFSET($DS$3,0,0,'Données projet'!$E$14+1,1))-AVERAGE(OFFSET($H$3,0,0,'Données projet'!$E$14+1,1))</f>
        <v>305.68891030516761</v>
      </c>
      <c r="DU48" s="60">
        <f t="shared" si="44"/>
        <v>296.00275062228275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62.54968896248991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179</v>
      </c>
      <c r="EH48" s="13">
        <f>VLOOKUP(A48,'Données projet'!$A$191:$I$211,9,0)</f>
        <v>8.4</v>
      </c>
      <c r="EI48" s="13">
        <f t="array" ref="EI48">INDEX(EH:EH,MIN(IF(ISNUMBER(EH48:EH244),ROW(EH48:EH244),"")))</f>
        <v>8.4</v>
      </c>
      <c r="EJ48" s="13">
        <f>IF('Données projet'!$A$192&gt;35,EJ47+EI48-ER47,IF(A48&lt;'Données projet'!$A$192,$EG$205^A48,IF(A48='Données projet'!$A$192,'Données projet'!$B$192,EJ47+EI48-ER47)))</f>
        <v>179.00000000000006</v>
      </c>
      <c r="EK48" s="18">
        <f>EJ48*VLOOKUP('Données projet'!$B$15,Paramètres!$A$1:$I$89,3,0)*VLOOKUP('Données projet'!$B$15,Paramètres!$A$1:$I$89,5,0)</f>
        <v>173.12880000000007</v>
      </c>
      <c r="EL48" s="14">
        <f t="shared" si="45"/>
        <v>43.790025187181634</v>
      </c>
      <c r="EM48" s="22">
        <f t="shared" si="19"/>
        <v>377.80028720100813</v>
      </c>
      <c r="EN48" s="60">
        <f t="shared" si="20"/>
        <v>643.81581339680451</v>
      </c>
      <c r="EO48" s="60">
        <f ca="1">AVERAGE(OFFSET($EN$3,0,0,'Données projet'!$E$15+1,1))-AVERAGE(OFFSET($H$3,0,0,'Données projet'!$E$15+1,1))</f>
        <v>483.60545605360528</v>
      </c>
      <c r="EP48" s="60">
        <f t="shared" si="46"/>
        <v>256.96685577560345</v>
      </c>
      <c r="EQ48" s="16">
        <f>IF(ISNA(VLOOKUP(A48,'Données projet'!$A$191:$I$211,3,0)),0,VLOOKUP(A48,'Données projet'!$A$191:$I$211,3,0))</f>
        <v>3</v>
      </c>
      <c r="ER48" s="16">
        <f>IF(ISNA(VLOOKUP(A48,'Données projet'!$A$191:$I$211,4,0)),0,VLOOKUP(A48,'Données projet'!$A$191:$I$211,4,0))</f>
        <v>42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62.54968896248991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0" t="e">
        <f t="shared" si="23"/>
        <v>#N/A</v>
      </c>
      <c r="FJ48" s="60" t="e">
        <f ca="1">AVERAGE(OFFSET($FI$3,0,0,'Données projet'!$E$16+1,1))-AVERAGE(OFFSET($H$3,0,0,'Données projet'!$E$16+1,1))</f>
        <v>#N/A</v>
      </c>
      <c r="FK48" s="60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62.54968896248991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0" t="e">
        <f t="shared" si="26"/>
        <v>#N/A</v>
      </c>
      <c r="GE48" s="60" t="e">
        <f ca="1">AVERAGE(OFFSET($GD$3,0,0,'Données projet'!$E$17+1,1))-AVERAGE(OFFSET($H$3,0,0,'Données projet'!$E$17+1,1))</f>
        <v>#N/A</v>
      </c>
      <c r="GF48" s="60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62.54968896248991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4">
        <f>'Scénario référence'!$B$16*5+'Scénario référence'!$B$17*0+'Scénario référence'!$B$18*5</f>
        <v>3.2750000000000004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12.008333333333335</v>
      </c>
      <c r="H49" s="67">
        <f t="shared" si="1"/>
        <v>208.63333333333333</v>
      </c>
      <c r="I49" s="7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62.678935202590537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145.20000000000005</v>
      </c>
      <c r="O49" s="14">
        <f>N49*VLOOKUP('Données projet'!$B$9,Paramètres!$A$1:$I$89,3,0)*VLOOKUP('Données projet'!$B$9,Paramètres!$A$1:$I$89,5,0)</f>
        <v>147.23280000000005</v>
      </c>
      <c r="P49" s="14">
        <f t="shared" si="33"/>
        <v>37.949049623906205</v>
      </c>
      <c r="Q49" s="22">
        <f t="shared" si="53"/>
        <v>322.52505476163668</v>
      </c>
      <c r="R49" s="60">
        <f t="shared" si="0"/>
        <v>589.014483837802</v>
      </c>
      <c r="S49" s="60">
        <f ca="1">AVERAGE(OFFSET($R$3,0,0,'Données projet'!$E$9+1,1))-AVERAGE(OFFSET($H$3,0,0,'Données projet'!$E$9+1,1))</f>
        <v>503.64055031157477</v>
      </c>
      <c r="T49" s="60">
        <f t="shared" si="34"/>
        <v>266.76572540460842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62.678935202590537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145.20000000000005</v>
      </c>
      <c r="AJ49" s="14">
        <f>AI49*VLOOKUP('Données projet'!$B$10,Paramètres!$A$1:$I$89,3,0)*VLOOKUP('Données projet'!$B$10,Paramètres!$A$1:$I$89,5,0)</f>
        <v>131.37696000000003</v>
      </c>
      <c r="AK49" s="14">
        <f t="shared" si="35"/>
        <v>34.314338988223334</v>
      </c>
      <c r="AL49" s="22">
        <f t="shared" si="4"/>
        <v>288.57901240448905</v>
      </c>
      <c r="AM49" s="60">
        <f t="shared" si="5"/>
        <v>555.06844148065443</v>
      </c>
      <c r="AN49" s="60">
        <f ca="1">AVERAGE(OFFSET($AM$3,0,0,'Données projet'!$E$10+1,1))-AVERAGE(OFFSET($H$3,0,0,'Données projet'!$E$10+1,1))</f>
        <v>456.86058467343139</v>
      </c>
      <c r="AO49" s="60">
        <f t="shared" si="36"/>
        <v>243.88495931574937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62.678935202590537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6.0256410256410273</v>
      </c>
      <c r="BD49" s="13">
        <f>IF('Données projet'!$A$88&gt;35,BD48+BC49-BL48,IF(A49&lt;'Données projet'!$A$88,$BA$205^A49,IF(A49='Données projet'!$A$88,'Données projet'!$B$88,BD48+BC49-BL48)))</f>
        <v>179.10256410256406</v>
      </c>
      <c r="BE49" s="14">
        <f>BD49*VLOOKUP('Données projet'!$B$11,Paramètres!$A$1:$I$89,3,0)*VLOOKUP('Données projet'!$B$11,Paramètres!$A$1:$I$89,5,0)</f>
        <v>187.19799999999998</v>
      </c>
      <c r="BF49" s="14">
        <f t="shared" si="37"/>
        <v>46.919935793880072</v>
      </c>
      <c r="BG49" s="22">
        <f t="shared" si="7"/>
        <v>407.75540484100776</v>
      </c>
      <c r="BH49" s="60">
        <f t="shared" si="8"/>
        <v>674.24483391717308</v>
      </c>
      <c r="BI49" s="60">
        <f ca="1">AVERAGE(OFFSET($BH$3,0,0,'Données projet'!$E$11+1,1))-AVERAGE(OFFSET($H$3,0,0,'Données projet'!$E$11+1,1))</f>
        <v>518.47226207416952</v>
      </c>
      <c r="BJ49" s="60">
        <f t="shared" si="38"/>
        <v>314.6379787306804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62.678935202590537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8.1999999999999993</v>
      </c>
      <c r="BY49" s="13">
        <f>IF('Données projet'!$A$114&gt;35,BY48+BX49-CG48,IF(A49&lt;'Données projet'!$A$114,$BV$205^A49,IF(A49='Données projet'!$A$114,'Données projet'!$B$114,BY48+BX49-CG48)))</f>
        <v>145.20000000000005</v>
      </c>
      <c r="BZ49" s="14">
        <f>BY49*VLOOKUP('Données projet'!$B$12,Paramètres!$A$1:$I$89,3,0)*VLOOKUP('Données projet'!$B$12,Paramètres!$A$1:$I$89,5,0)</f>
        <v>156.29328000000004</v>
      </c>
      <c r="CA49" s="14">
        <f t="shared" si="39"/>
        <v>40.005317247308959</v>
      </c>
      <c r="CB49" s="22">
        <f t="shared" si="10"/>
        <v>341.88672353906321</v>
      </c>
      <c r="CC49" s="60">
        <f t="shared" si="11"/>
        <v>608.37615261522853</v>
      </c>
      <c r="CD49" s="60">
        <f ca="1">AVERAGE(OFFSET($CC$3,0,0,'Données projet'!$E$12+1,1))-AVERAGE(OFFSET($H$3,0,0,'Données projet'!$E$12+1,1))</f>
        <v>530.32456073177104</v>
      </c>
      <c r="CE49" s="60">
        <f t="shared" si="40"/>
        <v>279.81519428470625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62.678935202590537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7.1199999999999992</v>
      </c>
      <c r="CT49" s="13">
        <f>IF('Données projet'!$A$140&gt;35,CT48+CS49-DB48,IF(A49&lt;'Données projet'!$A$140,$CQ$205^A49,IF(A49='Données projet'!$A$140,'Données projet'!$B$140,CT48+CS49-DB48)))</f>
        <v>211.72000000000008</v>
      </c>
      <c r="CU49" s="18">
        <f>CT49*VLOOKUP('Données projet'!$B$13,Paramètres!$A$1:$I$89,3,0)*VLOOKUP('Données projet'!$B$13,Paramètres!$A$1:$I$89,5,0)</f>
        <v>184.9585920000001</v>
      </c>
      <c r="CV49" s="14">
        <f t="shared" si="41"/>
        <v>46.423630673154392</v>
      </c>
      <c r="CW49" s="22">
        <f t="shared" si="13"/>
        <v>402.99070448907742</v>
      </c>
      <c r="CX49" s="60">
        <f t="shared" si="14"/>
        <v>669.4801335652428</v>
      </c>
      <c r="CY49" s="60">
        <f ca="1">AVERAGE(OFFSET($CX$3,0,0,'Données projet'!$E$13+1,1))-AVERAGE(OFFSET($H$3,0,0,'Données projet'!$E$13+1,1))</f>
        <v>355.03862261578701</v>
      </c>
      <c r="CZ49" s="60">
        <f t="shared" si="42"/>
        <v>382.84441399266029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62.678935202590537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10.375</v>
      </c>
      <c r="DO49" s="13">
        <f>IF('Données projet'!$A$166&gt;35,DO48+DN49-DW48,IF(A49&lt;'Données projet'!$A$166,$DL$205^A49,IF(A49='Données projet'!$A$166,'Données projet'!$B$166,DO48+DN49-DW48)))</f>
        <v>207.74999999999994</v>
      </c>
      <c r="DP49" s="18">
        <f>DO49*VLOOKUP('Données projet'!$B$14,Paramètres!$A$1:$I$89,3,0)*VLOOKUP('Données projet'!$B$14,Paramètres!$A$1:$I$89,5,0)</f>
        <v>162.04499999999996</v>
      </c>
      <c r="DQ49" s="14">
        <f t="shared" si="43"/>
        <v>41.303429372463391</v>
      </c>
      <c r="DR49" s="22">
        <f t="shared" si="16"/>
        <v>354.16518115704031</v>
      </c>
      <c r="DS49" s="60">
        <f t="shared" si="17"/>
        <v>620.65461023320563</v>
      </c>
      <c r="DT49" s="60">
        <f ca="1">AVERAGE(OFFSET($DS$3,0,0,'Données projet'!$E$14+1,1))-AVERAGE(OFFSET($H$3,0,0,'Données projet'!$E$14+1,1))</f>
        <v>305.68891030516761</v>
      </c>
      <c r="DU49" s="60">
        <f t="shared" si="44"/>
        <v>296.00275062228275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62.678935202590537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8.1999999999999993</v>
      </c>
      <c r="EJ49" s="13">
        <f>IF('Données projet'!$A$192&gt;35,EJ48+EI49-ER48,IF(A49&lt;'Données projet'!$A$192,$EG$205^A49,IF(A49='Données projet'!$A$192,'Données projet'!$B$192,EJ48+EI49-ER48)))</f>
        <v>145.20000000000005</v>
      </c>
      <c r="EK49" s="18">
        <f>EJ49*VLOOKUP('Données projet'!$B$15,Paramètres!$A$1:$I$89,3,0)*VLOOKUP('Données projet'!$B$15,Paramètres!$A$1:$I$89,5,0)</f>
        <v>140.43744000000004</v>
      </c>
      <c r="EL49" s="14">
        <f t="shared" si="45"/>
        <v>36.397198653986358</v>
      </c>
      <c r="EM49" s="22">
        <f t="shared" si="19"/>
        <v>307.98699565569297</v>
      </c>
      <c r="EN49" s="60">
        <f t="shared" si="20"/>
        <v>574.47642473185829</v>
      </c>
      <c r="EO49" s="60">
        <f ca="1">AVERAGE(OFFSET($EN$3,0,0,'Données projet'!$E$15+1,1))-AVERAGE(OFFSET($H$3,0,0,'Données projet'!$E$15+1,1))</f>
        <v>483.60545605360528</v>
      </c>
      <c r="EP49" s="60">
        <f t="shared" si="46"/>
        <v>256.96685577560345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62.678935202590537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0" t="e">
        <f t="shared" si="23"/>
        <v>#N/A</v>
      </c>
      <c r="FJ49" s="60" t="e">
        <f ca="1">AVERAGE(OFFSET($FI$3,0,0,'Données projet'!$E$16+1,1))-AVERAGE(OFFSET($H$3,0,0,'Données projet'!$E$16+1,1))</f>
        <v>#N/A</v>
      </c>
      <c r="FK49" s="60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62.678935202590537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0" t="e">
        <f t="shared" si="26"/>
        <v>#N/A</v>
      </c>
      <c r="GE49" s="60" t="e">
        <f ca="1">AVERAGE(OFFSET($GD$3,0,0,'Données projet'!$E$17+1,1))-AVERAGE(OFFSET($H$3,0,0,'Données projet'!$E$17+1,1))</f>
        <v>#N/A</v>
      </c>
      <c r="GF49" s="60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62.678935202590537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4">
        <f>'Scénario référence'!$B$16*5+'Scénario référence'!$B$17*0+'Scénario référence'!$B$18*5</f>
        <v>3.2750000000000004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12.008333333333335</v>
      </c>
      <c r="H50" s="67">
        <f t="shared" si="1"/>
        <v>208.63333333333333</v>
      </c>
      <c r="I50" s="7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62.805939309376726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153.40000000000003</v>
      </c>
      <c r="O50" s="14">
        <f>N50*VLOOKUP('Données projet'!$B$9,Paramètres!$A$1:$I$89,3,0)*VLOOKUP('Données projet'!$B$9,Paramètres!$A$1:$I$89,5,0)</f>
        <v>155.54760000000005</v>
      </c>
      <c r="P50" s="14">
        <f t="shared" si="33"/>
        <v>39.836620617816237</v>
      </c>
      <c r="Q50" s="22">
        <f t="shared" si="53"/>
        <v>340.29418424269664</v>
      </c>
      <c r="R50" s="60">
        <f t="shared" si="0"/>
        <v>607.24929504374461</v>
      </c>
      <c r="S50" s="60">
        <f ca="1">AVERAGE(OFFSET($R$3,0,0,'Données projet'!$E$9+1,1))-AVERAGE(OFFSET($H$3,0,0,'Données projet'!$E$9+1,1))</f>
        <v>503.64055031157477</v>
      </c>
      <c r="T50" s="60">
        <f t="shared" si="34"/>
        <v>266.76572540460842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62.805939309376726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153.40000000000003</v>
      </c>
      <c r="AJ50" s="14">
        <f>AI50*VLOOKUP('Données projet'!$B$10,Paramètres!$A$1:$I$89,3,0)*VLOOKUP('Données projet'!$B$10,Paramètres!$A$1:$I$89,5,0)</f>
        <v>138.79632000000001</v>
      </c>
      <c r="AK50" s="14">
        <f t="shared" si="35"/>
        <v>36.021120886354588</v>
      </c>
      <c r="AL50" s="22">
        <f t="shared" si="4"/>
        <v>304.47370954373423</v>
      </c>
      <c r="AM50" s="60">
        <f t="shared" si="5"/>
        <v>571.42882034478225</v>
      </c>
      <c r="AN50" s="60">
        <f ca="1">AVERAGE(OFFSET($AM$3,0,0,'Données projet'!$E$10+1,1))-AVERAGE(OFFSET($H$3,0,0,'Données projet'!$E$10+1,1))</f>
        <v>456.86058467343139</v>
      </c>
      <c r="AO50" s="60">
        <f t="shared" si="36"/>
        <v>243.88495931574937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62.805939309376726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6.0256410256410273</v>
      </c>
      <c r="BD50" s="13">
        <f>IF('Données projet'!$A$88&gt;35,BD49+BC50-BL49,IF(A50&lt;'Données projet'!$A$88,$BA$205^A50,IF(A50='Données projet'!$A$88,'Données projet'!$B$88,BD49+BC50-BL49)))</f>
        <v>185.12820512820508</v>
      </c>
      <c r="BE50" s="14">
        <f>BD50*VLOOKUP('Données projet'!$B$11,Paramètres!$A$1:$I$89,3,0)*VLOOKUP('Données projet'!$B$11,Paramètres!$A$1:$I$89,5,0)</f>
        <v>193.49599999999998</v>
      </c>
      <c r="BF50" s="14">
        <f t="shared" si="37"/>
        <v>48.312046726948296</v>
      </c>
      <c r="BG50" s="22">
        <f t="shared" si="7"/>
        <v>421.14901471610159</v>
      </c>
      <c r="BH50" s="60">
        <f t="shared" si="8"/>
        <v>688.10412551714955</v>
      </c>
      <c r="BI50" s="60">
        <f ca="1">AVERAGE(OFFSET($BH$3,0,0,'Données projet'!$E$11+1,1))-AVERAGE(OFFSET($H$3,0,0,'Données projet'!$E$11+1,1))</f>
        <v>518.47226207416952</v>
      </c>
      <c r="BJ50" s="60">
        <f t="shared" si="38"/>
        <v>314.6379787306804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62.805939309376726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8.1999999999999993</v>
      </c>
      <c r="BY50" s="13">
        <f>IF('Données projet'!$A$114&gt;35,BY49+BX50-CG49,IF(A50&lt;'Données projet'!$A$114,$BV$205^A50,IF(A50='Données projet'!$A$114,'Données projet'!$B$114,BY49+BX50-CG49)))</f>
        <v>153.40000000000003</v>
      </c>
      <c r="BZ50" s="14">
        <f>BY50*VLOOKUP('Données projet'!$B$12,Paramètres!$A$1:$I$89,3,0)*VLOOKUP('Données projet'!$B$12,Paramètres!$A$1:$I$89,5,0)</f>
        <v>165.11976000000004</v>
      </c>
      <c r="CA50" s="14">
        <f t="shared" si="39"/>
        <v>41.995166194425131</v>
      </c>
      <c r="CB50" s="22">
        <f t="shared" si="10"/>
        <v>360.72516312195717</v>
      </c>
      <c r="CC50" s="60">
        <f t="shared" si="11"/>
        <v>627.68027392300519</v>
      </c>
      <c r="CD50" s="60">
        <f ca="1">AVERAGE(OFFSET($CC$3,0,0,'Données projet'!$E$12+1,1))-AVERAGE(OFFSET($H$3,0,0,'Données projet'!$E$12+1,1))</f>
        <v>530.32456073177104</v>
      </c>
      <c r="CE50" s="60">
        <f t="shared" si="40"/>
        <v>279.81519428470625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62.805939309376726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7.1199999999999992</v>
      </c>
      <c r="CT50" s="13">
        <f>IF('Données projet'!$A$140&gt;35,CT49+CS50-DB49,IF(A50&lt;'Données projet'!$A$140,$CQ$205^A50,IF(A50='Données projet'!$A$140,'Données projet'!$B$140,CT49+CS50-DB49)))</f>
        <v>218.84000000000009</v>
      </c>
      <c r="CU50" s="18">
        <f>CT50*VLOOKUP('Données projet'!$B$13,Paramètres!$A$1:$I$89,3,0)*VLOOKUP('Données projet'!$B$13,Paramètres!$A$1:$I$89,5,0)</f>
        <v>191.1786240000001</v>
      </c>
      <c r="CV50" s="14">
        <f t="shared" si="41"/>
        <v>47.800436023309679</v>
      </c>
      <c r="CW50" s="22">
        <f t="shared" si="13"/>
        <v>416.22186287393123</v>
      </c>
      <c r="CX50" s="60">
        <f t="shared" si="14"/>
        <v>683.17697367497919</v>
      </c>
      <c r="CY50" s="60">
        <f ca="1">AVERAGE(OFFSET($CX$3,0,0,'Données projet'!$E$13+1,1))-AVERAGE(OFFSET($H$3,0,0,'Données projet'!$E$13+1,1))</f>
        <v>355.03862261578701</v>
      </c>
      <c r="CZ50" s="60">
        <f t="shared" si="42"/>
        <v>382.84441399266029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62.805939309376726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10.375</v>
      </c>
      <c r="DO50" s="13">
        <f>IF('Données projet'!$A$166&gt;35,DO49+DN50-DW49,IF(A50&lt;'Données projet'!$A$166,$DL$205^A50,IF(A50='Données projet'!$A$166,'Données projet'!$B$166,DO49+DN50-DW49)))</f>
        <v>218.12499999999994</v>
      </c>
      <c r="DP50" s="18">
        <f>DO50*VLOOKUP('Données projet'!$B$14,Paramètres!$A$1:$I$89,3,0)*VLOOKUP('Données projet'!$B$14,Paramètres!$A$1:$I$89,5,0)</f>
        <v>170.13749999999996</v>
      </c>
      <c r="DQ50" s="14">
        <f t="shared" si="43"/>
        <v>43.120817562072411</v>
      </c>
      <c r="DR50" s="22">
        <f t="shared" si="16"/>
        <v>371.42490308727605</v>
      </c>
      <c r="DS50" s="60">
        <f t="shared" si="17"/>
        <v>638.38001388832402</v>
      </c>
      <c r="DT50" s="60">
        <f ca="1">AVERAGE(OFFSET($DS$3,0,0,'Données projet'!$E$14+1,1))-AVERAGE(OFFSET($H$3,0,0,'Données projet'!$E$14+1,1))</f>
        <v>305.68891030516761</v>
      </c>
      <c r="DU50" s="60">
        <f t="shared" si="44"/>
        <v>296.00275062228275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62.805939309376726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8.1999999999999993</v>
      </c>
      <c r="EJ50" s="13">
        <f>IF('Données projet'!$A$192&gt;35,EJ49+EI50-ER49,IF(A50&lt;'Données projet'!$A$192,$EG$205^A50,IF(A50='Données projet'!$A$192,'Données projet'!$B$192,EJ49+EI50-ER49)))</f>
        <v>153.40000000000003</v>
      </c>
      <c r="EK50" s="18">
        <f>EJ50*VLOOKUP('Données projet'!$B$15,Paramètres!$A$1:$I$89,3,0)*VLOOKUP('Données projet'!$B$15,Paramètres!$A$1:$I$89,5,0)</f>
        <v>148.36848000000003</v>
      </c>
      <c r="EL50" s="14">
        <f t="shared" si="45"/>
        <v>38.207581183185901</v>
      </c>
      <c r="EM50" s="22">
        <f t="shared" si="19"/>
        <v>324.95330656071548</v>
      </c>
      <c r="EN50" s="60">
        <f t="shared" si="20"/>
        <v>591.90841736176344</v>
      </c>
      <c r="EO50" s="60">
        <f ca="1">AVERAGE(OFFSET($EN$3,0,0,'Données projet'!$E$15+1,1))-AVERAGE(OFFSET($H$3,0,0,'Données projet'!$E$15+1,1))</f>
        <v>483.60545605360528</v>
      </c>
      <c r="EP50" s="60">
        <f t="shared" si="46"/>
        <v>256.96685577560345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62.805939309376726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0" t="e">
        <f t="shared" si="23"/>
        <v>#N/A</v>
      </c>
      <c r="FJ50" s="60" t="e">
        <f ca="1">AVERAGE(OFFSET($FI$3,0,0,'Données projet'!$E$16+1,1))-AVERAGE(OFFSET($H$3,0,0,'Données projet'!$E$16+1,1))</f>
        <v>#N/A</v>
      </c>
      <c r="FK50" s="60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62.805939309376726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0" t="e">
        <f t="shared" si="26"/>
        <v>#N/A</v>
      </c>
      <c r="GE50" s="60" t="e">
        <f ca="1">AVERAGE(OFFSET($GD$3,0,0,'Données projet'!$E$17+1,1))-AVERAGE(OFFSET($H$3,0,0,'Données projet'!$E$17+1,1))</f>
        <v>#N/A</v>
      </c>
      <c r="GF50" s="60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62.805939309376726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4">
        <f>'Scénario référence'!$B$16*5+'Scénario référence'!$B$17*0+'Scénario référence'!$B$18*5</f>
        <v>3.2750000000000004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12.008333333333335</v>
      </c>
      <c r="H51" s="67">
        <f t="shared" si="1"/>
        <v>208.63333333333333</v>
      </c>
      <c r="I51" s="7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62.930740178848822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161.60000000000002</v>
      </c>
      <c r="O51" s="14">
        <f>N51*VLOOKUP('Données projet'!$B$9,Paramètres!$A$1:$I$89,3,0)*VLOOKUP('Données projet'!$B$9,Paramètres!$A$1:$I$89,5,0)</f>
        <v>163.86240000000004</v>
      </c>
      <c r="P51" s="14">
        <f t="shared" si="33"/>
        <v>41.712477409029084</v>
      </c>
      <c r="Q51" s="22">
        <f t="shared" si="53"/>
        <v>358.0429114873923</v>
      </c>
      <c r="R51" s="60">
        <f t="shared" si="0"/>
        <v>625.45562547650457</v>
      </c>
      <c r="S51" s="60">
        <f ca="1">AVERAGE(OFFSET($R$3,0,0,'Données projet'!$E$9+1,1))-AVERAGE(OFFSET($H$3,0,0,'Données projet'!$E$9+1,1))</f>
        <v>503.64055031157477</v>
      </c>
      <c r="T51" s="60">
        <f t="shared" si="34"/>
        <v>266.76572540460842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62.930740178848822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161.60000000000002</v>
      </c>
      <c r="AJ51" s="14">
        <f>AI51*VLOOKUP('Données projet'!$B$10,Paramètres!$A$1:$I$89,3,0)*VLOOKUP('Données projet'!$B$10,Paramètres!$A$1:$I$89,5,0)</f>
        <v>146.21568000000002</v>
      </c>
      <c r="AK51" s="14">
        <f t="shared" si="35"/>
        <v>37.717310552893402</v>
      </c>
      <c r="AL51" s="22">
        <f t="shared" si="4"/>
        <v>320.34995854628937</v>
      </c>
      <c r="AM51" s="60">
        <f t="shared" si="5"/>
        <v>587.76267253540163</v>
      </c>
      <c r="AN51" s="60">
        <f ca="1">AVERAGE(OFFSET($AM$3,0,0,'Données projet'!$E$10+1,1))-AVERAGE(OFFSET($H$3,0,0,'Données projet'!$E$10+1,1))</f>
        <v>456.86058467343139</v>
      </c>
      <c r="AO51" s="60">
        <f t="shared" si="36"/>
        <v>243.88495931574937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62.930740178848822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6.0256410256410273</v>
      </c>
      <c r="BD51" s="13">
        <f>IF('Données projet'!$A$88&gt;35,BD50+BC51-BL50,IF(A51&lt;'Données projet'!$A$88,$BA$205^A51,IF(A51='Données projet'!$A$88,'Données projet'!$B$88,BD50+BC51-BL50)))</f>
        <v>191.1538461538461</v>
      </c>
      <c r="BE51" s="14">
        <f>BD51*VLOOKUP('Données projet'!$B$11,Paramètres!$A$1:$I$89,3,0)*VLOOKUP('Données projet'!$B$11,Paramètres!$A$1:$I$89,5,0)</f>
        <v>199.79399999999995</v>
      </c>
      <c r="BF51" s="14">
        <f t="shared" si="37"/>
        <v>49.698892445432982</v>
      </c>
      <c r="BG51" s="22">
        <f t="shared" si="7"/>
        <v>434.53345434246239</v>
      </c>
      <c r="BH51" s="60">
        <f t="shared" si="8"/>
        <v>701.94616833157465</v>
      </c>
      <c r="BI51" s="60">
        <f ca="1">AVERAGE(OFFSET($BH$3,0,0,'Données projet'!$E$11+1,1))-AVERAGE(OFFSET($H$3,0,0,'Données projet'!$E$11+1,1))</f>
        <v>518.47226207416952</v>
      </c>
      <c r="BJ51" s="60">
        <f t="shared" si="38"/>
        <v>314.6379787306804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62.930740178848822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8.1999999999999993</v>
      </c>
      <c r="BY51" s="13">
        <f>IF('Données projet'!$A$114&gt;35,BY50+BX51-CG50,IF(A51&lt;'Données projet'!$A$114,$BV$205^A51,IF(A51='Données projet'!$A$114,'Données projet'!$B$114,BY50+BX51-CG50)))</f>
        <v>161.60000000000002</v>
      </c>
      <c r="BZ51" s="14">
        <f>BY51*VLOOKUP('Données projet'!$B$12,Paramètres!$A$1:$I$89,3,0)*VLOOKUP('Données projet'!$B$12,Paramètres!$A$1:$I$89,5,0)</f>
        <v>173.94624000000002</v>
      </c>
      <c r="CA51" s="14">
        <f t="shared" si="39"/>
        <v>43.972666205274265</v>
      </c>
      <c r="CB51" s="22">
        <f t="shared" si="10"/>
        <v>379.54209497418606</v>
      </c>
      <c r="CC51" s="60">
        <f t="shared" si="11"/>
        <v>646.95480896329832</v>
      </c>
      <c r="CD51" s="60">
        <f ca="1">AVERAGE(OFFSET($CC$3,0,0,'Données projet'!$E$12+1,1))-AVERAGE(OFFSET($H$3,0,0,'Données projet'!$E$12+1,1))</f>
        <v>530.32456073177104</v>
      </c>
      <c r="CE51" s="60">
        <f t="shared" si="40"/>
        <v>279.81519428470625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62.930740178848822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7.1199999999999992</v>
      </c>
      <c r="CT51" s="13">
        <f>IF('Données projet'!$A$140&gt;35,CT50+CS51-DB50,IF(A51&lt;'Données projet'!$A$140,$CQ$205^A51,IF(A51='Données projet'!$A$140,'Données projet'!$B$140,CT50+CS51-DB50)))</f>
        <v>225.96000000000009</v>
      </c>
      <c r="CU51" s="18">
        <f>CT51*VLOOKUP('Données projet'!$B$13,Paramètres!$A$1:$I$89,3,0)*VLOOKUP('Données projet'!$B$13,Paramètres!$A$1:$I$89,5,0)</f>
        <v>197.3986560000001</v>
      </c>
      <c r="CV51" s="14">
        <f t="shared" si="41"/>
        <v>49.172036170497854</v>
      </c>
      <c r="CW51" s="22">
        <f t="shared" si="13"/>
        <v>429.44395553028397</v>
      </c>
      <c r="CX51" s="60">
        <f t="shared" si="14"/>
        <v>696.85666951939629</v>
      </c>
      <c r="CY51" s="60">
        <f ca="1">AVERAGE(OFFSET($CX$3,0,0,'Données projet'!$E$13+1,1))-AVERAGE(OFFSET($H$3,0,0,'Données projet'!$E$13+1,1))</f>
        <v>355.03862261578701</v>
      </c>
      <c r="CZ51" s="60">
        <f t="shared" si="42"/>
        <v>382.84441399266029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62.930740178848822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10.375</v>
      </c>
      <c r="DO51" s="13">
        <f>IF('Données projet'!$A$166&gt;35,DO50+DN51-DW50,IF(A51&lt;'Données projet'!$A$166,$DL$205^A51,IF(A51='Données projet'!$A$166,'Données projet'!$B$166,DO50+DN51-DW50)))</f>
        <v>228.49999999999994</v>
      </c>
      <c r="DP51" s="18">
        <f>DO51*VLOOKUP('Données projet'!$B$14,Paramètres!$A$1:$I$89,3,0)*VLOOKUP('Données projet'!$B$14,Paramètres!$A$1:$I$89,5,0)</f>
        <v>178.22999999999996</v>
      </c>
      <c r="DQ51" s="14">
        <f t="shared" si="43"/>
        <v>44.928167580487852</v>
      </c>
      <c r="DR51" s="22">
        <f t="shared" si="16"/>
        <v>388.66714186934956</v>
      </c>
      <c r="DS51" s="60">
        <f t="shared" si="17"/>
        <v>656.07985585846188</v>
      </c>
      <c r="DT51" s="60">
        <f ca="1">AVERAGE(OFFSET($DS$3,0,0,'Données projet'!$E$14+1,1))-AVERAGE(OFFSET($H$3,0,0,'Données projet'!$E$14+1,1))</f>
        <v>305.68891030516761</v>
      </c>
      <c r="DU51" s="60">
        <f t="shared" si="44"/>
        <v>296.00275062228275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62.930740178848822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8.1999999999999993</v>
      </c>
      <c r="EJ51" s="13">
        <f>IF('Données projet'!$A$192&gt;35,EJ50+EI51-ER50,IF(A51&lt;'Données projet'!$A$192,$EG$205^A51,IF(A51='Données projet'!$A$192,'Données projet'!$B$192,EJ50+EI51-ER50)))</f>
        <v>161.60000000000002</v>
      </c>
      <c r="EK51" s="18">
        <f>EJ51*VLOOKUP('Données projet'!$B$15,Paramètres!$A$1:$I$89,3,0)*VLOOKUP('Données projet'!$B$15,Paramètres!$A$1:$I$89,5,0)</f>
        <v>156.29952000000003</v>
      </c>
      <c r="EL51" s="14">
        <f t="shared" si="45"/>
        <v>40.006728538728431</v>
      </c>
      <c r="EM51" s="22">
        <f t="shared" si="19"/>
        <v>341.90004953828537</v>
      </c>
      <c r="EN51" s="60">
        <f t="shared" si="20"/>
        <v>609.31276352739769</v>
      </c>
      <c r="EO51" s="60">
        <f ca="1">AVERAGE(OFFSET($EN$3,0,0,'Données projet'!$E$15+1,1))-AVERAGE(OFFSET($H$3,0,0,'Données projet'!$E$15+1,1))</f>
        <v>483.60545605360528</v>
      </c>
      <c r="EP51" s="60">
        <f t="shared" si="46"/>
        <v>256.96685577560345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62.930740178848822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0" t="e">
        <f t="shared" si="23"/>
        <v>#N/A</v>
      </c>
      <c r="FJ51" s="60" t="e">
        <f ca="1">AVERAGE(OFFSET($FI$3,0,0,'Données projet'!$E$16+1,1))-AVERAGE(OFFSET($H$3,0,0,'Données projet'!$E$16+1,1))</f>
        <v>#N/A</v>
      </c>
      <c r="FK51" s="60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62.930740178848822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0" t="e">
        <f t="shared" si="26"/>
        <v>#N/A</v>
      </c>
      <c r="GE51" s="60" t="e">
        <f ca="1">AVERAGE(OFFSET($GD$3,0,0,'Données projet'!$E$17+1,1))-AVERAGE(OFFSET($H$3,0,0,'Données projet'!$E$17+1,1))</f>
        <v>#N/A</v>
      </c>
      <c r="GF51" s="60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62.930740178848822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4">
        <f>'Scénario référence'!$B$16*5+'Scénario référence'!$B$17*0+'Scénario référence'!$B$18*5</f>
        <v>3.2750000000000004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12.008333333333335</v>
      </c>
      <c r="H52" s="67">
        <f t="shared" si="1"/>
        <v>208.63333333333333</v>
      </c>
      <c r="I52" s="7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63.053376032248515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169.8</v>
      </c>
      <c r="O52" s="14">
        <f>N52*VLOOKUP('Données projet'!$B$9,Paramètres!$A$1:$I$89,3,0)*VLOOKUP('Données projet'!$B$9,Paramètres!$A$1:$I$89,5,0)</f>
        <v>172.1772</v>
      </c>
      <c r="P52" s="14">
        <f t="shared" si="33"/>
        <v>43.577282221917017</v>
      </c>
      <c r="Q52" s="22">
        <f t="shared" si="53"/>
        <v>375.77238986983883</v>
      </c>
      <c r="R52" s="60">
        <f t="shared" si="0"/>
        <v>643.63476865475002</v>
      </c>
      <c r="S52" s="60">
        <f ca="1">AVERAGE(OFFSET($R$3,0,0,'Données projet'!$E$9+1,1))-AVERAGE(OFFSET($H$3,0,0,'Données projet'!$E$9+1,1))</f>
        <v>503.64055031157477</v>
      </c>
      <c r="T52" s="60">
        <f t="shared" si="34"/>
        <v>266.76572540460842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63.053376032248515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169.8</v>
      </c>
      <c r="AJ52" s="14">
        <f>AI52*VLOOKUP('Données projet'!$B$10,Paramètres!$A$1:$I$89,3,0)*VLOOKUP('Données projet'!$B$10,Paramètres!$A$1:$I$89,5,0)</f>
        <v>153.63504</v>
      </c>
      <c r="AK52" s="14">
        <f t="shared" si="35"/>
        <v>39.403506785222667</v>
      </c>
      <c r="AL52" s="22">
        <f t="shared" si="4"/>
        <v>336.20880231759617</v>
      </c>
      <c r="AM52" s="60">
        <f t="shared" si="5"/>
        <v>604.07118110250735</v>
      </c>
      <c r="AN52" s="60">
        <f ca="1">AVERAGE(OFFSET($AM$3,0,0,'Données projet'!$E$10+1,1))-AVERAGE(OFFSET($H$3,0,0,'Données projet'!$E$10+1,1))</f>
        <v>456.86058467343139</v>
      </c>
      <c r="AO52" s="60">
        <f t="shared" si="36"/>
        <v>243.88495931574937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63.053376032248515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6.0256410256410273</v>
      </c>
      <c r="BD52" s="13">
        <f>IF('Données projet'!$A$88&gt;35,BD51+BC52-BL51,IF(A52&lt;'Données projet'!$A$88,$BA$205^A52,IF(A52='Données projet'!$A$88,'Données projet'!$B$88,BD51+BC52-BL51)))</f>
        <v>197.17948717948713</v>
      </c>
      <c r="BE52" s="14">
        <f>BD52*VLOOKUP('Données projet'!$B$11,Paramètres!$A$1:$I$89,3,0)*VLOOKUP('Données projet'!$B$11,Paramètres!$A$1:$I$89,5,0)</f>
        <v>206.09199999999996</v>
      </c>
      <c r="BF52" s="14">
        <f t="shared" si="37"/>
        <v>51.080657963757403</v>
      </c>
      <c r="BG52" s="22">
        <f t="shared" si="7"/>
        <v>447.90904595354408</v>
      </c>
      <c r="BH52" s="60">
        <f t="shared" si="8"/>
        <v>715.77142473845527</v>
      </c>
      <c r="BI52" s="60">
        <f ca="1">AVERAGE(OFFSET($BH$3,0,0,'Données projet'!$E$11+1,1))-AVERAGE(OFFSET($H$3,0,0,'Données projet'!$E$11+1,1))</f>
        <v>518.47226207416952</v>
      </c>
      <c r="BJ52" s="60">
        <f t="shared" si="38"/>
        <v>314.6379787306804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63.053376032248515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8.1999999999999993</v>
      </c>
      <c r="BY52" s="13">
        <f>IF('Données projet'!$A$114&gt;35,BY51+BX52-CG51,IF(A52&lt;'Données projet'!$A$114,$BV$205^A52,IF(A52='Données projet'!$A$114,'Données projet'!$B$114,BY51+BX52-CG51)))</f>
        <v>169.8</v>
      </c>
      <c r="BZ52" s="14">
        <f>BY52*VLOOKUP('Données projet'!$B$12,Paramètres!$A$1:$I$89,3,0)*VLOOKUP('Données projet'!$B$12,Paramètres!$A$1:$I$89,5,0)</f>
        <v>182.77271999999999</v>
      </c>
      <c r="CA52" s="14">
        <f t="shared" si="39"/>
        <v>45.938515386827795</v>
      </c>
      <c r="CB52" s="22">
        <f t="shared" si="10"/>
        <v>398.33873496539172</v>
      </c>
      <c r="CC52" s="60">
        <f t="shared" si="11"/>
        <v>666.20111375030297</v>
      </c>
      <c r="CD52" s="60">
        <f ca="1">AVERAGE(OFFSET($CC$3,0,0,'Données projet'!$E$12+1,1))-AVERAGE(OFFSET($H$3,0,0,'Données projet'!$E$12+1,1))</f>
        <v>530.32456073177104</v>
      </c>
      <c r="CE52" s="60">
        <f t="shared" si="40"/>
        <v>279.81519428470625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63.053376032248515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7.1199999999999992</v>
      </c>
      <c r="CT52" s="13">
        <f>IF('Données projet'!$A$140&gt;35,CT51+CS52-DB51,IF(A52&lt;'Données projet'!$A$140,$CQ$205^A52,IF(A52='Données projet'!$A$140,'Données projet'!$B$140,CT51+CS52-DB51)))</f>
        <v>233.0800000000001</v>
      </c>
      <c r="CU52" s="18">
        <f>CT52*VLOOKUP('Données projet'!$B$13,Paramètres!$A$1:$I$89,3,0)*VLOOKUP('Données projet'!$B$13,Paramètres!$A$1:$I$89,5,0)</f>
        <v>203.61868800000011</v>
      </c>
      <c r="CV52" s="14">
        <f t="shared" si="41"/>
        <v>50.538613948142249</v>
      </c>
      <c r="CW52" s="22">
        <f t="shared" si="13"/>
        <v>442.65730089301456</v>
      </c>
      <c r="CX52" s="60">
        <f t="shared" si="14"/>
        <v>710.51967967792575</v>
      </c>
      <c r="CY52" s="60">
        <f ca="1">AVERAGE(OFFSET($CX$3,0,0,'Données projet'!$E$13+1,1))-AVERAGE(OFFSET($H$3,0,0,'Données projet'!$E$13+1,1))</f>
        <v>355.03862261578701</v>
      </c>
      <c r="CZ52" s="60">
        <f t="shared" si="42"/>
        <v>382.84441399266029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63.053376032248515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10.375</v>
      </c>
      <c r="DO52" s="13">
        <f>IF('Données projet'!$A$166&gt;35,DO51+DN52-DW51,IF(A52&lt;'Données projet'!$A$166,$DL$205^A52,IF(A52='Données projet'!$A$166,'Données projet'!$B$166,DO51+DN52-DW51)))</f>
        <v>238.87499999999994</v>
      </c>
      <c r="DP52" s="18">
        <f>DO52*VLOOKUP('Données projet'!$B$14,Paramètres!$A$1:$I$89,3,0)*VLOOKUP('Données projet'!$B$14,Paramètres!$A$1:$I$89,5,0)</f>
        <v>186.32249999999996</v>
      </c>
      <c r="DQ52" s="14">
        <f t="shared" si="43"/>
        <v>46.725987276254116</v>
      </c>
      <c r="DR52" s="22">
        <f t="shared" si="16"/>
        <v>405.89278200614257</v>
      </c>
      <c r="DS52" s="60">
        <f t="shared" si="17"/>
        <v>673.75516079105375</v>
      </c>
      <c r="DT52" s="60">
        <f ca="1">AVERAGE(OFFSET($DS$3,0,0,'Données projet'!$E$14+1,1))-AVERAGE(OFFSET($H$3,0,0,'Données projet'!$E$14+1,1))</f>
        <v>305.68891030516761</v>
      </c>
      <c r="DU52" s="60">
        <f t="shared" si="44"/>
        <v>296.00275062228275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63.053376032248515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8.1999999999999993</v>
      </c>
      <c r="EJ52" s="13">
        <f>IF('Données projet'!$A$192&gt;35,EJ51+EI52-ER51,IF(A52&lt;'Données projet'!$A$192,$EG$205^A52,IF(A52='Données projet'!$A$192,'Données projet'!$B$192,EJ51+EI52-ER51)))</f>
        <v>169.8</v>
      </c>
      <c r="EK52" s="18">
        <f>EJ52*VLOOKUP('Données projet'!$B$15,Paramètres!$A$1:$I$89,3,0)*VLOOKUP('Données projet'!$B$15,Paramètres!$A$1:$I$89,5,0)</f>
        <v>164.23056000000003</v>
      </c>
      <c r="EL52" s="14">
        <f t="shared" si="45"/>
        <v>41.795275864636551</v>
      </c>
      <c r="EM52" s="22">
        <f t="shared" si="19"/>
        <v>358.82833079757535</v>
      </c>
      <c r="EN52" s="60">
        <f t="shared" si="20"/>
        <v>626.69070958248653</v>
      </c>
      <c r="EO52" s="60">
        <f ca="1">AVERAGE(OFFSET($EN$3,0,0,'Données projet'!$E$15+1,1))-AVERAGE(OFFSET($H$3,0,0,'Données projet'!$E$15+1,1))</f>
        <v>483.60545605360528</v>
      </c>
      <c r="EP52" s="60">
        <f t="shared" si="46"/>
        <v>256.96685577560345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63.053376032248515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0" t="e">
        <f t="shared" si="23"/>
        <v>#N/A</v>
      </c>
      <c r="FJ52" s="60" t="e">
        <f ca="1">AVERAGE(OFFSET($FI$3,0,0,'Données projet'!$E$16+1,1))-AVERAGE(OFFSET($H$3,0,0,'Données projet'!$E$16+1,1))</f>
        <v>#N/A</v>
      </c>
      <c r="FK52" s="60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63.053376032248515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0" t="e">
        <f t="shared" si="26"/>
        <v>#N/A</v>
      </c>
      <c r="GE52" s="60" t="e">
        <f ca="1">AVERAGE(OFFSET($GD$3,0,0,'Données projet'!$E$17+1,1))-AVERAGE(OFFSET($H$3,0,0,'Données projet'!$E$17+1,1))</f>
        <v>#N/A</v>
      </c>
      <c r="GF52" s="60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63.053376032248515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4">
        <f>'Scénario référence'!$B$16*5+'Scénario référence'!$B$17*0+'Scénario référence'!$B$18*5</f>
        <v>3.2750000000000004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12.008333333333335</v>
      </c>
      <c r="H53" s="67">
        <f t="shared" si="1"/>
        <v>208.63333333333333</v>
      </c>
      <c r="I53" s="7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63.173884427764428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178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178</v>
      </c>
      <c r="O53" s="14">
        <f>N53*VLOOKUP('Données projet'!$B$9,Paramètres!$A$1:$I$89,3,0)*VLOOKUP('Données projet'!$B$9,Paramètres!$A$1:$I$89,5,0)</f>
        <v>180.49200000000002</v>
      </c>
      <c r="P53" s="14">
        <f t="shared" si="33"/>
        <v>45.431629706642653</v>
      </c>
      <c r="Q53" s="22">
        <f t="shared" si="53"/>
        <v>393.4836550724026</v>
      </c>
      <c r="R53" s="60">
        <f t="shared" si="0"/>
        <v>661.78789797420541</v>
      </c>
      <c r="S53" s="60">
        <f ca="1">AVERAGE(OFFSET($R$3,0,0,'Données projet'!$E$9+1,1))-AVERAGE(OFFSET($H$3,0,0,'Données projet'!$E$9+1,1))</f>
        <v>503.64055031157477</v>
      </c>
      <c r="T53" s="60">
        <f t="shared" si="34"/>
        <v>266.76572540460842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63.173884427764428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178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178</v>
      </c>
      <c r="AJ53" s="14">
        <f>AI53*VLOOKUP('Données projet'!$B$10,Paramètres!$A$1:$I$89,3,0)*VLOOKUP('Données projet'!$B$10,Paramètres!$A$1:$I$89,5,0)</f>
        <v>161.05439999999999</v>
      </c>
      <c r="AK53" s="14">
        <f t="shared" si="35"/>
        <v>41.080247278685491</v>
      </c>
      <c r="AL53" s="22">
        <f t="shared" si="4"/>
        <v>352.05117734371055</v>
      </c>
      <c r="AM53" s="60">
        <f t="shared" si="5"/>
        <v>620.35542024551341</v>
      </c>
      <c r="AN53" s="60">
        <f ca="1">AVERAGE(OFFSET($AM$3,0,0,'Données projet'!$E$10+1,1))-AVERAGE(OFFSET($H$3,0,0,'Données projet'!$E$10+1,1))</f>
        <v>456.86058467343139</v>
      </c>
      <c r="AO53" s="60">
        <f t="shared" si="36"/>
        <v>243.88495931574937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63.173884427764428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203.2051282051282</v>
      </c>
      <c r="BB53" s="13">
        <f>VLOOKUP(A53,'Données projet'!$A$87:$I$107,9,0)</f>
        <v>6.0256410256410273</v>
      </c>
      <c r="BC53" s="13">
        <f t="array" ref="BC53">INDEX(BB:BB,MIN(IF(ISNUMBER(BB53:BB249),ROW(BB53:BB249),"")))</f>
        <v>6.0256410256410273</v>
      </c>
      <c r="BD53" s="13">
        <f>IF('Données projet'!$A$88&gt;35,BD52+BC53-BL52,IF(A53&lt;'Données projet'!$A$88,$BA$205^A53,IF(A53='Données projet'!$A$88,'Données projet'!$B$88,BD52+BC53-BL52)))</f>
        <v>203.20512820512815</v>
      </c>
      <c r="BE53" s="14">
        <f>BD53*VLOOKUP('Données projet'!$B$11,Paramètres!$A$1:$I$89,3,0)*VLOOKUP('Données projet'!$B$11,Paramètres!$A$1:$I$89,5,0)</f>
        <v>212.38999999999993</v>
      </c>
      <c r="BF53" s="14">
        <f t="shared" si="37"/>
        <v>52.457516346075991</v>
      </c>
      <c r="BG53" s="22">
        <f t="shared" si="7"/>
        <v>461.27609096941552</v>
      </c>
      <c r="BH53" s="60">
        <f t="shared" si="8"/>
        <v>729.58033387121839</v>
      </c>
      <c r="BI53" s="60">
        <f ca="1">AVERAGE(OFFSET($BH$3,0,0,'Données projet'!$E$11+1,1))-AVERAGE(OFFSET($H$3,0,0,'Données projet'!$E$11+1,1))</f>
        <v>518.47226207416952</v>
      </c>
      <c r="BJ53" s="60">
        <f t="shared" si="38"/>
        <v>314.6379787306804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24.358974358974358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63.173884427764428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178</v>
      </c>
      <c r="BW53" s="13">
        <f>VLOOKUP(A53,'Données projet'!$A$113:$I$133,9,0)</f>
        <v>8.1999999999999993</v>
      </c>
      <c r="BX53" s="13">
        <f t="array" ref="BX53">INDEX(BW:BW,MIN(IF(ISNUMBER(BW53:BW249),ROW(BW53:BW249),"")))</f>
        <v>8.1999999999999993</v>
      </c>
      <c r="BY53" s="13">
        <f>IF('Données projet'!$A$114&gt;35,BY52+BX53-CG52,IF(A53&lt;'Données projet'!$A$114,$BV$205^A53,IF(A53='Données projet'!$A$114,'Données projet'!$B$114,BY52+BX53-CG52)))</f>
        <v>178</v>
      </c>
      <c r="BZ53" s="14">
        <f>BY53*VLOOKUP('Données projet'!$B$12,Paramètres!$A$1:$I$89,3,0)*VLOOKUP('Données projet'!$B$12,Paramètres!$A$1:$I$89,5,0)</f>
        <v>191.5992</v>
      </c>
      <c r="CA53" s="14">
        <f t="shared" si="39"/>
        <v>47.893340610341859</v>
      </c>
      <c r="CB53" s="22">
        <f t="shared" si="10"/>
        <v>417.1161748963454</v>
      </c>
      <c r="CC53" s="60">
        <f t="shared" si="11"/>
        <v>685.42041779814826</v>
      </c>
      <c r="CD53" s="60">
        <f ca="1">AVERAGE(OFFSET($CC$3,0,0,'Données projet'!$E$12+1,1))-AVERAGE(OFFSET($H$3,0,0,'Données projet'!$E$12+1,1))</f>
        <v>530.32456073177104</v>
      </c>
      <c r="CE53" s="60">
        <f t="shared" si="40"/>
        <v>279.81519428470625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63.173884427764428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240.20000000000002</v>
      </c>
      <c r="CR53" s="13">
        <f>VLOOKUP(A53,'Données projet'!$A$139:$I$159,9,0)</f>
        <v>7.1199999999999992</v>
      </c>
      <c r="CS53" s="13">
        <f t="array" ref="CS53">INDEX(CR:CR,MIN(IF(ISNUMBER(CR53:CR249),ROW(CR53:CR249),"")))</f>
        <v>7.1199999999999992</v>
      </c>
      <c r="CT53" s="13">
        <f>IF('Données projet'!$A$140&gt;35,CT52+CS53-DB52,IF(A53&lt;'Données projet'!$A$140,$CQ$205^A53,IF(A53='Données projet'!$A$140,'Données projet'!$B$140,CT52+CS53-DB52)))</f>
        <v>240.2000000000001</v>
      </c>
      <c r="CU53" s="18">
        <f>CT53*VLOOKUP('Données projet'!$B$13,Paramètres!$A$1:$I$89,3,0)*VLOOKUP('Données projet'!$B$13,Paramètres!$A$1:$I$89,5,0)</f>
        <v>209.83872000000011</v>
      </c>
      <c r="CV53" s="14">
        <f t="shared" si="41"/>
        <v>51.90034038479439</v>
      </c>
      <c r="CW53" s="22">
        <f t="shared" si="13"/>
        <v>455.86219683685039</v>
      </c>
      <c r="CX53" s="60">
        <f t="shared" si="14"/>
        <v>724.16643973865325</v>
      </c>
      <c r="CY53" s="60">
        <f ca="1">AVERAGE(OFFSET($CX$3,0,0,'Données projet'!$E$13+1,1))-AVERAGE(OFFSET($H$3,0,0,'Données projet'!$E$13+1,1))</f>
        <v>355.03862261578701</v>
      </c>
      <c r="CZ53" s="60">
        <f t="shared" si="42"/>
        <v>382.84441399266029</v>
      </c>
      <c r="DA53" s="16">
        <f>IF(ISNA(VLOOKUP(A53,'Données projet'!$A$139:$I$159,3,0)),0,VLOOKUP(A53,'Données projet'!$A$139:$I$159,3,0))</f>
        <v>4</v>
      </c>
      <c r="DB53" s="16">
        <f>IF(ISNA(VLOOKUP(A53,'Données projet'!$A$139:$I$159,4,0)),0,VLOOKUP(A53,'Données projet'!$A$139:$I$159,4,0))</f>
        <v>38.299999999999997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63.173884427764428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10.375</v>
      </c>
      <c r="DO53" s="13">
        <f>IF('Données projet'!$A$166&gt;35,DO52+DN53-DW52,IF(A53&lt;'Données projet'!$A$166,$DL$205^A53,IF(A53='Données projet'!$A$166,'Données projet'!$B$166,DO52+DN53-DW52)))</f>
        <v>249.24999999999994</v>
      </c>
      <c r="DP53" s="18">
        <f>DO53*VLOOKUP('Données projet'!$B$14,Paramètres!$A$1:$I$89,3,0)*VLOOKUP('Données projet'!$B$14,Paramètres!$A$1:$I$89,5,0)</f>
        <v>194.41499999999996</v>
      </c>
      <c r="DQ53" s="14">
        <f t="shared" si="43"/>
        <v>48.514737888684969</v>
      </c>
      <c r="DR53" s="22">
        <f t="shared" si="16"/>
        <v>423.1026268227929</v>
      </c>
      <c r="DS53" s="60">
        <f t="shared" si="17"/>
        <v>691.40686972459571</v>
      </c>
      <c r="DT53" s="60">
        <f ca="1">AVERAGE(OFFSET($DS$3,0,0,'Données projet'!$E$14+1,1))-AVERAGE(OFFSET($H$3,0,0,'Données projet'!$E$14+1,1))</f>
        <v>305.68891030516761</v>
      </c>
      <c r="DU53" s="60">
        <f t="shared" si="44"/>
        <v>296.00275062228275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63.173884427764428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178</v>
      </c>
      <c r="EH53" s="13">
        <f>VLOOKUP(A53,'Données projet'!$A$191:$I$211,9,0)</f>
        <v>8.1999999999999993</v>
      </c>
      <c r="EI53" s="13">
        <f t="array" ref="EI53">INDEX(EH:EH,MIN(IF(ISNUMBER(EH53:EH249),ROW(EH53:EH249),"")))</f>
        <v>8.1999999999999993</v>
      </c>
      <c r="EJ53" s="13">
        <f>IF('Données projet'!$A$192&gt;35,EJ52+EI53-ER52,IF(A53&lt;'Données projet'!$A$192,$EG$205^A53,IF(A53='Données projet'!$A$192,'Données projet'!$B$192,EJ52+EI53-ER52)))</f>
        <v>178</v>
      </c>
      <c r="EK53" s="18">
        <f>EJ53*VLOOKUP('Données projet'!$B$15,Paramètres!$A$1:$I$89,3,0)*VLOOKUP('Données projet'!$B$15,Paramètres!$A$1:$I$89,5,0)</f>
        <v>172.16159999999999</v>
      </c>
      <c r="EL53" s="14">
        <f t="shared" si="45"/>
        <v>43.57379349403616</v>
      </c>
      <c r="EM53" s="22">
        <f t="shared" si="19"/>
        <v>375.7391436687796</v>
      </c>
      <c r="EN53" s="60">
        <f t="shared" si="20"/>
        <v>644.04338657058247</v>
      </c>
      <c r="EO53" s="60">
        <f ca="1">AVERAGE(OFFSET($EN$3,0,0,'Données projet'!$E$15+1,1))-AVERAGE(OFFSET($H$3,0,0,'Données projet'!$E$15+1,1))</f>
        <v>483.60545605360528</v>
      </c>
      <c r="EP53" s="60">
        <f t="shared" si="46"/>
        <v>256.96685577560345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63.173884427764428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0" t="e">
        <f t="shared" si="23"/>
        <v>#N/A</v>
      </c>
      <c r="FJ53" s="60" t="e">
        <f ca="1">AVERAGE(OFFSET($FI$3,0,0,'Données projet'!$E$16+1,1))-AVERAGE(OFFSET($H$3,0,0,'Données projet'!$E$16+1,1))</f>
        <v>#N/A</v>
      </c>
      <c r="FK53" s="60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63.173884427764428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0" t="e">
        <f t="shared" si="26"/>
        <v>#N/A</v>
      </c>
      <c r="GE53" s="60" t="e">
        <f ca="1">AVERAGE(OFFSET($GD$3,0,0,'Données projet'!$E$17+1,1))-AVERAGE(OFFSET($H$3,0,0,'Données projet'!$E$17+1,1))</f>
        <v>#N/A</v>
      </c>
      <c r="GF53" s="60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63.173884427764428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4">
        <f>'Scénario référence'!$B$16*5+'Scénario référence'!$B$17*0+'Scénario référence'!$B$18*5</f>
        <v>3.2750000000000004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12.008333333333335</v>
      </c>
      <c r="H54" s="67">
        <f t="shared" si="1"/>
        <v>208.63333333333333</v>
      </c>
      <c r="I54" s="7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63.292302272034547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186</v>
      </c>
      <c r="O54" s="14">
        <f>N54*VLOOKUP('Données projet'!$B$9,Paramètres!$A$1:$I$89,3,0)*VLOOKUP('Données projet'!$B$9,Paramètres!$A$1:$I$89,5,0)</f>
        <v>188.60400000000001</v>
      </c>
      <c r="P54" s="14">
        <f t="shared" si="33"/>
        <v>47.231184731814224</v>
      </c>
      <c r="Q54" s="22">
        <f t="shared" si="53"/>
        <v>410.74628007457642</v>
      </c>
      <c r="R54" s="60">
        <f t="shared" si="0"/>
        <v>679.48472173870312</v>
      </c>
      <c r="S54" s="60">
        <f ca="1">AVERAGE(OFFSET($R$3,0,0,'Données projet'!$E$9+1,1))-AVERAGE(OFFSET($H$3,0,0,'Données projet'!$E$9+1,1))</f>
        <v>503.64055031157477</v>
      </c>
      <c r="T54" s="60">
        <f t="shared" si="34"/>
        <v>266.76572540460842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63.292302272034547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186</v>
      </c>
      <c r="AJ54" s="14">
        <f>AI54*VLOOKUP('Données projet'!$B$10,Paramètres!$A$1:$I$89,3,0)*VLOOKUP('Données projet'!$B$10,Paramètres!$A$1:$I$89,5,0)</f>
        <v>168.2928</v>
      </c>
      <c r="AK54" s="14">
        <f t="shared" si="35"/>
        <v>42.707443263135104</v>
      </c>
      <c r="AL54" s="22">
        <f t="shared" si="4"/>
        <v>367.49209034996028</v>
      </c>
      <c r="AM54" s="60">
        <f t="shared" si="5"/>
        <v>636.23053201408698</v>
      </c>
      <c r="AN54" s="60">
        <f ca="1">AVERAGE(OFFSET($AM$3,0,0,'Données projet'!$E$10+1,1))-AVERAGE(OFFSET($H$3,0,0,'Données projet'!$E$10+1,1))</f>
        <v>456.86058467343139</v>
      </c>
      <c r="AO54" s="60">
        <f t="shared" si="36"/>
        <v>243.88495931574937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63.292302272034547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5.6410256410256405</v>
      </c>
      <c r="BD54" s="13">
        <f>IF('Données projet'!$A$88&gt;35,BD53+BC54-BL53,IF(A54&lt;'Données projet'!$A$88,$BA$205^A54,IF(A54='Données projet'!$A$88,'Données projet'!$B$88,BD53+BC54-BL53)))</f>
        <v>184.48717948717942</v>
      </c>
      <c r="BE54" s="14">
        <f>BD54*VLOOKUP('Données projet'!$B$11,Paramètres!$A$1:$I$89,3,0)*VLOOKUP('Données projet'!$B$11,Paramètres!$A$1:$I$89,5,0)</f>
        <v>192.82599999999994</v>
      </c>
      <c r="BF54" s="14">
        <f t="shared" si="37"/>
        <v>48.164203450161025</v>
      </c>
      <c r="BG54" s="22">
        <f t="shared" si="7"/>
        <v>419.72460434236359</v>
      </c>
      <c r="BH54" s="60">
        <f t="shared" si="8"/>
        <v>688.46304600649023</v>
      </c>
      <c r="BI54" s="60">
        <f ca="1">AVERAGE(OFFSET($BH$3,0,0,'Données projet'!$E$11+1,1))-AVERAGE(OFFSET($H$3,0,0,'Données projet'!$E$11+1,1))</f>
        <v>518.47226207416952</v>
      </c>
      <c r="BJ54" s="60">
        <f t="shared" si="38"/>
        <v>314.6379787306804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63.292302272034547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8</v>
      </c>
      <c r="BY54" s="13">
        <f>IF('Données projet'!$A$114&gt;35,BY53+BX54-CG53,IF(A54&lt;'Données projet'!$A$114,$BV$205^A54,IF(A54='Données projet'!$A$114,'Données projet'!$B$114,BY53+BX54-CG53)))</f>
        <v>186</v>
      </c>
      <c r="BZ54" s="14">
        <f>BY54*VLOOKUP('Données projet'!$B$12,Paramètres!$A$1:$I$89,3,0)*VLOOKUP('Données projet'!$B$12,Paramètres!$A$1:$I$89,5,0)</f>
        <v>200.21040000000002</v>
      </c>
      <c r="CA54" s="14">
        <f t="shared" si="39"/>
        <v>49.790404447235048</v>
      </c>
      <c r="CB54" s="22">
        <f t="shared" si="10"/>
        <v>435.41806774560104</v>
      </c>
      <c r="CC54" s="60">
        <f t="shared" si="11"/>
        <v>704.15650940972773</v>
      </c>
      <c r="CD54" s="60">
        <f ca="1">AVERAGE(OFFSET($CC$3,0,0,'Données projet'!$E$12+1,1))-AVERAGE(OFFSET($H$3,0,0,'Données projet'!$E$12+1,1))</f>
        <v>530.32456073177104</v>
      </c>
      <c r="CE54" s="60">
        <f t="shared" si="40"/>
        <v>279.81519428470625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63.292302272034547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6.119999999999993</v>
      </c>
      <c r="CT54" s="13">
        <f>IF('Données projet'!$A$140&gt;35,CT53+CS54-DB53,IF(A54&lt;'Données projet'!$A$140,$CQ$205^A54,IF(A54='Données projet'!$A$140,'Données projet'!$B$140,CT53+CS54-DB53)))</f>
        <v>208.0200000000001</v>
      </c>
      <c r="CU54" s="18">
        <f>CT54*VLOOKUP('Données projet'!$B$13,Paramètres!$A$1:$I$89,3,0)*VLOOKUP('Données projet'!$B$13,Paramètres!$A$1:$I$89,5,0)</f>
        <v>181.72627200000011</v>
      </c>
      <c r="CV54" s="14">
        <f t="shared" si="41"/>
        <v>45.706036273600446</v>
      </c>
      <c r="CW54" s="22">
        <f t="shared" si="13"/>
        <v>396.11127024318756</v>
      </c>
      <c r="CX54" s="60">
        <f t="shared" si="14"/>
        <v>664.84971190731426</v>
      </c>
      <c r="CY54" s="60">
        <f ca="1">AVERAGE(OFFSET($CX$3,0,0,'Données projet'!$E$13+1,1))-AVERAGE(OFFSET($H$3,0,0,'Données projet'!$E$13+1,1))</f>
        <v>355.03862261578701</v>
      </c>
      <c r="CZ54" s="60">
        <f t="shared" si="42"/>
        <v>382.84441399266029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63.292302272034547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10.375</v>
      </c>
      <c r="DO54" s="13">
        <f>IF('Données projet'!$A$166&gt;35,DO53+DN54-DW53,IF(A54&lt;'Données projet'!$A$166,$DL$205^A54,IF(A54='Données projet'!$A$166,'Données projet'!$B$166,DO53+DN54-DW53)))</f>
        <v>259.62499999999994</v>
      </c>
      <c r="DP54" s="18">
        <f>DO54*VLOOKUP('Données projet'!$B$14,Paramètres!$A$1:$I$89,3,0)*VLOOKUP('Données projet'!$B$14,Paramètres!$A$1:$I$89,5,0)</f>
        <v>202.50749999999996</v>
      </c>
      <c r="DQ54" s="14">
        <f t="shared" si="43"/>
        <v>50.294840086606349</v>
      </c>
      <c r="DR54" s="22">
        <f t="shared" si="16"/>
        <v>440.29740898417259</v>
      </c>
      <c r="DS54" s="60">
        <f t="shared" si="17"/>
        <v>709.03585064829929</v>
      </c>
      <c r="DT54" s="60">
        <f ca="1">AVERAGE(OFFSET($DS$3,0,0,'Données projet'!$E$14+1,1))-AVERAGE(OFFSET($H$3,0,0,'Données projet'!$E$14+1,1))</f>
        <v>305.68891030516761</v>
      </c>
      <c r="DU54" s="60">
        <f t="shared" si="44"/>
        <v>296.00275062228275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63.292302272034547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8</v>
      </c>
      <c r="EJ54" s="13">
        <f>IF('Données projet'!$A$192&gt;35,EJ53+EI54-ER53,IF(A54&lt;'Données projet'!$A$192,$EG$205^A54,IF(A54='Données projet'!$A$192,'Données projet'!$B$192,EJ53+EI54-ER53)))</f>
        <v>186</v>
      </c>
      <c r="EK54" s="18">
        <f>EJ54*VLOOKUP('Données projet'!$B$15,Paramètres!$A$1:$I$89,3,0)*VLOOKUP('Données projet'!$B$15,Paramètres!$A$1:$I$89,5,0)</f>
        <v>179.89920000000001</v>
      </c>
      <c r="EL54" s="14">
        <f t="shared" si="45"/>
        <v>45.299759292628586</v>
      </c>
      <c r="EM54" s="22">
        <f t="shared" si="19"/>
        <v>392.22152076799483</v>
      </c>
      <c r="EN54" s="60">
        <f t="shared" si="20"/>
        <v>660.95996243212153</v>
      </c>
      <c r="EO54" s="60">
        <f ca="1">AVERAGE(OFFSET($EN$3,0,0,'Données projet'!$E$15+1,1))-AVERAGE(OFFSET($H$3,0,0,'Données projet'!$E$15+1,1))</f>
        <v>483.60545605360528</v>
      </c>
      <c r="EP54" s="60">
        <f t="shared" si="46"/>
        <v>256.96685577560345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63.292302272034547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0" t="e">
        <f t="shared" si="23"/>
        <v>#N/A</v>
      </c>
      <c r="FJ54" s="60" t="e">
        <f ca="1">AVERAGE(OFFSET($FI$3,0,0,'Données projet'!$E$16+1,1))-AVERAGE(OFFSET($H$3,0,0,'Données projet'!$E$16+1,1))</f>
        <v>#N/A</v>
      </c>
      <c r="FK54" s="60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63.292302272034547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0" t="e">
        <f t="shared" si="26"/>
        <v>#N/A</v>
      </c>
      <c r="GE54" s="60" t="e">
        <f ca="1">AVERAGE(OFFSET($GD$3,0,0,'Données projet'!$E$17+1,1))-AVERAGE(OFFSET($H$3,0,0,'Données projet'!$E$17+1,1))</f>
        <v>#N/A</v>
      </c>
      <c r="GF54" s="60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63.292302272034547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4">
        <f>'Scénario référence'!$B$16*5+'Scénario référence'!$B$17*0+'Scénario référence'!$B$18*5</f>
        <v>3.2750000000000004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12.008333333333335</v>
      </c>
      <c r="H55" s="67">
        <f t="shared" si="1"/>
        <v>208.63333333333333</v>
      </c>
      <c r="I55" s="7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63.408665831449213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194</v>
      </c>
      <c r="O55" s="14">
        <f>N55*VLOOKUP('Données projet'!$B$9,Paramètres!$A$1:$I$89,3,0)*VLOOKUP('Données projet'!$B$9,Paramètres!$A$1:$I$89,5,0)</f>
        <v>196.71600000000001</v>
      </c>
      <c r="P55" s="14">
        <f t="shared" si="33"/>
        <v>49.021749959730009</v>
      </c>
      <c r="Q55" s="22">
        <f t="shared" si="53"/>
        <v>427.99324784652981</v>
      </c>
      <c r="R55" s="60">
        <f t="shared" si="0"/>
        <v>697.15835589517701</v>
      </c>
      <c r="S55" s="60">
        <f ca="1">AVERAGE(OFFSET($R$3,0,0,'Données projet'!$E$9+1,1))-AVERAGE(OFFSET($H$3,0,0,'Données projet'!$E$9+1,1))</f>
        <v>503.64055031157477</v>
      </c>
      <c r="T55" s="60">
        <f t="shared" si="34"/>
        <v>266.76572540460842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63.408665831449213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194</v>
      </c>
      <c r="AJ55" s="14">
        <f>AI55*VLOOKUP('Données projet'!$B$10,Paramètres!$A$1:$I$89,3,0)*VLOOKUP('Données projet'!$B$10,Paramètres!$A$1:$I$89,5,0)</f>
        <v>175.53120000000001</v>
      </c>
      <c r="AK55" s="14">
        <f t="shared" si="35"/>
        <v>44.326510481422488</v>
      </c>
      <c r="AL55" s="22">
        <f t="shared" si="4"/>
        <v>382.9188457551441</v>
      </c>
      <c r="AM55" s="60">
        <f t="shared" si="5"/>
        <v>652.08395380379125</v>
      </c>
      <c r="AN55" s="60">
        <f ca="1">AVERAGE(OFFSET($AM$3,0,0,'Données projet'!$E$10+1,1))-AVERAGE(OFFSET($H$3,0,0,'Données projet'!$E$10+1,1))</f>
        <v>456.86058467343139</v>
      </c>
      <c r="AO55" s="60">
        <f t="shared" si="36"/>
        <v>243.88495931574937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63.408665831449213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5.6410256410256405</v>
      </c>
      <c r="BD55" s="13">
        <f>IF('Données projet'!$A$88&gt;35,BD54+BC55-BL54,IF(A55&lt;'Données projet'!$A$88,$BA$205^A55,IF(A55='Données projet'!$A$88,'Données projet'!$B$88,BD54+BC55-BL54)))</f>
        <v>190.12820512820505</v>
      </c>
      <c r="BE55" s="14">
        <f>BD55*VLOOKUP('Données projet'!$B$11,Paramètres!$A$1:$I$89,3,0)*VLOOKUP('Données projet'!$B$11,Paramètres!$A$1:$I$89,5,0)</f>
        <v>198.72199999999992</v>
      </c>
      <c r="BF55" s="14">
        <f t="shared" si="37"/>
        <v>49.463197303970119</v>
      </c>
      <c r="BG55" s="22">
        <f t="shared" si="7"/>
        <v>432.25588530441445</v>
      </c>
      <c r="BH55" s="60">
        <f t="shared" si="8"/>
        <v>701.42099335306159</v>
      </c>
      <c r="BI55" s="60">
        <f ca="1">AVERAGE(OFFSET($BH$3,0,0,'Données projet'!$E$11+1,1))-AVERAGE(OFFSET($H$3,0,0,'Données projet'!$E$11+1,1))</f>
        <v>518.47226207416952</v>
      </c>
      <c r="BJ55" s="60">
        <f t="shared" si="38"/>
        <v>314.6379787306804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63.408665831449213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8</v>
      </c>
      <c r="BY55" s="13">
        <f>IF('Données projet'!$A$114&gt;35,BY54+BX55-CG54,IF(A55&lt;'Données projet'!$A$114,$BV$205^A55,IF(A55='Données projet'!$A$114,'Données projet'!$B$114,BY54+BX55-CG54)))</f>
        <v>194</v>
      </c>
      <c r="BZ55" s="14">
        <f>BY55*VLOOKUP('Données projet'!$B$12,Paramètres!$A$1:$I$89,3,0)*VLOOKUP('Données projet'!$B$12,Paramètres!$A$1:$I$89,5,0)</f>
        <v>208.82159999999999</v>
      </c>
      <c r="CA55" s="14">
        <f t="shared" si="39"/>
        <v>51.6779913750944</v>
      </c>
      <c r="CB55" s="22">
        <f t="shared" si="10"/>
        <v>453.70345497828936</v>
      </c>
      <c r="CC55" s="60">
        <f t="shared" si="11"/>
        <v>722.8685630269365</v>
      </c>
      <c r="CD55" s="60">
        <f ca="1">AVERAGE(OFFSET($CC$3,0,0,'Données projet'!$E$12+1,1))-AVERAGE(OFFSET($H$3,0,0,'Données projet'!$E$12+1,1))</f>
        <v>530.32456073177104</v>
      </c>
      <c r="CE55" s="60">
        <f t="shared" si="40"/>
        <v>279.81519428470625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63.408665831449213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6.119999999999993</v>
      </c>
      <c r="CT55" s="13">
        <f>IF('Données projet'!$A$140&gt;35,CT54+CS55-DB54,IF(A55&lt;'Données projet'!$A$140,$CQ$205^A55,IF(A55='Données projet'!$A$140,'Données projet'!$B$140,CT54+CS55-DB54)))</f>
        <v>214.1400000000001</v>
      </c>
      <c r="CU55" s="18">
        <f>CT55*VLOOKUP('Données projet'!$B$13,Paramètres!$A$1:$I$89,3,0)*VLOOKUP('Données projet'!$B$13,Paramètres!$A$1:$I$89,5,0)</f>
        <v>187.0727040000001</v>
      </c>
      <c r="CV55" s="14">
        <f t="shared" si="41"/>
        <v>46.892185598822181</v>
      </c>
      <c r="CW55" s="22">
        <f t="shared" si="13"/>
        <v>407.48884938461543</v>
      </c>
      <c r="CX55" s="60">
        <f t="shared" si="14"/>
        <v>676.65395743326258</v>
      </c>
      <c r="CY55" s="60">
        <f ca="1">AVERAGE(OFFSET($CX$3,0,0,'Données projet'!$E$13+1,1))-AVERAGE(OFFSET($H$3,0,0,'Données projet'!$E$13+1,1))</f>
        <v>355.03862261578701</v>
      </c>
      <c r="CZ55" s="60">
        <f t="shared" si="42"/>
        <v>382.84441399266029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63.408665831449213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>
        <f>VLOOKUP(A55,'Données projet'!$A$165:$I$185,2,0)</f>
        <v>270</v>
      </c>
      <c r="DM55" s="13">
        <f>VLOOKUP(A55,'Données projet'!$A$165:$I$185,9,0)</f>
        <v>10.375</v>
      </c>
      <c r="DN55" s="13">
        <f t="array" ref="DN55">INDEX(DM:DM,MIN(IF(ISNUMBER(DM55:DM251),ROW(DM55:DM251),"")))</f>
        <v>10.375</v>
      </c>
      <c r="DO55" s="13">
        <f>IF('Données projet'!$A$166&gt;35,DO54+DN55-DW54,IF(A55&lt;'Données projet'!$A$166,$DL$205^A55,IF(A55='Données projet'!$A$166,'Données projet'!$B$166,DO54+DN55-DW54)))</f>
        <v>269.99999999999994</v>
      </c>
      <c r="DP55" s="18">
        <f>DO55*VLOOKUP('Données projet'!$B$14,Paramètres!$A$1:$I$89,3,0)*VLOOKUP('Données projet'!$B$14,Paramètres!$A$1:$I$89,5,0)</f>
        <v>210.59999999999997</v>
      </c>
      <c r="DQ55" s="14">
        <f t="shared" si="43"/>
        <v>52.066679014659961</v>
      </c>
      <c r="DR55" s="22">
        <f t="shared" si="16"/>
        <v>457.47779928386598</v>
      </c>
      <c r="DS55" s="60">
        <f t="shared" si="17"/>
        <v>726.64290733251312</v>
      </c>
      <c r="DT55" s="60">
        <f ca="1">AVERAGE(OFFSET($DS$3,0,0,'Données projet'!$E$14+1,1))-AVERAGE(OFFSET($H$3,0,0,'Données projet'!$E$14+1,1))</f>
        <v>305.68891030516761</v>
      </c>
      <c r="DU55" s="60">
        <f t="shared" si="44"/>
        <v>296.00275062228275</v>
      </c>
      <c r="DV55" s="16">
        <f>IF(ISNA(VLOOKUP(A55,'Données projet'!$A$165:$I$185,3,0)),0,VLOOKUP(A55,'Données projet'!$A$165:$I$185,3,0))</f>
        <v>5</v>
      </c>
      <c r="DW55" s="16">
        <f>IF(ISNA(VLOOKUP(A55,'Données projet'!$A$165:$I$185,4,0)),0,VLOOKUP(A55,'Données projet'!$A$165:$I$185,4,0))</f>
        <v>48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63.408665831449213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8</v>
      </c>
      <c r="EJ55" s="13">
        <f>IF('Données projet'!$A$192&gt;35,EJ54+EI55-ER54,IF(A55&lt;'Données projet'!$A$192,$EG$205^A55,IF(A55='Données projet'!$A$192,'Données projet'!$B$192,EJ54+EI55-ER54)))</f>
        <v>194</v>
      </c>
      <c r="EK55" s="18">
        <f>EJ55*VLOOKUP('Données projet'!$B$15,Paramètres!$A$1:$I$89,3,0)*VLOOKUP('Données projet'!$B$15,Paramètres!$A$1:$I$89,5,0)</f>
        <v>187.63680000000002</v>
      </c>
      <c r="EL55" s="14">
        <f t="shared" si="45"/>
        <v>47.01710291385907</v>
      </c>
      <c r="EM55" s="22">
        <f t="shared" si="19"/>
        <v>408.68888090830461</v>
      </c>
      <c r="EN55" s="60">
        <f t="shared" si="20"/>
        <v>677.85398895695175</v>
      </c>
      <c r="EO55" s="60">
        <f ca="1">AVERAGE(OFFSET($EN$3,0,0,'Données projet'!$E$15+1,1))-AVERAGE(OFFSET($H$3,0,0,'Données projet'!$E$15+1,1))</f>
        <v>483.60545605360528</v>
      </c>
      <c r="EP55" s="60">
        <f t="shared" si="46"/>
        <v>256.96685577560345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63.408665831449213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0" t="e">
        <f t="shared" si="23"/>
        <v>#N/A</v>
      </c>
      <c r="FJ55" s="60" t="e">
        <f ca="1">AVERAGE(OFFSET($FI$3,0,0,'Données projet'!$E$16+1,1))-AVERAGE(OFFSET($H$3,0,0,'Données projet'!$E$16+1,1))</f>
        <v>#N/A</v>
      </c>
      <c r="FK55" s="60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63.408665831449213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0" t="e">
        <f t="shared" si="26"/>
        <v>#N/A</v>
      </c>
      <c r="GE55" s="60" t="e">
        <f ca="1">AVERAGE(OFFSET($GD$3,0,0,'Données projet'!$E$17+1,1))-AVERAGE(OFFSET($H$3,0,0,'Données projet'!$E$17+1,1))</f>
        <v>#N/A</v>
      </c>
      <c r="GF55" s="60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63.408665831449213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4">
        <f>'Scénario référence'!$B$16*5+'Scénario référence'!$B$17*0+'Scénario référence'!$B$18*5</f>
        <v>3.2750000000000004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12.008333333333335</v>
      </c>
      <c r="H56" s="67">
        <f t="shared" si="1"/>
        <v>208.63333333333333</v>
      </c>
      <c r="I56" s="7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63.523010743257984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202</v>
      </c>
      <c r="O56" s="14">
        <f>N56*VLOOKUP('Données projet'!$B$9,Paramètres!$A$1:$I$89,3,0)*VLOOKUP('Données projet'!$B$9,Paramètres!$A$1:$I$89,5,0)</f>
        <v>204.82800000000003</v>
      </c>
      <c r="P56" s="14">
        <f t="shared" si="33"/>
        <v>50.80373850176295</v>
      </c>
      <c r="Q56" s="22">
        <f t="shared" si="53"/>
        <v>445.22527789057045</v>
      </c>
      <c r="R56" s="60">
        <f t="shared" si="0"/>
        <v>714.8096506158497</v>
      </c>
      <c r="S56" s="60">
        <f ca="1">AVERAGE(OFFSET($R$3,0,0,'Données projet'!$E$9+1,1))-AVERAGE(OFFSET($H$3,0,0,'Données projet'!$E$9+1,1))</f>
        <v>503.64055031157477</v>
      </c>
      <c r="T56" s="60">
        <f t="shared" si="34"/>
        <v>266.76572540460842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63.523010743257984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202</v>
      </c>
      <c r="AJ56" s="14">
        <f>AI56*VLOOKUP('Données projet'!$B$10,Paramètres!$A$1:$I$89,3,0)*VLOOKUP('Données projet'!$B$10,Paramètres!$A$1:$I$89,5,0)</f>
        <v>182.7696</v>
      </c>
      <c r="AK56" s="14">
        <f t="shared" si="35"/>
        <v>45.937822477650357</v>
      </c>
      <c r="AL56" s="22">
        <f t="shared" si="4"/>
        <v>398.33209414857441</v>
      </c>
      <c r="AM56" s="60">
        <f t="shared" si="5"/>
        <v>667.91646687385366</v>
      </c>
      <c r="AN56" s="60">
        <f ca="1">AVERAGE(OFFSET($AM$3,0,0,'Données projet'!$E$10+1,1))-AVERAGE(OFFSET($H$3,0,0,'Données projet'!$E$10+1,1))</f>
        <v>456.86058467343139</v>
      </c>
      <c r="AO56" s="60">
        <f t="shared" si="36"/>
        <v>243.88495931574937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63.523010743257984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5.6410256410256405</v>
      </c>
      <c r="BD56" s="13">
        <f>IF('Données projet'!$A$88&gt;35,BD55+BC56-BL55,IF(A56&lt;'Données projet'!$A$88,$BA$205^A56,IF(A56='Données projet'!$A$88,'Données projet'!$B$88,BD55+BC56-BL55)))</f>
        <v>195.76923076923069</v>
      </c>
      <c r="BE56" s="14">
        <f>BD56*VLOOKUP('Données projet'!$B$11,Paramètres!$A$1:$I$89,3,0)*VLOOKUP('Données projet'!$B$11,Paramètres!$A$1:$I$89,5,0)</f>
        <v>204.61799999999994</v>
      </c>
      <c r="BF56" s="14">
        <f t="shared" si="37"/>
        <v>50.757712073649664</v>
      </c>
      <c r="BG56" s="22">
        <f t="shared" si="7"/>
        <v>444.77936519493966</v>
      </c>
      <c r="BH56" s="60">
        <f t="shared" si="8"/>
        <v>714.36373792021891</v>
      </c>
      <c r="BI56" s="60">
        <f ca="1">AVERAGE(OFFSET($BH$3,0,0,'Données projet'!$E$11+1,1))-AVERAGE(OFFSET($H$3,0,0,'Données projet'!$E$11+1,1))</f>
        <v>518.47226207416952</v>
      </c>
      <c r="BJ56" s="60">
        <f t="shared" si="38"/>
        <v>314.6379787306804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63.523010743257984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8</v>
      </c>
      <c r="BY56" s="13">
        <f>IF('Données projet'!$A$114&gt;35,BY55+BX56-CG55,IF(A56&lt;'Données projet'!$A$114,$BV$205^A56,IF(A56='Données projet'!$A$114,'Données projet'!$B$114,BY55+BX56-CG55)))</f>
        <v>202</v>
      </c>
      <c r="BZ56" s="14">
        <f>BY56*VLOOKUP('Données projet'!$B$12,Paramètres!$A$1:$I$89,3,0)*VLOOKUP('Données projet'!$B$12,Paramètres!$A$1:$I$89,5,0)</f>
        <v>217.43280000000001</v>
      </c>
      <c r="CA56" s="14">
        <f t="shared" si="39"/>
        <v>53.556536889714792</v>
      </c>
      <c r="CB56" s="22">
        <f t="shared" si="10"/>
        <v>471.97309508291988</v>
      </c>
      <c r="CC56" s="60">
        <f t="shared" si="11"/>
        <v>741.55746780819914</v>
      </c>
      <c r="CD56" s="60">
        <f ca="1">AVERAGE(OFFSET($CC$3,0,0,'Données projet'!$E$12+1,1))-AVERAGE(OFFSET($H$3,0,0,'Données projet'!$E$12+1,1))</f>
        <v>530.32456073177104</v>
      </c>
      <c r="CE56" s="60">
        <f t="shared" si="40"/>
        <v>279.81519428470625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63.523010743257984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6.119999999999993</v>
      </c>
      <c r="CT56" s="13">
        <f>IF('Données projet'!$A$140&gt;35,CT55+CS56-DB55,IF(A56&lt;'Données projet'!$A$140,$CQ$205^A56,IF(A56='Données projet'!$A$140,'Données projet'!$B$140,CT55+CS56-DB55)))</f>
        <v>220.2600000000001</v>
      </c>
      <c r="CU56" s="18">
        <f>CT56*VLOOKUP('Données projet'!$B$13,Paramètres!$A$1:$I$89,3,0)*VLOOKUP('Données projet'!$B$13,Paramètres!$A$1:$I$89,5,0)</f>
        <v>192.41913600000012</v>
      </c>
      <c r="CV56" s="14">
        <f t="shared" si="41"/>
        <v>48.074395014300762</v>
      </c>
      <c r="CW56" s="22">
        <f t="shared" si="13"/>
        <v>418.85956651657403</v>
      </c>
      <c r="CX56" s="60">
        <f t="shared" si="14"/>
        <v>688.44393924185329</v>
      </c>
      <c r="CY56" s="60">
        <f ca="1">AVERAGE(OFFSET($CX$3,0,0,'Données projet'!$E$13+1,1))-AVERAGE(OFFSET($H$3,0,0,'Données projet'!$E$13+1,1))</f>
        <v>355.03862261578701</v>
      </c>
      <c r="CZ56" s="60">
        <f t="shared" si="42"/>
        <v>382.84441399266029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63.523010743257984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9.375</v>
      </c>
      <c r="DO56" s="13">
        <f>IF('Données projet'!$A$166&gt;35,DO55+DN56-DW55,IF(A56&lt;'Données projet'!$A$166,$DL$205^A56,IF(A56='Données projet'!$A$166,'Données projet'!$B$166,DO55+DN56-DW55)))</f>
        <v>231.37499999999994</v>
      </c>
      <c r="DP56" s="18">
        <f>DO56*VLOOKUP('Données projet'!$B$14,Paramètres!$A$1:$I$89,3,0)*VLOOKUP('Données projet'!$B$14,Paramètres!$A$1:$I$89,5,0)</f>
        <v>180.47249999999997</v>
      </c>
      <c r="DQ56" s="14">
        <f t="shared" si="43"/>
        <v>45.427292666837829</v>
      </c>
      <c r="DR56" s="22">
        <f t="shared" si="16"/>
        <v>393.44213889474253</v>
      </c>
      <c r="DS56" s="60">
        <f t="shared" si="17"/>
        <v>663.02651162002178</v>
      </c>
      <c r="DT56" s="60">
        <f ca="1">AVERAGE(OFFSET($DS$3,0,0,'Données projet'!$E$14+1,1))-AVERAGE(OFFSET($H$3,0,0,'Données projet'!$E$14+1,1))</f>
        <v>305.68891030516761</v>
      </c>
      <c r="DU56" s="60">
        <f t="shared" si="44"/>
        <v>296.00275062228275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63.523010743257984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8</v>
      </c>
      <c r="EJ56" s="13">
        <f>IF('Données projet'!$A$192&gt;35,EJ55+EI56-ER55,IF(A56&lt;'Données projet'!$A$192,$EG$205^A56,IF(A56='Données projet'!$A$192,'Données projet'!$B$192,EJ55+EI56-ER55)))</f>
        <v>202</v>
      </c>
      <c r="EK56" s="18">
        <f>EJ56*VLOOKUP('Données projet'!$B$15,Paramètres!$A$1:$I$89,3,0)*VLOOKUP('Données projet'!$B$15,Paramètres!$A$1:$I$89,5,0)</f>
        <v>195.37440000000001</v>
      </c>
      <c r="EL56" s="14">
        <f t="shared" si="45"/>
        <v>48.726220575731652</v>
      </c>
      <c r="EM56" s="22">
        <f t="shared" si="19"/>
        <v>425.14191416939929</v>
      </c>
      <c r="EN56" s="60">
        <f t="shared" si="20"/>
        <v>694.72628689467854</v>
      </c>
      <c r="EO56" s="60">
        <f ca="1">AVERAGE(OFFSET($EN$3,0,0,'Données projet'!$E$15+1,1))-AVERAGE(OFFSET($H$3,0,0,'Données projet'!$E$15+1,1))</f>
        <v>483.60545605360528</v>
      </c>
      <c r="EP56" s="60">
        <f t="shared" si="46"/>
        <v>256.96685577560345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63.523010743257984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0" t="e">
        <f t="shared" si="23"/>
        <v>#N/A</v>
      </c>
      <c r="FJ56" s="60" t="e">
        <f ca="1">AVERAGE(OFFSET($FI$3,0,0,'Données projet'!$E$16+1,1))-AVERAGE(OFFSET($H$3,0,0,'Données projet'!$E$16+1,1))</f>
        <v>#N/A</v>
      </c>
      <c r="FK56" s="60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63.523010743257984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0" t="e">
        <f t="shared" si="26"/>
        <v>#N/A</v>
      </c>
      <c r="GE56" s="60" t="e">
        <f ca="1">AVERAGE(OFFSET($GD$3,0,0,'Données projet'!$E$17+1,1))-AVERAGE(OFFSET($H$3,0,0,'Données projet'!$E$17+1,1))</f>
        <v>#N/A</v>
      </c>
      <c r="GF56" s="60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63.523010743257984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4">
        <f>'Scénario référence'!$B$16*5+'Scénario référence'!$B$17*0+'Scénario référence'!$B$18*5</f>
        <v>3.2750000000000004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12.008333333333335</v>
      </c>
      <c r="H57" s="67">
        <f t="shared" si="1"/>
        <v>208.63333333333333</v>
      </c>
      <c r="I57" s="7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63.635372026483793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210</v>
      </c>
      <c r="O57" s="14">
        <f>N57*VLOOKUP('Données projet'!$B$9,Paramètres!$A$1:$I$89,3,0)*VLOOKUP('Données projet'!$B$9,Paramètres!$A$1:$I$89,5,0)</f>
        <v>212.94</v>
      </c>
      <c r="P57" s="14">
        <f t="shared" si="33"/>
        <v>52.577528895212865</v>
      </c>
      <c r="Q57" s="22">
        <f t="shared" si="53"/>
        <v>462.44302949249573</v>
      </c>
      <c r="R57" s="60">
        <f t="shared" si="0"/>
        <v>732.43939358960301</v>
      </c>
      <c r="S57" s="60">
        <f ca="1">AVERAGE(OFFSET($R$3,0,0,'Données projet'!$E$9+1,1))-AVERAGE(OFFSET($H$3,0,0,'Données projet'!$E$9+1,1))</f>
        <v>503.64055031157477</v>
      </c>
      <c r="T57" s="60">
        <f t="shared" si="34"/>
        <v>266.76572540460842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63.635372026483793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210</v>
      </c>
      <c r="AJ57" s="14">
        <f>AI57*VLOOKUP('Données projet'!$B$10,Paramètres!$A$1:$I$89,3,0)*VLOOKUP('Données projet'!$B$10,Paramètres!$A$1:$I$89,5,0)</f>
        <v>190.00800000000001</v>
      </c>
      <c r="AK57" s="14">
        <f t="shared" si="35"/>
        <v>47.541721533308163</v>
      </c>
      <c r="AL57" s="22">
        <f t="shared" si="4"/>
        <v>413.73243167051174</v>
      </c>
      <c r="AM57" s="60">
        <f t="shared" si="5"/>
        <v>683.72879576761898</v>
      </c>
      <c r="AN57" s="60">
        <f ca="1">AVERAGE(OFFSET($AM$3,0,0,'Données projet'!$E$10+1,1))-AVERAGE(OFFSET($H$3,0,0,'Données projet'!$E$10+1,1))</f>
        <v>456.86058467343139</v>
      </c>
      <c r="AO57" s="60">
        <f t="shared" si="36"/>
        <v>243.88495931574937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63.635372026483793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5.6410256410256405</v>
      </c>
      <c r="BD57" s="13">
        <f>IF('Données projet'!$A$88&gt;35,BD56+BC57-BL56,IF(A57&lt;'Données projet'!$A$88,$BA$205^A57,IF(A57='Données projet'!$A$88,'Données projet'!$B$88,BD56+BC57-BL56)))</f>
        <v>201.41025641025632</v>
      </c>
      <c r="BE57" s="14">
        <f>BD57*VLOOKUP('Données projet'!$B$11,Paramètres!$A$1:$I$89,3,0)*VLOOKUP('Données projet'!$B$11,Paramètres!$A$1:$I$89,5,0)</f>
        <v>210.51399999999992</v>
      </c>
      <c r="BF57" s="14">
        <f t="shared" si="37"/>
        <v>52.047891644487855</v>
      </c>
      <c r="BG57" s="22">
        <f t="shared" si="7"/>
        <v>457.2952946141495</v>
      </c>
      <c r="BH57" s="60">
        <f t="shared" si="8"/>
        <v>727.29165871125679</v>
      </c>
      <c r="BI57" s="60">
        <f ca="1">AVERAGE(OFFSET($BH$3,0,0,'Données projet'!$E$11+1,1))-AVERAGE(OFFSET($H$3,0,0,'Données projet'!$E$11+1,1))</f>
        <v>518.47226207416952</v>
      </c>
      <c r="BJ57" s="60">
        <f t="shared" si="38"/>
        <v>314.6379787306804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63.635372026483793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8</v>
      </c>
      <c r="BY57" s="13">
        <f>IF('Données projet'!$A$114&gt;35,BY56+BX57-CG56,IF(A57&lt;'Données projet'!$A$114,$BV$205^A57,IF(A57='Données projet'!$A$114,'Données projet'!$B$114,BY56+BX57-CG56)))</f>
        <v>210</v>
      </c>
      <c r="BZ57" s="14">
        <f>BY57*VLOOKUP('Données projet'!$B$12,Paramètres!$A$1:$I$89,3,0)*VLOOKUP('Données projet'!$B$12,Paramètres!$A$1:$I$89,5,0)</f>
        <v>226.04399999999998</v>
      </c>
      <c r="CA57" s="14">
        <f t="shared" si="39"/>
        <v>55.426440039423504</v>
      </c>
      <c r="CB57" s="22">
        <f t="shared" si="10"/>
        <v>490.22768306866254</v>
      </c>
      <c r="CC57" s="60">
        <f t="shared" si="11"/>
        <v>760.22404716576978</v>
      </c>
      <c r="CD57" s="60">
        <f ca="1">AVERAGE(OFFSET($CC$3,0,0,'Données projet'!$E$12+1,1))-AVERAGE(OFFSET($H$3,0,0,'Données projet'!$E$12+1,1))</f>
        <v>530.32456073177104</v>
      </c>
      <c r="CE57" s="60">
        <f t="shared" si="40"/>
        <v>279.81519428470625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63.635372026483793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6.119999999999993</v>
      </c>
      <c r="CT57" s="13">
        <f>IF('Données projet'!$A$140&gt;35,CT56+CS57-DB56,IF(A57&lt;'Données projet'!$A$140,$CQ$205^A57,IF(A57='Données projet'!$A$140,'Données projet'!$B$140,CT56+CS57-DB56)))</f>
        <v>226.38000000000011</v>
      </c>
      <c r="CU57" s="18">
        <f>CT57*VLOOKUP('Données projet'!$B$13,Paramètres!$A$1:$I$89,3,0)*VLOOKUP('Données projet'!$B$13,Paramètres!$A$1:$I$89,5,0)</f>
        <v>197.76556800000012</v>
      </c>
      <c r="CV57" s="14">
        <f t="shared" si="41"/>
        <v>49.252786568689096</v>
      </c>
      <c r="CW57" s="22">
        <f t="shared" si="13"/>
        <v>430.22363420713367</v>
      </c>
      <c r="CX57" s="60">
        <f t="shared" si="14"/>
        <v>700.2199983042409</v>
      </c>
      <c r="CY57" s="60">
        <f ca="1">AVERAGE(OFFSET($CX$3,0,0,'Données projet'!$E$13+1,1))-AVERAGE(OFFSET($H$3,0,0,'Données projet'!$E$13+1,1))</f>
        <v>355.03862261578701</v>
      </c>
      <c r="CZ57" s="60">
        <f t="shared" si="42"/>
        <v>382.84441399266029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63.635372026483793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9.375</v>
      </c>
      <c r="DO57" s="13">
        <f>IF('Données projet'!$A$166&gt;35,DO56+DN57-DW56,IF(A57&lt;'Données projet'!$A$166,$DL$205^A57,IF(A57='Données projet'!$A$166,'Données projet'!$B$166,DO56+DN57-DW56)))</f>
        <v>240.74999999999994</v>
      </c>
      <c r="DP57" s="18">
        <f>DO57*VLOOKUP('Données projet'!$B$14,Paramètres!$A$1:$I$89,3,0)*VLOOKUP('Données projet'!$B$14,Paramètres!$A$1:$I$89,5,0)</f>
        <v>187.78499999999997</v>
      </c>
      <c r="DQ57" s="14">
        <f t="shared" si="43"/>
        <v>47.049914090154054</v>
      </c>
      <c r="DR57" s="22">
        <f t="shared" si="16"/>
        <v>409.00414204035161</v>
      </c>
      <c r="DS57" s="60">
        <f t="shared" si="17"/>
        <v>679.00050613745884</v>
      </c>
      <c r="DT57" s="60">
        <f ca="1">AVERAGE(OFFSET($DS$3,0,0,'Données projet'!$E$14+1,1))-AVERAGE(OFFSET($H$3,0,0,'Données projet'!$E$14+1,1))</f>
        <v>305.68891030516761</v>
      </c>
      <c r="DU57" s="60">
        <f t="shared" si="44"/>
        <v>296.00275062228275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63.635372026483793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8</v>
      </c>
      <c r="EJ57" s="13">
        <f>IF('Données projet'!$A$192&gt;35,EJ56+EI57-ER56,IF(A57&lt;'Données projet'!$A$192,$EG$205^A57,IF(A57='Données projet'!$A$192,'Données projet'!$B$192,EJ56+EI57-ER56)))</f>
        <v>210</v>
      </c>
      <c r="EK57" s="18">
        <f>EJ57*VLOOKUP('Données projet'!$B$15,Paramètres!$A$1:$I$89,3,0)*VLOOKUP('Données projet'!$B$15,Paramètres!$A$1:$I$89,5,0)</f>
        <v>203.11199999999999</v>
      </c>
      <c r="EL57" s="14">
        <f t="shared" si="45"/>
        <v>50.427475336015782</v>
      </c>
      <c r="EM57" s="22">
        <f t="shared" si="19"/>
        <v>441.5812528768941</v>
      </c>
      <c r="EN57" s="60">
        <f t="shared" si="20"/>
        <v>711.57761697400133</v>
      </c>
      <c r="EO57" s="60">
        <f ca="1">AVERAGE(OFFSET($EN$3,0,0,'Données projet'!$E$15+1,1))-AVERAGE(OFFSET($H$3,0,0,'Données projet'!$E$15+1,1))</f>
        <v>483.60545605360528</v>
      </c>
      <c r="EP57" s="60">
        <f t="shared" si="46"/>
        <v>256.96685577560345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63.635372026483793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0" t="e">
        <f t="shared" si="23"/>
        <v>#N/A</v>
      </c>
      <c r="FJ57" s="60" t="e">
        <f ca="1">AVERAGE(OFFSET($FI$3,0,0,'Données projet'!$E$16+1,1))-AVERAGE(OFFSET($H$3,0,0,'Données projet'!$E$16+1,1))</f>
        <v>#N/A</v>
      </c>
      <c r="FK57" s="60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63.635372026483793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0" t="e">
        <f t="shared" si="26"/>
        <v>#N/A</v>
      </c>
      <c r="GE57" s="60" t="e">
        <f ca="1">AVERAGE(OFFSET($GD$3,0,0,'Données projet'!$E$17+1,1))-AVERAGE(OFFSET($H$3,0,0,'Données projet'!$E$17+1,1))</f>
        <v>#N/A</v>
      </c>
      <c r="GF57" s="60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63.635372026483793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4">
        <f>'Scénario référence'!$B$16*5+'Scénario référence'!$B$17*0+'Scénario référence'!$B$18*5</f>
        <v>3.2750000000000004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12.008333333333335</v>
      </c>
      <c r="H58" s="67">
        <f t="shared" si="1"/>
        <v>208.63333333333333</v>
      </c>
      <c r="I58" s="7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63.745784092647838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218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218</v>
      </c>
      <c r="O58" s="14">
        <f>N58*VLOOKUP('Données projet'!$B$9,Paramètres!$A$1:$I$89,3,0)*VLOOKUP('Données projet'!$B$9,Paramètres!$A$1:$I$89,5,0)</f>
        <v>221.05200000000002</v>
      </c>
      <c r="P58" s="14">
        <f t="shared" si="33"/>
        <v>54.343469202939254</v>
      </c>
      <c r="Q58" s="22">
        <f t="shared" si="53"/>
        <v>479.64710886178597</v>
      </c>
      <c r="R58" s="60">
        <f t="shared" si="0"/>
        <v>750.04831720149468</v>
      </c>
      <c r="S58" s="60">
        <f ca="1">AVERAGE(OFFSET($R$3,0,0,'Données projet'!$E$9+1,1))-AVERAGE(OFFSET($H$3,0,0,'Données projet'!$E$9+1,1))</f>
        <v>503.64055031157477</v>
      </c>
      <c r="T58" s="60">
        <f t="shared" si="34"/>
        <v>266.76572540460842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42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63.745784092647838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218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218</v>
      </c>
      <c r="AJ58" s="14">
        <f>AI58*VLOOKUP('Données projet'!$B$10,Paramètres!$A$1:$I$89,3,0)*VLOOKUP('Données projet'!$B$10,Paramètres!$A$1:$I$89,5,0)</f>
        <v>197.24639999999999</v>
      </c>
      <c r="AK58" s="14">
        <f t="shared" si="35"/>
        <v>49.138522374247202</v>
      </c>
      <c r="AL58" s="22">
        <f t="shared" si="4"/>
        <v>429.12040646848055</v>
      </c>
      <c r="AM58" s="60">
        <f t="shared" si="5"/>
        <v>699.52161480818927</v>
      </c>
      <c r="AN58" s="60">
        <f ca="1">AVERAGE(OFFSET($AM$3,0,0,'Données projet'!$E$10+1,1))-AVERAGE(OFFSET($H$3,0,0,'Données projet'!$E$10+1,1))</f>
        <v>456.86058467343139</v>
      </c>
      <c r="AO58" s="60">
        <f t="shared" si="36"/>
        <v>243.88495931574937</v>
      </c>
      <c r="AP58" s="16">
        <f>IF(ISNA(VLOOKUP(A58,'Données projet'!$A$61:$I$81,3,0)),0,VLOOKUP(A58,'Données projet'!$A$61:$I$81,3,0))</f>
        <v>4</v>
      </c>
      <c r="AQ58" s="16">
        <f>IF(ISNA(VLOOKUP(A58,'Données projet'!$A$61:$I$81,4,0)),0,VLOOKUP(A58,'Données projet'!$A$61:$I$81,4,0))</f>
        <v>42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63.745784092647838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207.05128205128204</v>
      </c>
      <c r="BB58" s="13">
        <f>VLOOKUP(A58,'Données projet'!$A$87:$I$107,9,0)</f>
        <v>5.6410256410256405</v>
      </c>
      <c r="BC58" s="13">
        <f t="array" ref="BC58">INDEX(BB:BB,MIN(IF(ISNUMBER(BB58:BB254),ROW(BB58:BB254),"")))</f>
        <v>5.6410256410256405</v>
      </c>
      <c r="BD58" s="13">
        <f>IF('Données projet'!$A$88&gt;35,BD57+BC58-BL57,IF(A58&lt;'Données projet'!$A$88,$BA$205^A58,IF(A58='Données projet'!$A$88,'Données projet'!$B$88,BD57+BC58-BL57)))</f>
        <v>207.05128205128196</v>
      </c>
      <c r="BE58" s="14">
        <f>BD58*VLOOKUP('Données projet'!$B$11,Paramètres!$A$1:$I$89,3,0)*VLOOKUP('Données projet'!$B$11,Paramètres!$A$1:$I$89,5,0)</f>
        <v>216.40999999999991</v>
      </c>
      <c r="BF58" s="14">
        <f t="shared" si="37"/>
        <v>53.333871383439472</v>
      </c>
      <c r="BG58" s="22">
        <f t="shared" si="7"/>
        <v>469.80390932615688</v>
      </c>
      <c r="BH58" s="60">
        <f t="shared" si="8"/>
        <v>740.2051176658656</v>
      </c>
      <c r="BI58" s="60">
        <f ca="1">AVERAGE(OFFSET($BH$3,0,0,'Données projet'!$E$11+1,1))-AVERAGE(OFFSET($H$3,0,0,'Données projet'!$E$11+1,1))</f>
        <v>518.47226207416952</v>
      </c>
      <c r="BJ58" s="60">
        <f t="shared" si="38"/>
        <v>314.6379787306804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63.745784092647838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218</v>
      </c>
      <c r="BW58" s="13">
        <f>VLOOKUP(A58,'Données projet'!$A$113:$I$133,9,0)</f>
        <v>8</v>
      </c>
      <c r="BX58" s="13">
        <f t="array" ref="BX58">INDEX(BW:BW,MIN(IF(ISNUMBER(BW58:BW254),ROW(BW58:BW254),"")))</f>
        <v>8</v>
      </c>
      <c r="BY58" s="13">
        <f>IF('Données projet'!$A$114&gt;35,BY57+BX58-CG57,IF(A58&lt;'Données projet'!$A$114,$BV$205^A58,IF(A58='Données projet'!$A$114,'Données projet'!$B$114,BY57+BX58-CG57)))</f>
        <v>218</v>
      </c>
      <c r="BZ58" s="14">
        <f>BY58*VLOOKUP('Données projet'!$B$12,Paramètres!$A$1:$I$89,3,0)*VLOOKUP('Données projet'!$B$12,Paramètres!$A$1:$I$89,5,0)</f>
        <v>234.65519999999998</v>
      </c>
      <c r="CA58" s="14">
        <f t="shared" si="39"/>
        <v>57.288067746850999</v>
      </c>
      <c r="CB58" s="22">
        <f t="shared" si="10"/>
        <v>508.46785799243213</v>
      </c>
      <c r="CC58" s="60">
        <f t="shared" si="11"/>
        <v>778.86906633214085</v>
      </c>
      <c r="CD58" s="60">
        <f ca="1">AVERAGE(OFFSET($CC$3,0,0,'Données projet'!$E$12+1,1))-AVERAGE(OFFSET($H$3,0,0,'Données projet'!$E$12+1,1))</f>
        <v>530.32456073177104</v>
      </c>
      <c r="CE58" s="60">
        <f t="shared" si="40"/>
        <v>279.81519428470625</v>
      </c>
      <c r="CF58" s="16">
        <f>IF(ISNA(VLOOKUP(A58,'Données projet'!$A$113:$I$133,3,0)),0,VLOOKUP(A58,'Données projet'!$A$113:$I$133,3,0))</f>
        <v>4</v>
      </c>
      <c r="CG58" s="16">
        <f>IF(ISNA(VLOOKUP(A58,'Données projet'!$A$113:$I$133,4,0)),0,VLOOKUP(A58,'Données projet'!$A$113:$I$133,4,0))</f>
        <v>42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63.745784092647838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232.5</v>
      </c>
      <c r="CR58" s="13">
        <f>VLOOKUP(A58,'Données projet'!$A$139:$I$159,9,0)</f>
        <v>6.119999999999993</v>
      </c>
      <c r="CS58" s="13">
        <f t="array" ref="CS58">INDEX(CR:CR,MIN(IF(ISNUMBER(CR58:CR254),ROW(CR58:CR254),"")))</f>
        <v>6.119999999999993</v>
      </c>
      <c r="CT58" s="13">
        <f>IF('Données projet'!$A$140&gt;35,CT57+CS58-DB57,IF(A58&lt;'Données projet'!$A$140,$CQ$205^A58,IF(A58='Données projet'!$A$140,'Données projet'!$B$140,CT57+CS58-DB57)))</f>
        <v>232.50000000000011</v>
      </c>
      <c r="CU58" s="18">
        <f>CT58*VLOOKUP('Données projet'!$B$13,Paramètres!$A$1:$I$89,3,0)*VLOOKUP('Données projet'!$B$13,Paramètres!$A$1:$I$89,5,0)</f>
        <v>203.11200000000011</v>
      </c>
      <c r="CV58" s="14">
        <f t="shared" si="41"/>
        <v>50.427475336015824</v>
      </c>
      <c r="CW58" s="22">
        <f t="shared" si="13"/>
        <v>441.58125287689433</v>
      </c>
      <c r="CX58" s="60">
        <f t="shared" si="14"/>
        <v>711.98246121660304</v>
      </c>
      <c r="CY58" s="60">
        <f ca="1">AVERAGE(OFFSET($CX$3,0,0,'Données projet'!$E$13+1,1))-AVERAGE(OFFSET($H$3,0,0,'Données projet'!$E$13+1,1))</f>
        <v>355.03862261578701</v>
      </c>
      <c r="CZ58" s="60">
        <f t="shared" si="42"/>
        <v>382.84441399266029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63.745784092647838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9.375</v>
      </c>
      <c r="DO58" s="13">
        <f>IF('Données projet'!$A$166&gt;35,DO57+DN58-DW57,IF(A58&lt;'Données projet'!$A$166,$DL$205^A58,IF(A58='Données projet'!$A$166,'Données projet'!$B$166,DO57+DN58-DW57)))</f>
        <v>250.12499999999994</v>
      </c>
      <c r="DP58" s="18">
        <f>DO58*VLOOKUP('Données projet'!$B$14,Paramètres!$A$1:$I$89,3,0)*VLOOKUP('Données projet'!$B$14,Paramètres!$A$1:$I$89,5,0)</f>
        <v>195.09749999999997</v>
      </c>
      <c r="DQ58" s="14">
        <f t="shared" si="43"/>
        <v>48.66519532492584</v>
      </c>
      <c r="DR58" s="22">
        <f t="shared" si="16"/>
        <v>424.55336102424576</v>
      </c>
      <c r="DS58" s="60">
        <f t="shared" si="17"/>
        <v>694.95456936395453</v>
      </c>
      <c r="DT58" s="60">
        <f ca="1">AVERAGE(OFFSET($DS$3,0,0,'Données projet'!$E$14+1,1))-AVERAGE(OFFSET($H$3,0,0,'Données projet'!$E$14+1,1))</f>
        <v>305.68891030516761</v>
      </c>
      <c r="DU58" s="60">
        <f t="shared" si="44"/>
        <v>296.00275062228275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63.745784092647838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218</v>
      </c>
      <c r="EH58" s="13">
        <f>VLOOKUP(A58,'Données projet'!$A$191:$I$211,9,0)</f>
        <v>8</v>
      </c>
      <c r="EI58" s="13">
        <f t="array" ref="EI58">INDEX(EH:EH,MIN(IF(ISNUMBER(EH58:EH254),ROW(EH58:EH254),"")))</f>
        <v>8</v>
      </c>
      <c r="EJ58" s="13">
        <f>IF('Données projet'!$A$192&gt;35,EJ57+EI58-ER57,IF(A58&lt;'Données projet'!$A$192,$EG$205^A58,IF(A58='Données projet'!$A$192,'Données projet'!$B$192,EJ57+EI58-ER57)))</f>
        <v>218</v>
      </c>
      <c r="EK58" s="18">
        <f>EJ58*VLOOKUP('Données projet'!$B$15,Paramètres!$A$1:$I$89,3,0)*VLOOKUP('Données projet'!$B$15,Paramètres!$A$1:$I$89,5,0)</f>
        <v>210.84960000000001</v>
      </c>
      <c r="EL58" s="14">
        <f t="shared" si="45"/>
        <v>52.121201024231922</v>
      </c>
      <c r="EM58" s="22">
        <f t="shared" si="19"/>
        <v>458.00747845053729</v>
      </c>
      <c r="EN58" s="60">
        <f t="shared" si="20"/>
        <v>728.40868679024607</v>
      </c>
      <c r="EO58" s="60">
        <f ca="1">AVERAGE(OFFSET($EN$3,0,0,'Données projet'!$E$15+1,1))-AVERAGE(OFFSET($H$3,0,0,'Données projet'!$E$15+1,1))</f>
        <v>483.60545605360528</v>
      </c>
      <c r="EP58" s="60">
        <f t="shared" si="46"/>
        <v>256.96685577560345</v>
      </c>
      <c r="EQ58" s="16">
        <f>IF(ISNA(VLOOKUP(A58,'Données projet'!$A$191:$I$211,3,0)),0,VLOOKUP(A58,'Données projet'!$A$191:$I$211,3,0))</f>
        <v>4</v>
      </c>
      <c r="ER58" s="16">
        <f>IF(ISNA(VLOOKUP(A58,'Données projet'!$A$191:$I$211,4,0)),0,VLOOKUP(A58,'Données projet'!$A$191:$I$211,4,0))</f>
        <v>42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63.745784092647838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0" t="e">
        <f t="shared" si="23"/>
        <v>#N/A</v>
      </c>
      <c r="FJ58" s="60" t="e">
        <f ca="1">AVERAGE(OFFSET($FI$3,0,0,'Données projet'!$E$16+1,1))-AVERAGE(OFFSET($H$3,0,0,'Données projet'!$E$16+1,1))</f>
        <v>#N/A</v>
      </c>
      <c r="FK58" s="60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63.745784092647838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0" t="e">
        <f t="shared" si="26"/>
        <v>#N/A</v>
      </c>
      <c r="GE58" s="60" t="e">
        <f ca="1">AVERAGE(OFFSET($GD$3,0,0,'Données projet'!$E$17+1,1))-AVERAGE(OFFSET($H$3,0,0,'Données projet'!$E$17+1,1))</f>
        <v>#N/A</v>
      </c>
      <c r="GF58" s="60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63.745784092647838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4">
        <f>'Scénario référence'!$B$16*5+'Scénario référence'!$B$17*0+'Scénario référence'!$B$18*5</f>
        <v>3.2750000000000004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12.008333333333335</v>
      </c>
      <c r="H59" s="67">
        <f t="shared" si="1"/>
        <v>208.63333333333333</v>
      </c>
      <c r="I59" s="7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63.854280756308334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183.6</v>
      </c>
      <c r="O59" s="14">
        <f>N59*VLOOKUP('Données projet'!$B$9,Paramètres!$A$1:$I$89,3,0)*VLOOKUP('Données projet'!$B$9,Paramètres!$A$1:$I$89,5,0)</f>
        <v>186.1704</v>
      </c>
      <c r="P59" s="14">
        <f t="shared" si="33"/>
        <v>46.692281933796018</v>
      </c>
      <c r="Q59" s="22">
        <f t="shared" si="53"/>
        <v>405.56917103469476</v>
      </c>
      <c r="R59" s="60">
        <f t="shared" si="0"/>
        <v>676.36820047449191</v>
      </c>
      <c r="S59" s="60">
        <f ca="1">AVERAGE(OFFSET($R$3,0,0,'Données projet'!$E$9+1,1))-AVERAGE(OFFSET($H$3,0,0,'Données projet'!$E$9+1,1))</f>
        <v>503.64055031157477</v>
      </c>
      <c r="T59" s="60">
        <f t="shared" si="34"/>
        <v>266.76572540460842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63.854280756308334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183.6</v>
      </c>
      <c r="AJ59" s="14">
        <f>AI59*VLOOKUP('Données projet'!$B$10,Paramètres!$A$1:$I$89,3,0)*VLOOKUP('Données projet'!$B$10,Paramètres!$A$1:$I$89,5,0)</f>
        <v>166.12127999999998</v>
      </c>
      <c r="AK59" s="14">
        <f t="shared" si="35"/>
        <v>42.220155874487318</v>
      </c>
      <c r="AL59" s="22">
        <f t="shared" si="4"/>
        <v>362.8613341480654</v>
      </c>
      <c r="AM59" s="60">
        <f t="shared" si="5"/>
        <v>633.66036358786255</v>
      </c>
      <c r="AN59" s="60">
        <f ca="1">AVERAGE(OFFSET($AM$3,0,0,'Données projet'!$E$10+1,1))-AVERAGE(OFFSET($H$3,0,0,'Données projet'!$E$10+1,1))</f>
        <v>456.86058467343139</v>
      </c>
      <c r="AO59" s="60">
        <f t="shared" si="36"/>
        <v>243.88495931574937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63.854280756308334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5.2564102564102537</v>
      </c>
      <c r="BD59" s="13">
        <f>IF('Données projet'!$A$88&gt;35,BD58+BC59-BL58,IF(A59&lt;'Données projet'!$A$88,$BA$205^A59,IF(A59='Données projet'!$A$88,'Données projet'!$B$88,BD58+BC59-BL58)))</f>
        <v>212.30769230769221</v>
      </c>
      <c r="BE59" s="14">
        <f>BD59*VLOOKUP('Données projet'!$B$11,Paramètres!$A$1:$I$89,3,0)*VLOOKUP('Données projet'!$B$11,Paramètres!$A$1:$I$89,5,0)</f>
        <v>221.90399999999991</v>
      </c>
      <c r="BF59" s="14">
        <f t="shared" si="37"/>
        <v>54.528502940168273</v>
      </c>
      <c r="BG59" s="22">
        <f t="shared" si="7"/>
        <v>481.45327595412624</v>
      </c>
      <c r="BH59" s="60">
        <f t="shared" si="8"/>
        <v>752.25230539392351</v>
      </c>
      <c r="BI59" s="60">
        <f ca="1">AVERAGE(OFFSET($BH$3,0,0,'Données projet'!$E$11+1,1))-AVERAGE(OFFSET($H$3,0,0,'Données projet'!$E$11+1,1))</f>
        <v>518.47226207416952</v>
      </c>
      <c r="BJ59" s="60">
        <f t="shared" si="38"/>
        <v>314.6379787306804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63.854280756308334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7.6</v>
      </c>
      <c r="BY59" s="13">
        <f>IF('Données projet'!$A$114&gt;35,BY58+BX59-CG58,IF(A59&lt;'Données projet'!$A$114,$BV$205^A59,IF(A59='Données projet'!$A$114,'Données projet'!$B$114,BY58+BX59-CG58)))</f>
        <v>183.6</v>
      </c>
      <c r="BZ59" s="14">
        <f>BY59*VLOOKUP('Données projet'!$B$12,Paramètres!$A$1:$I$89,3,0)*VLOOKUP('Données projet'!$B$12,Paramètres!$A$1:$I$89,5,0)</f>
        <v>197.62703999999999</v>
      </c>
      <c r="CA59" s="14">
        <f t="shared" si="39"/>
        <v>49.222301224260015</v>
      </c>
      <c r="CB59" s="22">
        <f t="shared" si="10"/>
        <v>429.92926929891951</v>
      </c>
      <c r="CC59" s="60">
        <f t="shared" si="11"/>
        <v>700.72829873871672</v>
      </c>
      <c r="CD59" s="60">
        <f ca="1">AVERAGE(OFFSET($CC$3,0,0,'Données projet'!$E$12+1,1))-AVERAGE(OFFSET($H$3,0,0,'Données projet'!$E$12+1,1))</f>
        <v>530.32456073177104</v>
      </c>
      <c r="CE59" s="60">
        <f t="shared" si="40"/>
        <v>279.81519428470625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63.854280756308334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5.1600000000000019</v>
      </c>
      <c r="CT59" s="13">
        <f>IF('Données projet'!$A$140&gt;35,CT58+CS59-DB58,IF(A59&lt;'Données projet'!$A$140,$CQ$205^A59,IF(A59='Données projet'!$A$140,'Données projet'!$B$140,CT58+CS59-DB58)))</f>
        <v>237.66000000000011</v>
      </c>
      <c r="CU59" s="18">
        <f>CT59*VLOOKUP('Données projet'!$B$13,Paramètres!$A$1:$I$89,3,0)*VLOOKUP('Données projet'!$B$13,Paramètres!$A$1:$I$89,5,0)</f>
        <v>207.61977600000012</v>
      </c>
      <c r="CV59" s="14">
        <f t="shared" si="41"/>
        <v>51.415102296903406</v>
      </c>
      <c r="CW59" s="22">
        <f t="shared" si="13"/>
        <v>451.1524130337736</v>
      </c>
      <c r="CX59" s="60">
        <f t="shared" si="14"/>
        <v>721.95144247357075</v>
      </c>
      <c r="CY59" s="60">
        <f ca="1">AVERAGE(OFFSET($CX$3,0,0,'Données projet'!$E$13+1,1))-AVERAGE(OFFSET($H$3,0,0,'Données projet'!$E$13+1,1))</f>
        <v>355.03862261578701</v>
      </c>
      <c r="CZ59" s="60">
        <f t="shared" si="42"/>
        <v>382.84441399266029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63.854280756308334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9.375</v>
      </c>
      <c r="DO59" s="13">
        <f>IF('Données projet'!$A$166&gt;35,DO58+DN59-DW58,IF(A59&lt;'Données projet'!$A$166,$DL$205^A59,IF(A59='Données projet'!$A$166,'Données projet'!$B$166,DO58+DN59-DW58)))</f>
        <v>259.49999999999994</v>
      </c>
      <c r="DP59" s="18">
        <f>DO59*VLOOKUP('Données projet'!$B$14,Paramètres!$A$1:$I$89,3,0)*VLOOKUP('Données projet'!$B$14,Paramètres!$A$1:$I$89,5,0)</f>
        <v>202.40999999999997</v>
      </c>
      <c r="DQ59" s="14">
        <f t="shared" si="43"/>
        <v>50.273442991661867</v>
      </c>
      <c r="DR59" s="22">
        <f t="shared" si="16"/>
        <v>440.09032987714431</v>
      </c>
      <c r="DS59" s="60">
        <f t="shared" si="17"/>
        <v>710.88935931694152</v>
      </c>
      <c r="DT59" s="60">
        <f ca="1">AVERAGE(OFFSET($DS$3,0,0,'Données projet'!$E$14+1,1))-AVERAGE(OFFSET($H$3,0,0,'Données projet'!$E$14+1,1))</f>
        <v>305.68891030516761</v>
      </c>
      <c r="DU59" s="60">
        <f t="shared" si="44"/>
        <v>296.00275062228275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63.854280756308334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7.6</v>
      </c>
      <c r="EJ59" s="13">
        <f>IF('Données projet'!$A$192&gt;35,EJ58+EI59-ER58,IF(A59&lt;'Données projet'!$A$192,$EG$205^A59,IF(A59='Données projet'!$A$192,'Données projet'!$B$192,EJ58+EI59-ER58)))</f>
        <v>183.6</v>
      </c>
      <c r="EK59" s="18">
        <f>EJ59*VLOOKUP('Données projet'!$B$15,Paramètres!$A$1:$I$89,3,0)*VLOOKUP('Données projet'!$B$15,Paramètres!$A$1:$I$89,5,0)</f>
        <v>177.57792000000001</v>
      </c>
      <c r="EL59" s="14">
        <f t="shared" si="45"/>
        <v>44.782893853597976</v>
      </c>
      <c r="EM59" s="22">
        <f t="shared" si="19"/>
        <v>387.27841746168315</v>
      </c>
      <c r="EN59" s="60">
        <f t="shared" si="20"/>
        <v>658.07744690148036</v>
      </c>
      <c r="EO59" s="60">
        <f ca="1">AVERAGE(OFFSET($EN$3,0,0,'Données projet'!$E$15+1,1))-AVERAGE(OFFSET($H$3,0,0,'Données projet'!$E$15+1,1))</f>
        <v>483.60545605360528</v>
      </c>
      <c r="EP59" s="60">
        <f t="shared" si="46"/>
        <v>256.96685577560345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63.854280756308334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0" t="e">
        <f t="shared" si="23"/>
        <v>#N/A</v>
      </c>
      <c r="FJ59" s="60" t="e">
        <f ca="1">AVERAGE(OFFSET($FI$3,0,0,'Données projet'!$E$16+1,1))-AVERAGE(OFFSET($H$3,0,0,'Données projet'!$E$16+1,1))</f>
        <v>#N/A</v>
      </c>
      <c r="FK59" s="60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63.854280756308334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0" t="e">
        <f t="shared" si="26"/>
        <v>#N/A</v>
      </c>
      <c r="GE59" s="60" t="e">
        <f ca="1">AVERAGE(OFFSET($GD$3,0,0,'Données projet'!$E$17+1,1))-AVERAGE(OFFSET($H$3,0,0,'Données projet'!$E$17+1,1))</f>
        <v>#N/A</v>
      </c>
      <c r="GF59" s="60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63.854280756308334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4">
        <f>'Scénario référence'!$B$16*5+'Scénario référence'!$B$17*0+'Scénario référence'!$B$18*5</f>
        <v>3.2750000000000004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12.008333333333335</v>
      </c>
      <c r="H60" s="67">
        <f t="shared" si="1"/>
        <v>208.63333333333333</v>
      </c>
      <c r="I60" s="7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63.960895245416516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191.2</v>
      </c>
      <c r="O60" s="14">
        <f>N60*VLOOKUP('Données projet'!$B$9,Paramètres!$A$1:$I$89,3,0)*VLOOKUP('Données projet'!$B$9,Paramètres!$A$1:$I$89,5,0)</f>
        <v>193.8768</v>
      </c>
      <c r="P60" s="14">
        <f t="shared" si="33"/>
        <v>48.396048099527611</v>
      </c>
      <c r="Q60" s="22">
        <f t="shared" si="53"/>
        <v>421.95854377334393</v>
      </c>
      <c r="R60" s="60">
        <f t="shared" si="0"/>
        <v>693.14849300653782</v>
      </c>
      <c r="S60" s="60">
        <f ca="1">AVERAGE(OFFSET($R$3,0,0,'Données projet'!$E$9+1,1))-AVERAGE(OFFSET($H$3,0,0,'Données projet'!$E$9+1,1))</f>
        <v>503.64055031157477</v>
      </c>
      <c r="T60" s="60">
        <f t="shared" si="34"/>
        <v>266.76572540460842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63.960895245416516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191.2</v>
      </c>
      <c r="AJ60" s="14">
        <f>AI60*VLOOKUP('Données projet'!$B$10,Paramètres!$A$1:$I$89,3,0)*VLOOKUP('Données projet'!$B$10,Paramètres!$A$1:$I$89,5,0)</f>
        <v>172.99775999999997</v>
      </c>
      <c r="AK60" s="14">
        <f t="shared" si="35"/>
        <v>43.760737531919609</v>
      </c>
      <c r="AL60" s="22">
        <f t="shared" si="4"/>
        <v>377.52104986809326</v>
      </c>
      <c r="AM60" s="60">
        <f t="shared" si="5"/>
        <v>648.71099910128714</v>
      </c>
      <c r="AN60" s="60">
        <f ca="1">AVERAGE(OFFSET($AM$3,0,0,'Données projet'!$E$10+1,1))-AVERAGE(OFFSET($H$3,0,0,'Données projet'!$E$10+1,1))</f>
        <v>456.86058467343139</v>
      </c>
      <c r="AO60" s="60">
        <f t="shared" si="36"/>
        <v>243.88495931574937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63.960895245416516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5.2564102564102537</v>
      </c>
      <c r="BD60" s="13">
        <f>IF('Données projet'!$A$88&gt;35,BD59+BC60-BL59,IF(A60&lt;'Données projet'!$A$88,$BA$205^A60,IF(A60='Données projet'!$A$88,'Données projet'!$B$88,BD59+BC60-BL59)))</f>
        <v>217.56410256410246</v>
      </c>
      <c r="BE60" s="14">
        <f>BD60*VLOOKUP('Données projet'!$B$11,Paramètres!$A$1:$I$89,3,0)*VLOOKUP('Données projet'!$B$11,Paramètres!$A$1:$I$89,5,0)</f>
        <v>227.39799999999991</v>
      </c>
      <c r="BF60" s="14">
        <f t="shared" si="37"/>
        <v>55.719696292134515</v>
      </c>
      <c r="BG60" s="22">
        <f t="shared" si="7"/>
        <v>493.09665437546749</v>
      </c>
      <c r="BH60" s="60">
        <f t="shared" si="8"/>
        <v>764.28660360866138</v>
      </c>
      <c r="BI60" s="60">
        <f ca="1">AVERAGE(OFFSET($BH$3,0,0,'Données projet'!$E$11+1,1))-AVERAGE(OFFSET($H$3,0,0,'Données projet'!$E$11+1,1))</f>
        <v>518.47226207416952</v>
      </c>
      <c r="BJ60" s="60">
        <f t="shared" si="38"/>
        <v>314.6379787306804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63.960895245416516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7.6</v>
      </c>
      <c r="BY60" s="13">
        <f>IF('Données projet'!$A$114&gt;35,BY59+BX60-CG59,IF(A60&lt;'Données projet'!$A$114,$BV$205^A60,IF(A60='Données projet'!$A$114,'Données projet'!$B$114,BY59+BX60-CG59)))</f>
        <v>191.2</v>
      </c>
      <c r="BZ60" s="14">
        <f>BY60*VLOOKUP('Données projet'!$B$12,Paramètres!$A$1:$I$89,3,0)*VLOOKUP('Données projet'!$B$12,Paramètres!$A$1:$I$89,5,0)</f>
        <v>205.80767999999995</v>
      </c>
      <c r="CA60" s="14">
        <f t="shared" si="39"/>
        <v>51.018385886479962</v>
      </c>
      <c r="CB60" s="22">
        <f t="shared" si="10"/>
        <v>447.30539808561917</v>
      </c>
      <c r="CC60" s="60">
        <f t="shared" si="11"/>
        <v>718.49534731881306</v>
      </c>
      <c r="CD60" s="60">
        <f ca="1">AVERAGE(OFFSET($CC$3,0,0,'Données projet'!$E$12+1,1))-AVERAGE(OFFSET($H$3,0,0,'Données projet'!$E$12+1,1))</f>
        <v>530.32456073177104</v>
      </c>
      <c r="CE60" s="60">
        <f t="shared" si="40"/>
        <v>279.81519428470625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63.960895245416516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5.1600000000000019</v>
      </c>
      <c r="CT60" s="13">
        <f>IF('Données projet'!$A$140&gt;35,CT59+CS60-DB59,IF(A60&lt;'Données projet'!$A$140,$CQ$205^A60,IF(A60='Données projet'!$A$140,'Données projet'!$B$140,CT59+CS60-DB59)))</f>
        <v>242.82000000000011</v>
      </c>
      <c r="CU60" s="18">
        <f>CT60*VLOOKUP('Données projet'!$B$13,Paramètres!$A$1:$I$89,3,0)*VLOOKUP('Données projet'!$B$13,Paramètres!$A$1:$I$89,5,0)</f>
        <v>212.12755200000012</v>
      </c>
      <c r="CV60" s="14">
        <f t="shared" si="41"/>
        <v>52.400236231117169</v>
      </c>
      <c r="CW60" s="22">
        <f t="shared" si="13"/>
        <v>460.71923116919589</v>
      </c>
      <c r="CX60" s="60">
        <f t="shared" si="14"/>
        <v>731.90918040238978</v>
      </c>
      <c r="CY60" s="60">
        <f ca="1">AVERAGE(OFFSET($CX$3,0,0,'Données projet'!$E$13+1,1))-AVERAGE(OFFSET($H$3,0,0,'Données projet'!$E$13+1,1))</f>
        <v>355.03862261578701</v>
      </c>
      <c r="CZ60" s="60">
        <f t="shared" si="42"/>
        <v>382.84441399266029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63.960895245416516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9.375</v>
      </c>
      <c r="DO60" s="13">
        <f>IF('Données projet'!$A$166&gt;35,DO59+DN60-DW59,IF(A60&lt;'Données projet'!$A$166,$DL$205^A60,IF(A60='Données projet'!$A$166,'Données projet'!$B$166,DO59+DN60-DW59)))</f>
        <v>268.87499999999994</v>
      </c>
      <c r="DP60" s="18">
        <f>DO60*VLOOKUP('Données projet'!$B$14,Paramètres!$A$1:$I$89,3,0)*VLOOKUP('Données projet'!$B$14,Paramètres!$A$1:$I$89,5,0)</f>
        <v>209.72249999999997</v>
      </c>
      <c r="DQ60" s="14">
        <f t="shared" si="43"/>
        <v>51.874940300502296</v>
      </c>
      <c r="DR60" s="22">
        <f t="shared" si="16"/>
        <v>455.61554185670815</v>
      </c>
      <c r="DS60" s="60">
        <f t="shared" si="17"/>
        <v>726.80549108990203</v>
      </c>
      <c r="DT60" s="60">
        <f ca="1">AVERAGE(OFFSET($DS$3,0,0,'Données projet'!$E$14+1,1))-AVERAGE(OFFSET($H$3,0,0,'Données projet'!$E$14+1,1))</f>
        <v>305.68891030516761</v>
      </c>
      <c r="DU60" s="60">
        <f t="shared" si="44"/>
        <v>296.00275062228275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63.960895245416516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7.6</v>
      </c>
      <c r="EJ60" s="13">
        <f>IF('Données projet'!$A$192&gt;35,EJ59+EI60-ER59,IF(A60&lt;'Données projet'!$A$192,$EG$205^A60,IF(A60='Données projet'!$A$192,'Données projet'!$B$192,EJ59+EI60-ER59)))</f>
        <v>191.2</v>
      </c>
      <c r="EK60" s="18">
        <f>EJ60*VLOOKUP('Données projet'!$B$15,Paramètres!$A$1:$I$89,3,0)*VLOOKUP('Données projet'!$B$15,Paramètres!$A$1:$I$89,5,0)</f>
        <v>184.92864</v>
      </c>
      <c r="EL60" s="14">
        <f t="shared" si="45"/>
        <v>46.416987887800225</v>
      </c>
      <c r="EM60" s="22">
        <f t="shared" si="19"/>
        <v>402.92696857125202</v>
      </c>
      <c r="EN60" s="60">
        <f t="shared" si="20"/>
        <v>674.11691780444585</v>
      </c>
      <c r="EO60" s="60">
        <f ca="1">AVERAGE(OFFSET($EN$3,0,0,'Données projet'!$E$15+1,1))-AVERAGE(OFFSET($H$3,0,0,'Données projet'!$E$15+1,1))</f>
        <v>483.60545605360528</v>
      </c>
      <c r="EP60" s="60">
        <f t="shared" si="46"/>
        <v>256.96685577560345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63.960895245416516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0" t="e">
        <f t="shared" si="23"/>
        <v>#N/A</v>
      </c>
      <c r="FJ60" s="60" t="e">
        <f ca="1">AVERAGE(OFFSET($FI$3,0,0,'Données projet'!$E$16+1,1))-AVERAGE(OFFSET($H$3,0,0,'Données projet'!$E$16+1,1))</f>
        <v>#N/A</v>
      </c>
      <c r="FK60" s="60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63.960895245416516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0" t="e">
        <f t="shared" si="26"/>
        <v>#N/A</v>
      </c>
      <c r="GE60" s="60" t="e">
        <f ca="1">AVERAGE(OFFSET($GD$3,0,0,'Données projet'!$E$17+1,1))-AVERAGE(OFFSET($H$3,0,0,'Données projet'!$E$17+1,1))</f>
        <v>#N/A</v>
      </c>
      <c r="GF60" s="60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63.960895245416516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4">
        <f>'Scénario référence'!$B$16*5+'Scénario référence'!$B$17*0+'Scénario référence'!$B$18*5</f>
        <v>3.2750000000000004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12.008333333333335</v>
      </c>
      <c r="H61" s="67">
        <f t="shared" si="1"/>
        <v>208.63333333333333</v>
      </c>
      <c r="I61" s="7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64.065660211492968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198.79999999999998</v>
      </c>
      <c r="O61" s="14">
        <f>N61*VLOOKUP('Données projet'!$B$9,Paramètres!$A$1:$I$89,3,0)*VLOOKUP('Données projet'!$B$9,Paramètres!$A$1:$I$89,5,0)</f>
        <v>201.58320000000001</v>
      </c>
      <c r="P61" s="14">
        <f t="shared" si="33"/>
        <v>50.091947337331924</v>
      </c>
      <c r="Q61" s="22">
        <f t="shared" si="53"/>
        <v>438.33421494585309</v>
      </c>
      <c r="R61" s="60">
        <f t="shared" si="0"/>
        <v>709.9083023879939</v>
      </c>
      <c r="S61" s="60">
        <f ca="1">AVERAGE(OFFSET($R$3,0,0,'Données projet'!$E$9+1,1))-AVERAGE(OFFSET($H$3,0,0,'Données projet'!$E$9+1,1))</f>
        <v>503.64055031157477</v>
      </c>
      <c r="T61" s="60">
        <f t="shared" si="34"/>
        <v>266.76572540460842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64.065660211492968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198.79999999999998</v>
      </c>
      <c r="AJ61" s="14">
        <f>AI61*VLOOKUP('Données projet'!$B$10,Paramètres!$A$1:$I$89,3,0)*VLOOKUP('Données projet'!$B$10,Paramètres!$A$1:$I$89,5,0)</f>
        <v>179.87423999999999</v>
      </c>
      <c r="AK61" s="14">
        <f t="shared" si="35"/>
        <v>45.294205745553846</v>
      </c>
      <c r="AL61" s="22">
        <f t="shared" si="4"/>
        <v>392.16837634017293</v>
      </c>
      <c r="AM61" s="60">
        <f t="shared" si="5"/>
        <v>663.74246378231373</v>
      </c>
      <c r="AN61" s="60">
        <f ca="1">AVERAGE(OFFSET($AM$3,0,0,'Données projet'!$E$10+1,1))-AVERAGE(OFFSET($H$3,0,0,'Données projet'!$E$10+1,1))</f>
        <v>456.86058467343139</v>
      </c>
      <c r="AO61" s="60">
        <f t="shared" si="36"/>
        <v>243.88495931574937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64.065660211492968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5.2564102564102537</v>
      </c>
      <c r="BD61" s="13">
        <f>IF('Données projet'!$A$88&gt;35,BD60+BC61-BL60,IF(A61&lt;'Données projet'!$A$88,$BA$205^A61,IF(A61='Données projet'!$A$88,'Données projet'!$B$88,BD60+BC61-BL60)))</f>
        <v>222.8205128205127</v>
      </c>
      <c r="BE61" s="14">
        <f>BD61*VLOOKUP('Données projet'!$B$11,Paramètres!$A$1:$I$89,3,0)*VLOOKUP('Données projet'!$B$11,Paramètres!$A$1:$I$89,5,0)</f>
        <v>232.89199999999991</v>
      </c>
      <c r="BF61" s="14">
        <f t="shared" si="37"/>
        <v>56.907544064397435</v>
      </c>
      <c r="BG61" s="22">
        <f t="shared" si="7"/>
        <v>504.73420591215864</v>
      </c>
      <c r="BH61" s="60">
        <f t="shared" si="8"/>
        <v>776.30829335429951</v>
      </c>
      <c r="BI61" s="60">
        <f ca="1">AVERAGE(OFFSET($BH$3,0,0,'Données projet'!$E$11+1,1))-AVERAGE(OFFSET($H$3,0,0,'Données projet'!$E$11+1,1))</f>
        <v>518.47226207416952</v>
      </c>
      <c r="BJ61" s="60">
        <f t="shared" si="38"/>
        <v>314.6379787306804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64.065660211492968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7.6</v>
      </c>
      <c r="BY61" s="13">
        <f>IF('Données projet'!$A$114&gt;35,BY60+BX61-CG60,IF(A61&lt;'Données projet'!$A$114,$BV$205^A61,IF(A61='Données projet'!$A$114,'Données projet'!$B$114,BY60+BX61-CG60)))</f>
        <v>198.79999999999998</v>
      </c>
      <c r="BZ61" s="14">
        <f>BY61*VLOOKUP('Données projet'!$B$12,Paramètres!$A$1:$I$89,3,0)*VLOOKUP('Données projet'!$B$12,Paramètres!$A$1:$I$89,5,0)</f>
        <v>213.98831999999996</v>
      </c>
      <c r="CA61" s="14">
        <f t="shared" si="39"/>
        <v>52.806177351620995</v>
      </c>
      <c r="CB61" s="22">
        <f t="shared" si="10"/>
        <v>464.66708288740648</v>
      </c>
      <c r="CC61" s="60">
        <f t="shared" si="11"/>
        <v>736.24117032954734</v>
      </c>
      <c r="CD61" s="60">
        <f ca="1">AVERAGE(OFFSET($CC$3,0,0,'Données projet'!$E$12+1,1))-AVERAGE(OFFSET($H$3,0,0,'Données projet'!$E$12+1,1))</f>
        <v>530.32456073177104</v>
      </c>
      <c r="CE61" s="60">
        <f t="shared" si="40"/>
        <v>279.81519428470625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64.065660211492968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5.1600000000000019</v>
      </c>
      <c r="CT61" s="13">
        <f>IF('Données projet'!$A$140&gt;35,CT60+CS61-DB60,IF(A61&lt;'Données projet'!$A$140,$CQ$205^A61,IF(A61='Données projet'!$A$140,'Données projet'!$B$140,CT60+CS61-DB60)))</f>
        <v>247.9800000000001</v>
      </c>
      <c r="CU61" s="18">
        <f>CT61*VLOOKUP('Données projet'!$B$13,Paramètres!$A$1:$I$89,3,0)*VLOOKUP('Données projet'!$B$13,Paramètres!$A$1:$I$89,5,0)</f>
        <v>216.63532800000013</v>
      </c>
      <c r="CV61" s="14">
        <f t="shared" si="41"/>
        <v>53.382936218727075</v>
      </c>
      <c r="CW61" s="22">
        <f t="shared" si="13"/>
        <v>470.28181018094989</v>
      </c>
      <c r="CX61" s="60">
        <f t="shared" si="14"/>
        <v>741.85589762309075</v>
      </c>
      <c r="CY61" s="60">
        <f ca="1">AVERAGE(OFFSET($CX$3,0,0,'Données projet'!$E$13+1,1))-AVERAGE(OFFSET($H$3,0,0,'Données projet'!$E$13+1,1))</f>
        <v>355.03862261578701</v>
      </c>
      <c r="CZ61" s="60">
        <f t="shared" si="42"/>
        <v>382.84441399266029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64.065660211492968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9.375</v>
      </c>
      <c r="DO61" s="13">
        <f>IF('Données projet'!$A$166&gt;35,DO60+DN61-DW60,IF(A61&lt;'Données projet'!$A$166,$DL$205^A61,IF(A61='Données projet'!$A$166,'Données projet'!$B$166,DO60+DN61-DW60)))</f>
        <v>278.24999999999994</v>
      </c>
      <c r="DP61" s="18">
        <f>DO61*VLOOKUP('Données projet'!$B$14,Paramètres!$A$1:$I$89,3,0)*VLOOKUP('Données projet'!$B$14,Paramètres!$A$1:$I$89,5,0)</f>
        <v>217.03499999999997</v>
      </c>
      <c r="DQ61" s="14">
        <f t="shared" si="43"/>
        <v>53.469949591969474</v>
      </c>
      <c r="DR61" s="22">
        <f t="shared" si="16"/>
        <v>471.12945387268002</v>
      </c>
      <c r="DS61" s="60">
        <f t="shared" si="17"/>
        <v>742.70354131482088</v>
      </c>
      <c r="DT61" s="60">
        <f ca="1">AVERAGE(OFFSET($DS$3,0,0,'Données projet'!$E$14+1,1))-AVERAGE(OFFSET($H$3,0,0,'Données projet'!$E$14+1,1))</f>
        <v>305.68891030516761</v>
      </c>
      <c r="DU61" s="60">
        <f t="shared" si="44"/>
        <v>296.00275062228275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64.065660211492968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7.6</v>
      </c>
      <c r="EJ61" s="13">
        <f>IF('Données projet'!$A$192&gt;35,EJ60+EI61-ER60,IF(A61&lt;'Données projet'!$A$192,$EG$205^A61,IF(A61='Données projet'!$A$192,'Données projet'!$B$192,EJ60+EI61-ER60)))</f>
        <v>198.79999999999998</v>
      </c>
      <c r="EK61" s="18">
        <f>EJ61*VLOOKUP('Données projet'!$B$15,Paramètres!$A$1:$I$89,3,0)*VLOOKUP('Données projet'!$B$15,Paramètres!$A$1:$I$89,5,0)</f>
        <v>192.27936</v>
      </c>
      <c r="EL61" s="14">
        <f t="shared" si="45"/>
        <v>48.04353669645932</v>
      </c>
      <c r="EM61" s="22">
        <f t="shared" si="19"/>
        <v>418.56237841299998</v>
      </c>
      <c r="EN61" s="60">
        <f t="shared" si="20"/>
        <v>690.13646585514084</v>
      </c>
      <c r="EO61" s="60">
        <f ca="1">AVERAGE(OFFSET($EN$3,0,0,'Données projet'!$E$15+1,1))-AVERAGE(OFFSET($H$3,0,0,'Données projet'!$E$15+1,1))</f>
        <v>483.60545605360528</v>
      </c>
      <c r="EP61" s="60">
        <f t="shared" si="46"/>
        <v>256.96685577560345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64.065660211492968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0" t="e">
        <f t="shared" si="23"/>
        <v>#N/A</v>
      </c>
      <c r="FJ61" s="60" t="e">
        <f ca="1">AVERAGE(OFFSET($FI$3,0,0,'Données projet'!$E$16+1,1))-AVERAGE(OFFSET($H$3,0,0,'Données projet'!$E$16+1,1))</f>
        <v>#N/A</v>
      </c>
      <c r="FK61" s="60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64.065660211492968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0" t="e">
        <f t="shared" si="26"/>
        <v>#N/A</v>
      </c>
      <c r="GE61" s="60" t="e">
        <f ca="1">AVERAGE(OFFSET($GD$3,0,0,'Données projet'!$E$17+1,1))-AVERAGE(OFFSET($H$3,0,0,'Données projet'!$E$17+1,1))</f>
        <v>#N/A</v>
      </c>
      <c r="GF61" s="60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64.065660211492968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4">
        <f>'Scénario référence'!$B$16*5+'Scénario référence'!$B$17*0+'Scénario référence'!$B$18*5</f>
        <v>3.2750000000000004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12.008333333333335</v>
      </c>
      <c r="H62" s="67">
        <f t="shared" si="1"/>
        <v>208.63333333333333</v>
      </c>
      <c r="I62" s="7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64.168607739627362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206.39999999999998</v>
      </c>
      <c r="O62" s="14">
        <f>N62*VLOOKUP('Données projet'!$B$9,Paramètres!$A$1:$I$89,3,0)*VLOOKUP('Données projet'!$B$9,Paramètres!$A$1:$I$89,5,0)</f>
        <v>209.28960000000001</v>
      </c>
      <c r="P62" s="14">
        <f t="shared" si="33"/>
        <v>51.780314822292169</v>
      </c>
      <c r="Q62" s="22">
        <f t="shared" si="53"/>
        <v>454.69676831549214</v>
      </c>
      <c r="R62" s="60">
        <f t="shared" si="0"/>
        <v>726.64833002745922</v>
      </c>
      <c r="S62" s="60">
        <f ca="1">AVERAGE(OFFSET($R$3,0,0,'Données projet'!$E$9+1,1))-AVERAGE(OFFSET($H$3,0,0,'Données projet'!$E$9+1,1))</f>
        <v>503.64055031157477</v>
      </c>
      <c r="T62" s="60">
        <f t="shared" si="34"/>
        <v>266.76572540460842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64.168607739627362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206.39999999999998</v>
      </c>
      <c r="AJ62" s="14">
        <f>AI62*VLOOKUP('Données projet'!$B$10,Paramètres!$A$1:$I$89,3,0)*VLOOKUP('Données projet'!$B$10,Paramètres!$A$1:$I$89,5,0)</f>
        <v>186.75071999999997</v>
      </c>
      <c r="AK62" s="14">
        <f t="shared" si="35"/>
        <v>46.820863587839391</v>
      </c>
      <c r="AL62" s="22">
        <f t="shared" si="4"/>
        <v>406.80384141548689</v>
      </c>
      <c r="AM62" s="60">
        <f t="shared" si="5"/>
        <v>678.75540312745397</v>
      </c>
      <c r="AN62" s="60">
        <f ca="1">AVERAGE(OFFSET($AM$3,0,0,'Données projet'!$E$10+1,1))-AVERAGE(OFFSET($H$3,0,0,'Données projet'!$E$10+1,1))</f>
        <v>456.86058467343139</v>
      </c>
      <c r="AO62" s="60">
        <f t="shared" si="36"/>
        <v>243.88495931574937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64.168607739627362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5.2564102564102537</v>
      </c>
      <c r="BD62" s="13">
        <f>IF('Données projet'!$A$88&gt;35,BD61+BC62-BL61,IF(A62&lt;'Données projet'!$A$88,$BA$205^A62,IF(A62='Données projet'!$A$88,'Données projet'!$B$88,BD61+BC62-BL61)))</f>
        <v>228.07692307692295</v>
      </c>
      <c r="BE62" s="14">
        <f>BD62*VLOOKUP('Données projet'!$B$11,Paramètres!$A$1:$I$89,3,0)*VLOOKUP('Données projet'!$B$11,Paramètres!$A$1:$I$89,5,0)</f>
        <v>238.38599999999991</v>
      </c>
      <c r="BF62" s="14">
        <f t="shared" si="37"/>
        <v>58.092134262616966</v>
      </c>
      <c r="BG62" s="22">
        <f t="shared" si="7"/>
        <v>516.3660838407244</v>
      </c>
      <c r="BH62" s="60">
        <f t="shared" si="8"/>
        <v>788.31764555269137</v>
      </c>
      <c r="BI62" s="60">
        <f ca="1">AVERAGE(OFFSET($BH$3,0,0,'Données projet'!$E$11+1,1))-AVERAGE(OFFSET($H$3,0,0,'Données projet'!$E$11+1,1))</f>
        <v>518.47226207416952</v>
      </c>
      <c r="BJ62" s="60">
        <f t="shared" si="38"/>
        <v>314.6379787306804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64.168607739627362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7.6</v>
      </c>
      <c r="BY62" s="13">
        <f>IF('Données projet'!$A$114&gt;35,BY61+BX62-CG61,IF(A62&lt;'Données projet'!$A$114,$BV$205^A62,IF(A62='Données projet'!$A$114,'Données projet'!$B$114,BY61+BX62-CG61)))</f>
        <v>206.39999999999998</v>
      </c>
      <c r="BZ62" s="14">
        <f>BY62*VLOOKUP('Données projet'!$B$12,Paramètres!$A$1:$I$89,3,0)*VLOOKUP('Données projet'!$B$12,Paramètres!$A$1:$I$89,5,0)</f>
        <v>222.16895999999997</v>
      </c>
      <c r="CA62" s="14">
        <f t="shared" si="39"/>
        <v>54.586028956213639</v>
      </c>
      <c r="CB62" s="22">
        <f t="shared" si="10"/>
        <v>482.01493909873869</v>
      </c>
      <c r="CC62" s="60">
        <f t="shared" si="11"/>
        <v>753.96650081070572</v>
      </c>
      <c r="CD62" s="60">
        <f ca="1">AVERAGE(OFFSET($CC$3,0,0,'Données projet'!$E$12+1,1))-AVERAGE(OFFSET($H$3,0,0,'Données projet'!$E$12+1,1))</f>
        <v>530.32456073177104</v>
      </c>
      <c r="CE62" s="60">
        <f t="shared" si="40"/>
        <v>279.81519428470625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64.168607739627362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5.1600000000000019</v>
      </c>
      <c r="CT62" s="13">
        <f>IF('Données projet'!$A$140&gt;35,CT61+CS62-DB61,IF(A62&lt;'Données projet'!$A$140,$CQ$205^A62,IF(A62='Données projet'!$A$140,'Données projet'!$B$140,CT61+CS62-DB61)))</f>
        <v>253.1400000000001</v>
      </c>
      <c r="CU62" s="18">
        <f>CT62*VLOOKUP('Données projet'!$B$13,Paramètres!$A$1:$I$89,3,0)*VLOOKUP('Données projet'!$B$13,Paramètres!$A$1:$I$89,5,0)</f>
        <v>221.14310400000014</v>
      </c>
      <c r="CV62" s="14">
        <f t="shared" si="41"/>
        <v>54.36325874060109</v>
      </c>
      <c r="CW62" s="22">
        <f t="shared" si="13"/>
        <v>479.84024843988044</v>
      </c>
      <c r="CX62" s="60">
        <f t="shared" si="14"/>
        <v>751.79181015184747</v>
      </c>
      <c r="CY62" s="60">
        <f ca="1">AVERAGE(OFFSET($CX$3,0,0,'Données projet'!$E$13+1,1))-AVERAGE(OFFSET($H$3,0,0,'Données projet'!$E$13+1,1))</f>
        <v>355.03862261578701</v>
      </c>
      <c r="CZ62" s="60">
        <f t="shared" si="42"/>
        <v>382.84441399266029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64.168607739627362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9.375</v>
      </c>
      <c r="DO62" s="13">
        <f>IF('Données projet'!$A$166&gt;35,DO61+DN62-DW61,IF(A62&lt;'Données projet'!$A$166,$DL$205^A62,IF(A62='Données projet'!$A$166,'Données projet'!$B$166,DO61+DN62-DW61)))</f>
        <v>287.62499999999994</v>
      </c>
      <c r="DP62" s="18">
        <f>DO62*VLOOKUP('Données projet'!$B$14,Paramètres!$A$1:$I$89,3,0)*VLOOKUP('Données projet'!$B$14,Paramètres!$A$1:$I$89,5,0)</f>
        <v>224.34749999999997</v>
      </c>
      <c r="DQ62" s="14">
        <f t="shared" si="43"/>
        <v>55.058714525680479</v>
      </c>
      <c r="DR62" s="22">
        <f t="shared" si="16"/>
        <v>486.63249029889352</v>
      </c>
      <c r="DS62" s="60">
        <f t="shared" si="17"/>
        <v>758.58405201086055</v>
      </c>
      <c r="DT62" s="60">
        <f ca="1">AVERAGE(OFFSET($DS$3,0,0,'Données projet'!$E$14+1,1))-AVERAGE(OFFSET($H$3,0,0,'Données projet'!$E$14+1,1))</f>
        <v>305.68891030516761</v>
      </c>
      <c r="DU62" s="60">
        <f t="shared" si="44"/>
        <v>296.00275062228275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64.168607739627362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7.6</v>
      </c>
      <c r="EJ62" s="13">
        <f>IF('Données projet'!$A$192&gt;35,EJ61+EI62-ER61,IF(A62&lt;'Données projet'!$A$192,$EG$205^A62,IF(A62='Données projet'!$A$192,'Données projet'!$B$192,EJ61+EI62-ER61)))</f>
        <v>206.39999999999998</v>
      </c>
      <c r="EK62" s="18">
        <f>EJ62*VLOOKUP('Données projet'!$B$15,Paramètres!$A$1:$I$89,3,0)*VLOOKUP('Données projet'!$B$15,Paramètres!$A$1:$I$89,5,0)</f>
        <v>199.63007999999999</v>
      </c>
      <c r="EL62" s="14">
        <f t="shared" si="45"/>
        <v>49.662861748339331</v>
      </c>
      <c r="EM62" s="22">
        <f t="shared" si="19"/>
        <v>434.18520687835763</v>
      </c>
      <c r="EN62" s="60">
        <f t="shared" si="20"/>
        <v>706.13676859032466</v>
      </c>
      <c r="EO62" s="60">
        <f ca="1">AVERAGE(OFFSET($EN$3,0,0,'Données projet'!$E$15+1,1))-AVERAGE(OFFSET($H$3,0,0,'Données projet'!$E$15+1,1))</f>
        <v>483.60545605360528</v>
      </c>
      <c r="EP62" s="60">
        <f t="shared" si="46"/>
        <v>256.96685577560345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64.168607739627362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0" t="e">
        <f t="shared" si="23"/>
        <v>#N/A</v>
      </c>
      <c r="FJ62" s="60" t="e">
        <f ca="1">AVERAGE(OFFSET($FI$3,0,0,'Données projet'!$E$16+1,1))-AVERAGE(OFFSET($H$3,0,0,'Données projet'!$E$16+1,1))</f>
        <v>#N/A</v>
      </c>
      <c r="FK62" s="60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64.168607739627362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0" t="e">
        <f t="shared" si="26"/>
        <v>#N/A</v>
      </c>
      <c r="GE62" s="60" t="e">
        <f ca="1">AVERAGE(OFFSET($GD$3,0,0,'Données projet'!$E$17+1,1))-AVERAGE(OFFSET($H$3,0,0,'Données projet'!$E$17+1,1))</f>
        <v>#N/A</v>
      </c>
      <c r="GF62" s="60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64.168607739627362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4">
        <f>'Scénario référence'!$B$16*5+'Scénario référence'!$B$17*0+'Scénario référence'!$B$18*5</f>
        <v>3.2750000000000004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12.008333333333335</v>
      </c>
      <c r="H63" s="67">
        <f t="shared" si="1"/>
        <v>208.63333333333333</v>
      </c>
      <c r="I63" s="7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64.269769358304842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213.99999999999997</v>
      </c>
      <c r="O63" s="14">
        <f>N63*VLOOKUP('Données projet'!$B$9,Paramètres!$A$1:$I$89,3,0)*VLOOKUP('Données projet'!$B$9,Paramètres!$A$1:$I$89,5,0)</f>
        <v>216.99600000000001</v>
      </c>
      <c r="P63" s="14">
        <f t="shared" si="33"/>
        <v>53.461459647386917</v>
      </c>
      <c r="Q63" s="22">
        <f t="shared" si="53"/>
        <v>471.04674221919896</v>
      </c>
      <c r="R63" s="60">
        <f t="shared" si="0"/>
        <v>743.36922986631669</v>
      </c>
      <c r="S63" s="60">
        <f ca="1">AVERAGE(OFFSET($R$3,0,0,'Données projet'!$E$9+1,1))-AVERAGE(OFFSET($H$3,0,0,'Données projet'!$E$9+1,1))</f>
        <v>503.64055031157477</v>
      </c>
      <c r="T63" s="60">
        <f t="shared" si="34"/>
        <v>266.76572540460842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64.269769358304842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213.99999999999997</v>
      </c>
      <c r="AJ63" s="14">
        <f>AI63*VLOOKUP('Données projet'!$B$10,Paramètres!$A$1:$I$89,3,0)*VLOOKUP('Données projet'!$B$10,Paramètres!$A$1:$I$89,5,0)</f>
        <v>193.62719999999996</v>
      </c>
      <c r="AK63" s="14">
        <f t="shared" si="35"/>
        <v>48.340990547231193</v>
      </c>
      <c r="AL63" s="22">
        <f t="shared" si="4"/>
        <v>421.42793186976087</v>
      </c>
      <c r="AM63" s="60">
        <f t="shared" si="5"/>
        <v>693.75041951687854</v>
      </c>
      <c r="AN63" s="60">
        <f ca="1">AVERAGE(OFFSET($AM$3,0,0,'Données projet'!$E$10+1,1))-AVERAGE(OFFSET($H$3,0,0,'Données projet'!$E$10+1,1))</f>
        <v>456.86058467343139</v>
      </c>
      <c r="AO63" s="60">
        <f t="shared" si="36"/>
        <v>243.88495931574937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64.269769358304842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233.33333333333331</v>
      </c>
      <c r="BB63" s="13">
        <f>VLOOKUP(A63,'Données projet'!$A$87:$I$107,9,0)</f>
        <v>5.2564102564102537</v>
      </c>
      <c r="BC63" s="13">
        <f t="array" ref="BC63">INDEX(BB:BB,MIN(IF(ISNUMBER(BB63:BB259),ROW(BB63:BB259),"")))</f>
        <v>5.2564102564102537</v>
      </c>
      <c r="BD63" s="13">
        <f>IF('Données projet'!$A$88&gt;35,BD62+BC63-BL62,IF(A63&lt;'Données projet'!$A$88,$BA$205^A63,IF(A63='Données projet'!$A$88,'Données projet'!$B$88,BD62+BC63-BL62)))</f>
        <v>233.3333333333332</v>
      </c>
      <c r="BE63" s="14">
        <f>BD63*VLOOKUP('Données projet'!$B$11,Paramètres!$A$1:$I$89,3,0)*VLOOKUP('Données projet'!$B$11,Paramètres!$A$1:$I$89,5,0)</f>
        <v>243.87999999999988</v>
      </c>
      <c r="BF63" s="14">
        <f t="shared" si="37"/>
        <v>59.2735506045045</v>
      </c>
      <c r="BG63" s="22">
        <f t="shared" si="7"/>
        <v>527.99243396951181</v>
      </c>
      <c r="BH63" s="60">
        <f t="shared" si="8"/>
        <v>800.31492161662959</v>
      </c>
      <c r="BI63" s="60">
        <f ca="1">AVERAGE(OFFSET($BH$3,0,0,'Données projet'!$E$11+1,1))-AVERAGE(OFFSET($H$3,0,0,'Données projet'!$E$11+1,1))</f>
        <v>518.47226207416952</v>
      </c>
      <c r="BJ63" s="60">
        <f t="shared" si="38"/>
        <v>314.6379787306804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24.358974358974358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64.269769358304842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214</v>
      </c>
      <c r="BW63" s="13">
        <f>VLOOKUP(A63,'Données projet'!$A$113:$I$133,9,0)</f>
        <v>7.6</v>
      </c>
      <c r="BX63" s="13">
        <f t="array" ref="BX63">INDEX(BW:BW,MIN(IF(ISNUMBER(BW63:BW259),ROW(BW63:BW259),"")))</f>
        <v>7.6</v>
      </c>
      <c r="BY63" s="13">
        <f>IF('Données projet'!$A$114&gt;35,BY62+BX63-CG62,IF(A63&lt;'Données projet'!$A$114,$BV$205^A63,IF(A63='Données projet'!$A$114,'Données projet'!$B$114,BY62+BX63-CG62)))</f>
        <v>213.99999999999997</v>
      </c>
      <c r="BZ63" s="14">
        <f>BY63*VLOOKUP('Données projet'!$B$12,Paramètres!$A$1:$I$89,3,0)*VLOOKUP('Données projet'!$B$12,Paramètres!$A$1:$I$89,5,0)</f>
        <v>230.34959999999995</v>
      </c>
      <c r="CA63" s="14">
        <f t="shared" si="39"/>
        <v>56.35826654142631</v>
      </c>
      <c r="CB63" s="22">
        <f t="shared" si="10"/>
        <v>499.34953422631742</v>
      </c>
      <c r="CC63" s="60">
        <f t="shared" si="11"/>
        <v>771.67202187343514</v>
      </c>
      <c r="CD63" s="60">
        <f ca="1">AVERAGE(OFFSET($CC$3,0,0,'Données projet'!$E$12+1,1))-AVERAGE(OFFSET($H$3,0,0,'Données projet'!$E$12+1,1))</f>
        <v>530.32456073177104</v>
      </c>
      <c r="CE63" s="60">
        <f t="shared" si="40"/>
        <v>279.81519428470625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64.269769358304842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258.3</v>
      </c>
      <c r="CR63" s="13">
        <f>VLOOKUP(A63,'Données projet'!$A$139:$I$159,9,0)</f>
        <v>5.1600000000000019</v>
      </c>
      <c r="CS63" s="13">
        <f t="array" ref="CS63">INDEX(CR:CR,MIN(IF(ISNUMBER(CR63:CR259),ROW(CR63:CR259),"")))</f>
        <v>5.1600000000000019</v>
      </c>
      <c r="CT63" s="13">
        <f>IF('Données projet'!$A$140&gt;35,CT62+CS63-DB62,IF(A63&lt;'Données projet'!$A$140,$CQ$205^A63,IF(A63='Données projet'!$A$140,'Données projet'!$B$140,CT62+CS63-DB62)))</f>
        <v>258.30000000000013</v>
      </c>
      <c r="CU63" s="18">
        <f>CT63*VLOOKUP('Données projet'!$B$13,Paramètres!$A$1:$I$89,3,0)*VLOOKUP('Données projet'!$B$13,Paramètres!$A$1:$I$89,5,0)</f>
        <v>225.65088000000014</v>
      </c>
      <c r="CV63" s="14">
        <f t="shared" si="41"/>
        <v>55.341257843368382</v>
      </c>
      <c r="CW63" s="22">
        <f t="shared" si="13"/>
        <v>489.39464007720022</v>
      </c>
      <c r="CX63" s="60">
        <f t="shared" si="14"/>
        <v>761.71712772431795</v>
      </c>
      <c r="CY63" s="60">
        <f ca="1">AVERAGE(OFFSET($CX$3,0,0,'Données projet'!$E$13+1,1))-AVERAGE(OFFSET($H$3,0,0,'Données projet'!$E$13+1,1))</f>
        <v>355.03862261578701</v>
      </c>
      <c r="CZ63" s="60">
        <f t="shared" si="42"/>
        <v>382.84441399266029</v>
      </c>
      <c r="DA63" s="16">
        <f>IF(ISNA(VLOOKUP(A63,'Données projet'!$A$139:$I$159,3,0)),0,VLOOKUP(A63,'Données projet'!$A$139:$I$159,3,0))</f>
        <v>5</v>
      </c>
      <c r="DB63" s="16">
        <f>IF(ISNA(VLOOKUP(A63,'Données projet'!$A$139:$I$159,4,0)),0,VLOOKUP(A63,'Données projet'!$A$139:$I$159,4,0))</f>
        <v>25.200000000000003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64.269769358304842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297</v>
      </c>
      <c r="DM63" s="13">
        <f>VLOOKUP(A63,'Données projet'!$A$165:$I$185,9,0)</f>
        <v>9.375</v>
      </c>
      <c r="DN63" s="13">
        <f t="array" ref="DN63">INDEX(DM:DM,MIN(IF(ISNUMBER(DM63:DM259),ROW(DM63:DM259),"")))</f>
        <v>9.375</v>
      </c>
      <c r="DO63" s="13">
        <f>IF('Données projet'!$A$166&gt;35,DO62+DN63-DW62,IF(A63&lt;'Données projet'!$A$166,$DL$205^A63,IF(A63='Données projet'!$A$166,'Données projet'!$B$166,DO62+DN63-DW62)))</f>
        <v>296.99999999999994</v>
      </c>
      <c r="DP63" s="18">
        <f>DO63*VLOOKUP('Données projet'!$B$14,Paramètres!$A$1:$I$89,3,0)*VLOOKUP('Données projet'!$B$14,Paramètres!$A$1:$I$89,5,0)</f>
        <v>231.65999999999997</v>
      </c>
      <c r="DQ63" s="14">
        <f t="shared" si="43"/>
        <v>56.641461975682766</v>
      </c>
      <c r="DR63" s="22">
        <f t="shared" si="16"/>
        <v>502.12504627431412</v>
      </c>
      <c r="DS63" s="60">
        <f t="shared" si="17"/>
        <v>774.44753392143184</v>
      </c>
      <c r="DT63" s="60">
        <f ca="1">AVERAGE(OFFSET($DS$3,0,0,'Données projet'!$E$14+1,1))-AVERAGE(OFFSET($H$3,0,0,'Données projet'!$E$14+1,1))</f>
        <v>305.68891030516761</v>
      </c>
      <c r="DU63" s="60">
        <f t="shared" si="44"/>
        <v>296.00275062228275</v>
      </c>
      <c r="DV63" s="16">
        <f>IF(ISNA(VLOOKUP(A63,'Données projet'!$A$165:$I$185,3,0)),0,VLOOKUP(A63,'Données projet'!$A$165:$I$185,3,0))</f>
        <v>6</v>
      </c>
      <c r="DW63" s="16">
        <f>IF(ISNA(VLOOKUP(A63,'Données projet'!$A$165:$I$185,4,0)),0,VLOOKUP(A63,'Données projet'!$A$165:$I$185,4,0))</f>
        <v>47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64.269769358304842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214</v>
      </c>
      <c r="EH63" s="13">
        <f>VLOOKUP(A63,'Données projet'!$A$191:$I$211,9,0)</f>
        <v>7.6</v>
      </c>
      <c r="EI63" s="13">
        <f t="array" ref="EI63">INDEX(EH:EH,MIN(IF(ISNUMBER(EH63:EH259),ROW(EH63:EH259),"")))</f>
        <v>7.6</v>
      </c>
      <c r="EJ63" s="13">
        <f>IF('Données projet'!$A$192&gt;35,EJ62+EI63-ER62,IF(A63&lt;'Données projet'!$A$192,$EG$205^A63,IF(A63='Données projet'!$A$192,'Données projet'!$B$192,EJ62+EI63-ER62)))</f>
        <v>213.99999999999997</v>
      </c>
      <c r="EK63" s="18">
        <f>EJ63*VLOOKUP('Données projet'!$B$15,Paramètres!$A$1:$I$89,3,0)*VLOOKUP('Données projet'!$B$15,Paramètres!$A$1:$I$89,5,0)</f>
        <v>206.98079999999996</v>
      </c>
      <c r="EL63" s="14">
        <f t="shared" si="45"/>
        <v>51.275259496675787</v>
      </c>
      <c r="EM63" s="22">
        <f t="shared" si="19"/>
        <v>449.7959702900435</v>
      </c>
      <c r="EN63" s="60">
        <f t="shared" si="20"/>
        <v>722.11845793716122</v>
      </c>
      <c r="EO63" s="60">
        <f ca="1">AVERAGE(OFFSET($EN$3,0,0,'Données projet'!$E$15+1,1))-AVERAGE(OFFSET($H$3,0,0,'Données projet'!$E$15+1,1))</f>
        <v>483.60545605360528</v>
      </c>
      <c r="EP63" s="60">
        <f t="shared" si="46"/>
        <v>256.96685577560345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64.269769358304842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0" t="e">
        <f t="shared" si="23"/>
        <v>#N/A</v>
      </c>
      <c r="FJ63" s="60" t="e">
        <f ca="1">AVERAGE(OFFSET($FI$3,0,0,'Données projet'!$E$16+1,1))-AVERAGE(OFFSET($H$3,0,0,'Données projet'!$E$16+1,1))</f>
        <v>#N/A</v>
      </c>
      <c r="FK63" s="60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64.269769358304842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0" t="e">
        <f t="shared" si="26"/>
        <v>#N/A</v>
      </c>
      <c r="GE63" s="60" t="e">
        <f ca="1">AVERAGE(OFFSET($GD$3,0,0,'Données projet'!$E$17+1,1))-AVERAGE(OFFSET($H$3,0,0,'Données projet'!$E$17+1,1))</f>
        <v>#N/A</v>
      </c>
      <c r="GF63" s="60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64.269769358304842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4">
        <f>'Scénario référence'!$B$16*5+'Scénario référence'!$B$17*0+'Scénario référence'!$B$18*5</f>
        <v>3.2750000000000004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12.008333333333335</v>
      </c>
      <c r="H64" s="67">
        <f t="shared" si="1"/>
        <v>208.63333333333333</v>
      </c>
      <c r="I64" s="7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64.369176049061736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221.19999999999996</v>
      </c>
      <c r="O64" s="14">
        <f>N64*VLOOKUP('Données projet'!$B$9,Paramètres!$A$1:$I$89,3,0)*VLOOKUP('Données projet'!$B$9,Paramètres!$A$1:$I$89,5,0)</f>
        <v>224.29679999999996</v>
      </c>
      <c r="P64" s="14">
        <f t="shared" si="33"/>
        <v>55.047720057866165</v>
      </c>
      <c r="Q64" s="22">
        <f t="shared" si="53"/>
        <v>486.52503910078349</v>
      </c>
      <c r="R64" s="60">
        <f t="shared" si="0"/>
        <v>759.21201794734316</v>
      </c>
      <c r="S64" s="60">
        <f ca="1">AVERAGE(OFFSET($R$3,0,0,'Données projet'!$E$9+1,1))-AVERAGE(OFFSET($H$3,0,0,'Données projet'!$E$9+1,1))</f>
        <v>503.64055031157477</v>
      </c>
      <c r="T64" s="60">
        <f t="shared" si="34"/>
        <v>266.76572540460842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64.369176049061736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221.19999999999996</v>
      </c>
      <c r="AJ64" s="14">
        <f>AI64*VLOOKUP('Données projet'!$B$10,Paramètres!$A$1:$I$89,3,0)*VLOOKUP('Données projet'!$B$10,Paramètres!$A$1:$I$89,5,0)</f>
        <v>200.14175999999995</v>
      </c>
      <c r="AK64" s="14">
        <f t="shared" si="35"/>
        <v>49.775320997880847</v>
      </c>
      <c r="AL64" s="22">
        <f t="shared" si="4"/>
        <v>435.27224940464231</v>
      </c>
      <c r="AM64" s="60">
        <f t="shared" si="5"/>
        <v>707.95922825120203</v>
      </c>
      <c r="AN64" s="60">
        <f ca="1">AVERAGE(OFFSET($AM$3,0,0,'Données projet'!$E$10+1,1))-AVERAGE(OFFSET($H$3,0,0,'Données projet'!$E$10+1,1))</f>
        <v>456.86058467343139</v>
      </c>
      <c r="AO64" s="60">
        <f t="shared" si="36"/>
        <v>243.88495931574937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64.369176049061736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5.0000000000000053</v>
      </c>
      <c r="BD64" s="13">
        <f>IF('Données projet'!$A$88&gt;35,BD63+BC64-BL63,IF(A64&lt;'Données projet'!$A$88,$BA$205^A64,IF(A64='Données projet'!$A$88,'Données projet'!$B$88,BD63+BC64-BL63)))</f>
        <v>213.97435897435884</v>
      </c>
      <c r="BE64" s="14">
        <f>BD64*VLOOKUP('Données projet'!$B$11,Paramètres!$A$1:$I$89,3,0)*VLOOKUP('Données projet'!$B$11,Paramètres!$A$1:$I$89,5,0)</f>
        <v>223.64599999999987</v>
      </c>
      <c r="BF64" s="14">
        <f t="shared" si="37"/>
        <v>54.906566144961104</v>
      </c>
      <c r="BG64" s="22">
        <f t="shared" si="7"/>
        <v>485.14571936914029</v>
      </c>
      <c r="BH64" s="60">
        <f t="shared" si="8"/>
        <v>757.83269821570002</v>
      </c>
      <c r="BI64" s="60">
        <f ca="1">AVERAGE(OFFSET($BH$3,0,0,'Données projet'!$E$11+1,1))-AVERAGE(OFFSET($H$3,0,0,'Données projet'!$E$11+1,1))</f>
        <v>518.47226207416952</v>
      </c>
      <c r="BJ64" s="60">
        <f t="shared" si="38"/>
        <v>314.6379787306804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64.369176049061736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7.2</v>
      </c>
      <c r="BY64" s="13">
        <f>IF('Données projet'!$A$114&gt;35,BY63+BX64-CG63,IF(A64&lt;'Données projet'!$A$114,$BV$205^A64,IF(A64='Données projet'!$A$114,'Données projet'!$B$114,BY63+BX64-CG63)))</f>
        <v>221.19999999999996</v>
      </c>
      <c r="BZ64" s="14">
        <f>BY64*VLOOKUP('Données projet'!$B$12,Paramètres!$A$1:$I$89,3,0)*VLOOKUP('Données projet'!$B$12,Paramètres!$A$1:$I$89,5,0)</f>
        <v>238.09967999999995</v>
      </c>
      <c r="CA64" s="14">
        <f t="shared" si="39"/>
        <v>58.030478404094161</v>
      </c>
      <c r="CB64" s="22">
        <f t="shared" si="10"/>
        <v>515.76002588713061</v>
      </c>
      <c r="CC64" s="60">
        <f t="shared" si="11"/>
        <v>788.44700473369039</v>
      </c>
      <c r="CD64" s="60">
        <f ca="1">AVERAGE(OFFSET($CC$3,0,0,'Données projet'!$E$12+1,1))-AVERAGE(OFFSET($H$3,0,0,'Données projet'!$E$12+1,1))</f>
        <v>530.32456073177104</v>
      </c>
      <c r="CE64" s="60">
        <f t="shared" si="40"/>
        <v>279.81519428470625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64.369176049061736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4.3399999999999981</v>
      </c>
      <c r="CT64" s="13">
        <f>IF('Données projet'!$A$140&gt;35,CT63+CS64-DB63,IF(A64&lt;'Données projet'!$A$140,$CQ$205^A64,IF(A64='Données projet'!$A$140,'Données projet'!$B$140,CT63+CS64-DB63)))</f>
        <v>237.44000000000011</v>
      </c>
      <c r="CU64" s="18">
        <f>CT64*VLOOKUP('Données projet'!$B$13,Paramètres!$A$1:$I$89,3,0)*VLOOKUP('Données projet'!$B$13,Paramètres!$A$1:$I$89,5,0)</f>
        <v>207.42758400000014</v>
      </c>
      <c r="CV64" s="14">
        <f t="shared" si="41"/>
        <v>51.373045479526681</v>
      </c>
      <c r="CW64" s="22">
        <f t="shared" si="13"/>
        <v>450.74442967684257</v>
      </c>
      <c r="CX64" s="60">
        <f t="shared" si="14"/>
        <v>723.4314085234023</v>
      </c>
      <c r="CY64" s="60">
        <f ca="1">AVERAGE(OFFSET($CX$3,0,0,'Données projet'!$E$13+1,1))-AVERAGE(OFFSET($H$3,0,0,'Données projet'!$E$13+1,1))</f>
        <v>355.03862261578701</v>
      </c>
      <c r="CZ64" s="60">
        <f t="shared" si="42"/>
        <v>382.84441399266029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64.369176049061736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8.6666666666666661</v>
      </c>
      <c r="DO64" s="13">
        <f>IF('Données projet'!$A$166&gt;35,DO63+DN64-DW63,IF(A64&lt;'Données projet'!$A$166,$DL$205^A64,IF(A64='Données projet'!$A$166,'Données projet'!$B$166,DO63+DN64-DW63)))</f>
        <v>258.66666666666663</v>
      </c>
      <c r="DP64" s="18">
        <f>DO64*VLOOKUP('Données projet'!$B$14,Paramètres!$A$1:$I$89,3,0)*VLOOKUP('Données projet'!$B$14,Paramètres!$A$1:$I$89,5,0)</f>
        <v>201.76</v>
      </c>
      <c r="DQ64" s="14">
        <f t="shared" si="43"/>
        <v>50.130765000424212</v>
      </c>
      <c r="DR64" s="22">
        <f t="shared" si="16"/>
        <v>438.70974904240546</v>
      </c>
      <c r="DS64" s="60">
        <f t="shared" si="17"/>
        <v>711.39672788896519</v>
      </c>
      <c r="DT64" s="60">
        <f ca="1">AVERAGE(OFFSET($DS$3,0,0,'Données projet'!$E$14+1,1))-AVERAGE(OFFSET($H$3,0,0,'Données projet'!$E$14+1,1))</f>
        <v>305.68891030516761</v>
      </c>
      <c r="DU64" s="60">
        <f t="shared" si="44"/>
        <v>296.00275062228275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64.369176049061736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7.2</v>
      </c>
      <c r="EJ64" s="13">
        <f>IF('Données projet'!$A$192&gt;35,EJ63+EI64-ER63,IF(A64&lt;'Données projet'!$A$192,$EG$205^A64,IF(A64='Données projet'!$A$192,'Données projet'!$B$192,EJ63+EI64-ER63)))</f>
        <v>221.19999999999996</v>
      </c>
      <c r="EK64" s="18">
        <f>EJ64*VLOOKUP('Données projet'!$B$15,Paramètres!$A$1:$I$89,3,0)*VLOOKUP('Données projet'!$B$15,Paramètres!$A$1:$I$89,5,0)</f>
        <v>213.94463999999996</v>
      </c>
      <c r="EL64" s="14">
        <f t="shared" si="45"/>
        <v>52.796652939972844</v>
      </c>
      <c r="EM64" s="22">
        <f t="shared" si="19"/>
        <v>464.5744185371193</v>
      </c>
      <c r="EN64" s="60">
        <f t="shared" si="20"/>
        <v>737.26139738367897</v>
      </c>
      <c r="EO64" s="60">
        <f ca="1">AVERAGE(OFFSET($EN$3,0,0,'Données projet'!$E$15+1,1))-AVERAGE(OFFSET($H$3,0,0,'Données projet'!$E$15+1,1))</f>
        <v>483.60545605360528</v>
      </c>
      <c r="EP64" s="60">
        <f t="shared" si="46"/>
        <v>256.96685577560345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64.369176049061736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0" t="e">
        <f t="shared" si="23"/>
        <v>#N/A</v>
      </c>
      <c r="FJ64" s="60" t="e">
        <f ca="1">AVERAGE(OFFSET($FI$3,0,0,'Données projet'!$E$16+1,1))-AVERAGE(OFFSET($H$3,0,0,'Données projet'!$E$16+1,1))</f>
        <v>#N/A</v>
      </c>
      <c r="FK64" s="60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64.369176049061736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0" t="e">
        <f t="shared" si="26"/>
        <v>#N/A</v>
      </c>
      <c r="GE64" s="60" t="e">
        <f ca="1">AVERAGE(OFFSET($GD$3,0,0,'Données projet'!$E$17+1,1))-AVERAGE(OFFSET($H$3,0,0,'Données projet'!$E$17+1,1))</f>
        <v>#N/A</v>
      </c>
      <c r="GF64" s="60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64.369176049061736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4">
        <f>'Scénario référence'!$B$16*5+'Scénario référence'!$B$17*0+'Scénario référence'!$B$18*5</f>
        <v>3.2750000000000004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12.008333333333335</v>
      </c>
      <c r="H65" s="67">
        <f t="shared" si="1"/>
        <v>208.63333333333333</v>
      </c>
      <c r="I65" s="7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64.466858255974074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228.39999999999995</v>
      </c>
      <c r="O65" s="14">
        <f>N65*VLOOKUP('Données projet'!$B$9,Paramètres!$A$1:$I$89,3,0)*VLOOKUP('Données projet'!$B$9,Paramètres!$A$1:$I$89,5,0)</f>
        <v>231.59759999999997</v>
      </c>
      <c r="P65" s="14">
        <f t="shared" si="33"/>
        <v>56.627980714948151</v>
      </c>
      <c r="Q65" s="22">
        <f t="shared" si="53"/>
        <v>501.99288641186791</v>
      </c>
      <c r="R65" s="60">
        <f t="shared" si="0"/>
        <v>775.03803335043949</v>
      </c>
      <c r="S65" s="60">
        <f ca="1">AVERAGE(OFFSET($R$3,0,0,'Données projet'!$E$9+1,1))-AVERAGE(OFFSET($H$3,0,0,'Données projet'!$E$9+1,1))</f>
        <v>503.64055031157477</v>
      </c>
      <c r="T65" s="60">
        <f t="shared" si="34"/>
        <v>266.76572540460842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64.466858255974074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228.39999999999995</v>
      </c>
      <c r="AJ65" s="14">
        <f>AI65*VLOOKUP('Données projet'!$B$10,Paramètres!$A$1:$I$89,3,0)*VLOOKUP('Données projet'!$B$10,Paramètres!$A$1:$I$89,5,0)</f>
        <v>206.65631999999994</v>
      </c>
      <c r="AK65" s="14">
        <f t="shared" si="35"/>
        <v>51.20422634371338</v>
      </c>
      <c r="AL65" s="22">
        <f t="shared" si="4"/>
        <v>449.10711821530072</v>
      </c>
      <c r="AM65" s="60">
        <f t="shared" si="5"/>
        <v>722.15226515387235</v>
      </c>
      <c r="AN65" s="60">
        <f ca="1">AVERAGE(OFFSET($AM$3,0,0,'Données projet'!$E$10+1,1))-AVERAGE(OFFSET($H$3,0,0,'Données projet'!$E$10+1,1))</f>
        <v>456.86058467343139</v>
      </c>
      <c r="AO65" s="60">
        <f t="shared" si="36"/>
        <v>243.88495931574937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64.466858255974074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5.0000000000000053</v>
      </c>
      <c r="BD65" s="13">
        <f>IF('Données projet'!$A$88&gt;35,BD64+BC65-BL64,IF(A65&lt;'Données projet'!$A$88,$BA$205^A65,IF(A65='Données projet'!$A$88,'Données projet'!$B$88,BD64+BC65-BL64)))</f>
        <v>218.97435897435884</v>
      </c>
      <c r="BE65" s="14">
        <f>BD65*VLOOKUP('Données projet'!$B$11,Paramètres!$A$1:$I$89,3,0)*VLOOKUP('Données projet'!$B$11,Paramètres!$A$1:$I$89,5,0)</f>
        <v>228.87199999999987</v>
      </c>
      <c r="BF65" s="14">
        <f t="shared" si="37"/>
        <v>56.038711813998113</v>
      </c>
      <c r="BG65" s="22">
        <f t="shared" si="7"/>
        <v>496.21948974271317</v>
      </c>
      <c r="BH65" s="60">
        <f t="shared" si="8"/>
        <v>769.26463668128474</v>
      </c>
      <c r="BI65" s="60">
        <f ca="1">AVERAGE(OFFSET($BH$3,0,0,'Données projet'!$E$11+1,1))-AVERAGE(OFFSET($H$3,0,0,'Données projet'!$E$11+1,1))</f>
        <v>518.47226207416952</v>
      </c>
      <c r="BJ65" s="60">
        <f t="shared" si="38"/>
        <v>314.6379787306804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64.466858255974074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7.2</v>
      </c>
      <c r="BY65" s="13">
        <f>IF('Données projet'!$A$114&gt;35,BY64+BX65-CG64,IF(A65&lt;'Données projet'!$A$114,$BV$205^A65,IF(A65='Données projet'!$A$114,'Données projet'!$B$114,BY64+BX65-CG64)))</f>
        <v>228.39999999999995</v>
      </c>
      <c r="BZ65" s="14">
        <f>BY65*VLOOKUP('Données projet'!$B$12,Paramètres!$A$1:$I$89,3,0)*VLOOKUP('Données projet'!$B$12,Paramètres!$A$1:$I$89,5,0)</f>
        <v>245.84975999999992</v>
      </c>
      <c r="CA65" s="14">
        <f t="shared" si="39"/>
        <v>59.696365416984804</v>
      </c>
      <c r="CB65" s="22">
        <f t="shared" si="10"/>
        <v>532.15950176791512</v>
      </c>
      <c r="CC65" s="60">
        <f t="shared" si="11"/>
        <v>805.20464870648675</v>
      </c>
      <c r="CD65" s="60">
        <f ca="1">AVERAGE(OFFSET($CC$3,0,0,'Données projet'!$E$12+1,1))-AVERAGE(OFFSET($H$3,0,0,'Données projet'!$E$12+1,1))</f>
        <v>530.32456073177104</v>
      </c>
      <c r="CE65" s="60">
        <f t="shared" si="40"/>
        <v>279.81519428470625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64.466858255974074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4.3399999999999981</v>
      </c>
      <c r="CT65" s="13">
        <f>IF('Données projet'!$A$140&gt;35,CT64+CS65-DB64,IF(A65&lt;'Données projet'!$A$140,$CQ$205^A65,IF(A65='Données projet'!$A$140,'Données projet'!$B$140,CT64+CS65-DB64)))</f>
        <v>241.78000000000011</v>
      </c>
      <c r="CU65" s="18">
        <f>CT65*VLOOKUP('Données projet'!$B$13,Paramètres!$A$1:$I$89,3,0)*VLOOKUP('Données projet'!$B$13,Paramètres!$A$1:$I$89,5,0)</f>
        <v>211.21900800000012</v>
      </c>
      <c r="CV65" s="14">
        <f t="shared" si="41"/>
        <v>52.201879814931679</v>
      </c>
      <c r="CW65" s="22">
        <f t="shared" si="13"/>
        <v>458.79137961100622</v>
      </c>
      <c r="CX65" s="60">
        <f t="shared" si="14"/>
        <v>731.8365265495778</v>
      </c>
      <c r="CY65" s="60">
        <f ca="1">AVERAGE(OFFSET($CX$3,0,0,'Données projet'!$E$13+1,1))-AVERAGE(OFFSET($H$3,0,0,'Données projet'!$E$13+1,1))</f>
        <v>355.03862261578701</v>
      </c>
      <c r="CZ65" s="60">
        <f t="shared" si="42"/>
        <v>382.84441399266029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64.466858255974074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8.6666666666666661</v>
      </c>
      <c r="DO65" s="13">
        <f>IF('Données projet'!$A$166&gt;35,DO64+DN65-DW64,IF(A65&lt;'Données projet'!$A$166,$DL$205^A65,IF(A65='Données projet'!$A$166,'Données projet'!$B$166,DO64+DN65-DW64)))</f>
        <v>267.33333333333331</v>
      </c>
      <c r="DP65" s="18">
        <f>DO65*VLOOKUP('Données projet'!$B$14,Paramètres!$A$1:$I$89,3,0)*VLOOKUP('Données projet'!$B$14,Paramètres!$A$1:$I$89,5,0)</f>
        <v>208.51999999999998</v>
      </c>
      <c r="DQ65" s="14">
        <f t="shared" si="43"/>
        <v>51.612035456318509</v>
      </c>
      <c r="DR65" s="22">
        <f t="shared" si="16"/>
        <v>453.06329508642131</v>
      </c>
      <c r="DS65" s="60">
        <f t="shared" si="17"/>
        <v>726.10844202499288</v>
      </c>
      <c r="DT65" s="60">
        <f ca="1">AVERAGE(OFFSET($DS$3,0,0,'Données projet'!$E$14+1,1))-AVERAGE(OFFSET($H$3,0,0,'Données projet'!$E$14+1,1))</f>
        <v>305.68891030516761</v>
      </c>
      <c r="DU65" s="60">
        <f t="shared" si="44"/>
        <v>296.00275062228275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64.466858255974074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7.2</v>
      </c>
      <c r="EJ65" s="13">
        <f>IF('Données projet'!$A$192&gt;35,EJ64+EI65-ER64,IF(A65&lt;'Données projet'!$A$192,$EG$205^A65,IF(A65='Données projet'!$A$192,'Données projet'!$B$192,EJ64+EI65-ER64)))</f>
        <v>228.39999999999995</v>
      </c>
      <c r="EK65" s="18">
        <f>EJ65*VLOOKUP('Données projet'!$B$15,Paramètres!$A$1:$I$89,3,0)*VLOOKUP('Données projet'!$B$15,Paramètres!$A$1:$I$89,5,0)</f>
        <v>220.90847999999997</v>
      </c>
      <c r="EL65" s="14">
        <f t="shared" si="45"/>
        <v>54.312291977864817</v>
      </c>
      <c r="EM65" s="22">
        <f t="shared" si="19"/>
        <v>479.34284452811448</v>
      </c>
      <c r="EN65" s="60">
        <f t="shared" si="20"/>
        <v>752.38799146668612</v>
      </c>
      <c r="EO65" s="60">
        <f ca="1">AVERAGE(OFFSET($EN$3,0,0,'Données projet'!$E$15+1,1))-AVERAGE(OFFSET($H$3,0,0,'Données projet'!$E$15+1,1))</f>
        <v>483.60545605360528</v>
      </c>
      <c r="EP65" s="60">
        <f t="shared" si="46"/>
        <v>256.96685577560345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64.466858255974074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0" t="e">
        <f t="shared" si="23"/>
        <v>#N/A</v>
      </c>
      <c r="FJ65" s="60" t="e">
        <f ca="1">AVERAGE(OFFSET($FI$3,0,0,'Données projet'!$E$16+1,1))-AVERAGE(OFFSET($H$3,0,0,'Données projet'!$E$16+1,1))</f>
        <v>#N/A</v>
      </c>
      <c r="FK65" s="60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64.466858255974074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0" t="e">
        <f t="shared" si="26"/>
        <v>#N/A</v>
      </c>
      <c r="GE65" s="60" t="e">
        <f ca="1">AVERAGE(OFFSET($GD$3,0,0,'Données projet'!$E$17+1,1))-AVERAGE(OFFSET($H$3,0,0,'Données projet'!$E$17+1,1))</f>
        <v>#N/A</v>
      </c>
      <c r="GF65" s="60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64.466858255974074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4">
        <f>'Scénario référence'!$B$16*5+'Scénario référence'!$B$17*0+'Scénario référence'!$B$18*5</f>
        <v>3.2750000000000004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12.008333333333335</v>
      </c>
      <c r="H66" s="67">
        <f t="shared" si="1"/>
        <v>208.63333333333333</v>
      </c>
      <c r="I66" s="7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64.56284589498118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235.59999999999994</v>
      </c>
      <c r="O66" s="14">
        <f>N66*VLOOKUP('Données projet'!$B$9,Paramètres!$A$1:$I$89,3,0)*VLOOKUP('Données projet'!$B$9,Paramètres!$A$1:$I$89,5,0)</f>
        <v>238.89839999999995</v>
      </c>
      <c r="P66" s="14">
        <f t="shared" si="33"/>
        <v>58.202452451868851</v>
      </c>
      <c r="Q66" s="22">
        <f t="shared" si="53"/>
        <v>517.45065135367156</v>
      </c>
      <c r="R66" s="60">
        <f t="shared" si="0"/>
        <v>790.84775296860255</v>
      </c>
      <c r="S66" s="60">
        <f ca="1">AVERAGE(OFFSET($R$3,0,0,'Données projet'!$E$9+1,1))-AVERAGE(OFFSET($H$3,0,0,'Données projet'!$E$9+1,1))</f>
        <v>503.64055031157477</v>
      </c>
      <c r="T66" s="60">
        <f t="shared" si="34"/>
        <v>266.76572540460842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64.56284589498118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235.59999999999994</v>
      </c>
      <c r="AJ66" s="14">
        <f>AI66*VLOOKUP('Données projet'!$B$10,Paramètres!$A$1:$I$89,3,0)*VLOOKUP('Données projet'!$B$10,Paramètres!$A$1:$I$89,5,0)</f>
        <v>213.17087999999995</v>
      </c>
      <c r="AK66" s="14">
        <f t="shared" si="35"/>
        <v>52.627897224631596</v>
      </c>
      <c r="AL66" s="22">
        <f t="shared" si="4"/>
        <v>462.93287033289988</v>
      </c>
      <c r="AM66" s="60">
        <f t="shared" si="5"/>
        <v>736.32997194783093</v>
      </c>
      <c r="AN66" s="60">
        <f ca="1">AVERAGE(OFFSET($AM$3,0,0,'Données projet'!$E$10+1,1))-AVERAGE(OFFSET($H$3,0,0,'Données projet'!$E$10+1,1))</f>
        <v>456.86058467343139</v>
      </c>
      <c r="AO66" s="60">
        <f t="shared" si="36"/>
        <v>243.88495931574937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64.56284589498118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5.0000000000000053</v>
      </c>
      <c r="BD66" s="13">
        <f>IF('Données projet'!$A$88&gt;35,BD65+BC66-BL65,IF(A66&lt;'Données projet'!$A$88,$BA$205^A66,IF(A66='Données projet'!$A$88,'Données projet'!$B$88,BD65+BC66-BL65)))</f>
        <v>223.97435897435884</v>
      </c>
      <c r="BE66" s="14">
        <f>BD66*VLOOKUP('Données projet'!$B$11,Paramètres!$A$1:$I$89,3,0)*VLOOKUP('Données projet'!$B$11,Paramètres!$A$1:$I$89,5,0)</f>
        <v>234.09799999999987</v>
      </c>
      <c r="BF66" s="14">
        <f t="shared" si="37"/>
        <v>57.167852134096286</v>
      </c>
      <c r="BG66" s="22">
        <f t="shared" si="7"/>
        <v>507.28802580021755</v>
      </c>
      <c r="BH66" s="60">
        <f t="shared" si="8"/>
        <v>780.6851274151486</v>
      </c>
      <c r="BI66" s="60">
        <f ca="1">AVERAGE(OFFSET($BH$3,0,0,'Données projet'!$E$11+1,1))-AVERAGE(OFFSET($H$3,0,0,'Données projet'!$E$11+1,1))</f>
        <v>518.47226207416952</v>
      </c>
      <c r="BJ66" s="60">
        <f t="shared" si="38"/>
        <v>314.6379787306804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64.56284589498118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7.2</v>
      </c>
      <c r="BY66" s="13">
        <f>IF('Données projet'!$A$114&gt;35,BY65+BX66-CG65,IF(A66&lt;'Données projet'!$A$114,$BV$205^A66,IF(A66='Données projet'!$A$114,'Données projet'!$B$114,BY65+BX66-CG65)))</f>
        <v>235.59999999999994</v>
      </c>
      <c r="BZ66" s="14">
        <f>BY66*VLOOKUP('Données projet'!$B$12,Paramètres!$A$1:$I$89,3,0)*VLOOKUP('Données projet'!$B$12,Paramètres!$A$1:$I$89,5,0)</f>
        <v>253.59983999999992</v>
      </c>
      <c r="CA66" s="14">
        <f t="shared" si="39"/>
        <v>61.356149837323883</v>
      </c>
      <c r="CB66" s="22">
        <f t="shared" si="10"/>
        <v>548.54834896667228</v>
      </c>
      <c r="CC66" s="60">
        <f t="shared" si="11"/>
        <v>821.94545058160327</v>
      </c>
      <c r="CD66" s="60">
        <f ca="1">AVERAGE(OFFSET($CC$3,0,0,'Données projet'!$E$12+1,1))-AVERAGE(OFFSET($H$3,0,0,'Données projet'!$E$12+1,1))</f>
        <v>530.32456073177104</v>
      </c>
      <c r="CE66" s="60">
        <f t="shared" si="40"/>
        <v>279.81519428470625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64.56284589498118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4.3399999999999981</v>
      </c>
      <c r="CT66" s="13">
        <f>IF('Données projet'!$A$140&gt;35,CT65+CS66-DB65,IF(A66&lt;'Données projet'!$A$140,$CQ$205^A66,IF(A66='Données projet'!$A$140,'Données projet'!$B$140,CT65+CS66-DB65)))</f>
        <v>246.12000000000012</v>
      </c>
      <c r="CU66" s="18">
        <f>CT66*VLOOKUP('Données projet'!$B$13,Paramètres!$A$1:$I$89,3,0)*VLOOKUP('Données projet'!$B$13,Paramètres!$A$1:$I$89,5,0)</f>
        <v>215.01043200000015</v>
      </c>
      <c r="CV66" s="14">
        <f t="shared" si="41"/>
        <v>53.028984090604766</v>
      </c>
      <c r="CW66" s="22">
        <f t="shared" si="13"/>
        <v>466.83531635780349</v>
      </c>
      <c r="CX66" s="60">
        <f t="shared" si="14"/>
        <v>740.23241797273454</v>
      </c>
      <c r="CY66" s="60">
        <f ca="1">AVERAGE(OFFSET($CX$3,0,0,'Données projet'!$E$13+1,1))-AVERAGE(OFFSET($H$3,0,0,'Données projet'!$E$13+1,1))</f>
        <v>355.03862261578701</v>
      </c>
      <c r="CZ66" s="60">
        <f t="shared" si="42"/>
        <v>382.84441399266029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64.56284589498118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8.6666666666666661</v>
      </c>
      <c r="DO66" s="13">
        <f>IF('Données projet'!$A$166&gt;35,DO65+DN66-DW65,IF(A66&lt;'Données projet'!$A$166,$DL$205^A66,IF(A66='Données projet'!$A$166,'Données projet'!$B$166,DO65+DN66-DW65)))</f>
        <v>276</v>
      </c>
      <c r="DP66" s="18">
        <f>DO66*VLOOKUP('Données projet'!$B$14,Paramètres!$A$1:$I$89,3,0)*VLOOKUP('Données projet'!$B$14,Paramètres!$A$1:$I$89,5,0)</f>
        <v>215.28</v>
      </c>
      <c r="DQ66" s="14">
        <f t="shared" si="43"/>
        <v>53.087725740853138</v>
      </c>
      <c r="DR66" s="22">
        <f t="shared" si="16"/>
        <v>467.40712233198587</v>
      </c>
      <c r="DS66" s="60">
        <f t="shared" si="17"/>
        <v>740.80422394691686</v>
      </c>
      <c r="DT66" s="60">
        <f ca="1">AVERAGE(OFFSET($DS$3,0,0,'Données projet'!$E$14+1,1))-AVERAGE(OFFSET($H$3,0,0,'Données projet'!$E$14+1,1))</f>
        <v>305.68891030516761</v>
      </c>
      <c r="DU66" s="60">
        <f t="shared" si="44"/>
        <v>296.00275062228275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64.56284589498118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7.2</v>
      </c>
      <c r="EJ66" s="13">
        <f>IF('Données projet'!$A$192&gt;35,EJ65+EI66-ER65,IF(A66&lt;'Données projet'!$A$192,$EG$205^A66,IF(A66='Données projet'!$A$192,'Données projet'!$B$192,EJ65+EI66-ER65)))</f>
        <v>235.59999999999994</v>
      </c>
      <c r="EK66" s="18">
        <f>EJ66*VLOOKUP('Données projet'!$B$15,Paramètres!$A$1:$I$89,3,0)*VLOOKUP('Données projet'!$B$15,Paramètres!$A$1:$I$89,5,0)</f>
        <v>227.87231999999997</v>
      </c>
      <c r="EL66" s="14">
        <f t="shared" si="45"/>
        <v>55.822378821981488</v>
      </c>
      <c r="EM66" s="22">
        <f t="shared" si="19"/>
        <v>494.10160044828439</v>
      </c>
      <c r="EN66" s="60">
        <f t="shared" si="20"/>
        <v>767.49870206321543</v>
      </c>
      <c r="EO66" s="60">
        <f ca="1">AVERAGE(OFFSET($EN$3,0,0,'Données projet'!$E$15+1,1))-AVERAGE(OFFSET($H$3,0,0,'Données projet'!$E$15+1,1))</f>
        <v>483.60545605360528</v>
      </c>
      <c r="EP66" s="60">
        <f t="shared" si="46"/>
        <v>256.96685577560345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64.56284589498118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0" t="e">
        <f t="shared" si="23"/>
        <v>#N/A</v>
      </c>
      <c r="FJ66" s="60" t="e">
        <f ca="1">AVERAGE(OFFSET($FI$3,0,0,'Données projet'!$E$16+1,1))-AVERAGE(OFFSET($H$3,0,0,'Données projet'!$E$16+1,1))</f>
        <v>#N/A</v>
      </c>
      <c r="FK66" s="60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64.56284589498118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0" t="e">
        <f t="shared" si="26"/>
        <v>#N/A</v>
      </c>
      <c r="GE66" s="60" t="e">
        <f ca="1">AVERAGE(OFFSET($GD$3,0,0,'Données projet'!$E$17+1,1))-AVERAGE(OFFSET($H$3,0,0,'Données projet'!$E$17+1,1))</f>
        <v>#N/A</v>
      </c>
      <c r="GF66" s="60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64.56284589498118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4">
        <f>'Scénario référence'!$B$16*5+'Scénario référence'!$B$17*0+'Scénario référence'!$B$18*5</f>
        <v>3.2750000000000004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12.008333333333335</v>
      </c>
      <c r="H67" s="67">
        <f t="shared" si="1"/>
        <v>208.63333333333333</v>
      </c>
      <c r="I67" s="7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64.657168363047731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242.79999999999993</v>
      </c>
      <c r="O67" s="14">
        <f>N67*VLOOKUP('Données projet'!$B$9,Paramètres!$A$1:$I$89,3,0)*VLOOKUP('Données projet'!$B$9,Paramètres!$A$1:$I$89,5,0)</f>
        <v>246.19919999999996</v>
      </c>
      <c r="P67" s="14">
        <f t="shared" si="33"/>
        <v>59.77133248344078</v>
      </c>
      <c r="Q67" s="22">
        <f t="shared" ref="Q67:Q98" si="54">(O67+P67)*0.475*44/12</f>
        <v>532.8986774086593</v>
      </c>
      <c r="R67" s="60">
        <f t="shared" ref="R67:R130" si="55">Q67+(I67+J67)*44/12</f>
        <v>806.64162807316757</v>
      </c>
      <c r="S67" s="60">
        <f ca="1">AVERAGE(OFFSET($R$3,0,0,'Données projet'!$E$9+1,1))-AVERAGE(OFFSET($H$3,0,0,'Données projet'!$E$9+1,1))</f>
        <v>503.64055031157477</v>
      </c>
      <c r="T67" s="60">
        <f t="shared" si="34"/>
        <v>266.76572540460842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64.657168363047731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242.79999999999993</v>
      </c>
      <c r="AJ67" s="14">
        <f>AI67*VLOOKUP('Données projet'!$B$10,Paramètres!$A$1:$I$89,3,0)*VLOOKUP('Données projet'!$B$10,Paramètres!$A$1:$I$89,5,0)</f>
        <v>219.68543999999994</v>
      </c>
      <c r="AK67" s="14">
        <f t="shared" si="35"/>
        <v>54.046511966469559</v>
      </c>
      <c r="AL67" s="22">
        <f t="shared" si="4"/>
        <v>476.74981634160105</v>
      </c>
      <c r="AM67" s="60">
        <f t="shared" si="5"/>
        <v>750.49276700610937</v>
      </c>
      <c r="AN67" s="60">
        <f ca="1">AVERAGE(OFFSET($AM$3,0,0,'Données projet'!$E$10+1,1))-AVERAGE(OFFSET($H$3,0,0,'Données projet'!$E$10+1,1))</f>
        <v>456.86058467343139</v>
      </c>
      <c r="AO67" s="60">
        <f t="shared" si="36"/>
        <v>243.88495931574937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64.657168363047731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5.0000000000000053</v>
      </c>
      <c r="BD67" s="13">
        <f>IF('Données projet'!$A$88&gt;35,BD66+BC67-BL66,IF(A67&lt;'Données projet'!$A$88,$BA$205^A67,IF(A67='Données projet'!$A$88,'Données projet'!$B$88,BD66+BC67-BL66)))</f>
        <v>228.97435897435884</v>
      </c>
      <c r="BE67" s="14">
        <f>BD67*VLOOKUP('Données projet'!$B$11,Paramètres!$A$1:$I$89,3,0)*VLOOKUP('Données projet'!$B$11,Paramètres!$A$1:$I$89,5,0)</f>
        <v>239.32399999999987</v>
      </c>
      <c r="BF67" s="14">
        <f t="shared" si="37"/>
        <v>58.294061921376255</v>
      </c>
      <c r="BG67" s="22">
        <f t="shared" si="7"/>
        <v>518.35145784639667</v>
      </c>
      <c r="BH67" s="60">
        <f t="shared" si="8"/>
        <v>792.09440851090494</v>
      </c>
      <c r="BI67" s="60">
        <f ca="1">AVERAGE(OFFSET($BH$3,0,0,'Données projet'!$E$11+1,1))-AVERAGE(OFFSET($H$3,0,0,'Données projet'!$E$11+1,1))</f>
        <v>518.47226207416952</v>
      </c>
      <c r="BJ67" s="60">
        <f t="shared" si="38"/>
        <v>314.6379787306804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64.657168363047731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7.2</v>
      </c>
      <c r="BY67" s="13">
        <f>IF('Données projet'!$A$114&gt;35,BY66+BX67-CG66,IF(A67&lt;'Données projet'!$A$114,$BV$205^A67,IF(A67='Données projet'!$A$114,'Données projet'!$B$114,BY66+BX67-CG66)))</f>
        <v>242.79999999999993</v>
      </c>
      <c r="BZ67" s="14">
        <f>BY67*VLOOKUP('Données projet'!$B$12,Paramètres!$A$1:$I$89,3,0)*VLOOKUP('Données projet'!$B$12,Paramètres!$A$1:$I$89,5,0)</f>
        <v>261.34991999999988</v>
      </c>
      <c r="CA67" s="14">
        <f t="shared" si="39"/>
        <v>63.010039566000117</v>
      </c>
      <c r="CB67" s="22">
        <f t="shared" si="10"/>
        <v>564.92692957744998</v>
      </c>
      <c r="CC67" s="60">
        <f t="shared" si="11"/>
        <v>838.66988024195825</v>
      </c>
      <c r="CD67" s="60">
        <f ca="1">AVERAGE(OFFSET($CC$3,0,0,'Données projet'!$E$12+1,1))-AVERAGE(OFFSET($H$3,0,0,'Données projet'!$E$12+1,1))</f>
        <v>530.32456073177104</v>
      </c>
      <c r="CE67" s="60">
        <f t="shared" si="40"/>
        <v>279.81519428470625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64.657168363047731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4.3399999999999981</v>
      </c>
      <c r="CT67" s="13">
        <f>IF('Données projet'!$A$140&gt;35,CT66+CS67-DB66,IF(A67&lt;'Données projet'!$A$140,$CQ$205^A67,IF(A67='Données projet'!$A$140,'Données projet'!$B$140,CT66+CS67-DB66)))</f>
        <v>250.46000000000012</v>
      </c>
      <c r="CU67" s="18">
        <f>CT67*VLOOKUP('Données projet'!$B$13,Paramètres!$A$1:$I$89,3,0)*VLOOKUP('Données projet'!$B$13,Paramètres!$A$1:$I$89,5,0)</f>
        <v>218.80185600000013</v>
      </c>
      <c r="CV67" s="14">
        <f t="shared" si="41"/>
        <v>53.854392333532836</v>
      </c>
      <c r="CW67" s="22">
        <f t="shared" si="13"/>
        <v>474.87629918090329</v>
      </c>
      <c r="CX67" s="60">
        <f t="shared" si="14"/>
        <v>748.61924984541156</v>
      </c>
      <c r="CY67" s="60">
        <f ca="1">AVERAGE(OFFSET($CX$3,0,0,'Données projet'!$E$13+1,1))-AVERAGE(OFFSET($H$3,0,0,'Données projet'!$E$13+1,1))</f>
        <v>355.03862261578701</v>
      </c>
      <c r="CZ67" s="60">
        <f t="shared" si="42"/>
        <v>382.84441399266029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64.657168363047731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8.6666666666666661</v>
      </c>
      <c r="DO67" s="13">
        <f>IF('Données projet'!$A$166&gt;35,DO66+DN67-DW66,IF(A67&lt;'Données projet'!$A$166,$DL$205^A67,IF(A67='Données projet'!$A$166,'Données projet'!$B$166,DO66+DN67-DW66)))</f>
        <v>284.66666666666669</v>
      </c>
      <c r="DP67" s="18">
        <f>DO67*VLOOKUP('Données projet'!$B$14,Paramètres!$A$1:$I$89,3,0)*VLOOKUP('Données projet'!$B$14,Paramètres!$A$1:$I$89,5,0)</f>
        <v>222.04000000000002</v>
      </c>
      <c r="DQ67" s="14">
        <f t="shared" si="43"/>
        <v>54.558031180803596</v>
      </c>
      <c r="DR67" s="22">
        <f t="shared" si="16"/>
        <v>481.74157097323291</v>
      </c>
      <c r="DS67" s="60">
        <f t="shared" si="17"/>
        <v>755.48452163774118</v>
      </c>
      <c r="DT67" s="60">
        <f ca="1">AVERAGE(OFFSET($DS$3,0,0,'Données projet'!$E$14+1,1))-AVERAGE(OFFSET($H$3,0,0,'Données projet'!$E$14+1,1))</f>
        <v>305.68891030516761</v>
      </c>
      <c r="DU67" s="60">
        <f t="shared" si="44"/>
        <v>296.00275062228275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64.657168363047731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7.2</v>
      </c>
      <c r="EJ67" s="13">
        <f>IF('Données projet'!$A$192&gt;35,EJ66+EI67-ER66,IF(A67&lt;'Données projet'!$A$192,$EG$205^A67,IF(A67='Données projet'!$A$192,'Données projet'!$B$192,EJ66+EI67-ER66)))</f>
        <v>242.79999999999993</v>
      </c>
      <c r="EK67" s="18">
        <f>EJ67*VLOOKUP('Données projet'!$B$15,Paramètres!$A$1:$I$89,3,0)*VLOOKUP('Données projet'!$B$15,Paramètres!$A$1:$I$89,5,0)</f>
        <v>234.83615999999992</v>
      </c>
      <c r="EL67" s="14">
        <f t="shared" si="45"/>
        <v>57.327102622427432</v>
      </c>
      <c r="EM67" s="22">
        <f t="shared" si="19"/>
        <v>508.85101573406092</v>
      </c>
      <c r="EN67" s="60">
        <f t="shared" si="20"/>
        <v>782.59396639856925</v>
      </c>
      <c r="EO67" s="60">
        <f ca="1">AVERAGE(OFFSET($EN$3,0,0,'Données projet'!$E$15+1,1))-AVERAGE(OFFSET($H$3,0,0,'Données projet'!$E$15+1,1))</f>
        <v>483.60545605360528</v>
      </c>
      <c r="EP67" s="60">
        <f t="shared" si="46"/>
        <v>256.96685577560345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64.657168363047731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0" t="e">
        <f t="shared" si="23"/>
        <v>#N/A</v>
      </c>
      <c r="FJ67" s="60" t="e">
        <f ca="1">AVERAGE(OFFSET($FI$3,0,0,'Données projet'!$E$16+1,1))-AVERAGE(OFFSET($H$3,0,0,'Données projet'!$E$16+1,1))</f>
        <v>#N/A</v>
      </c>
      <c r="FK67" s="60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64.657168363047731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0" t="e">
        <f t="shared" si="26"/>
        <v>#N/A</v>
      </c>
      <c r="GE67" s="60" t="e">
        <f ca="1">AVERAGE(OFFSET($GD$3,0,0,'Données projet'!$E$17+1,1))-AVERAGE(OFFSET($H$3,0,0,'Données projet'!$E$17+1,1))</f>
        <v>#N/A</v>
      </c>
      <c r="GF67" s="60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64.657168363047731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4">
        <f>'Scénario référence'!$B$16*5+'Scénario référence'!$B$17*0+'Scénario référence'!$B$18*5</f>
        <v>3.2750000000000004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12.008333333333335</v>
      </c>
      <c r="H68" s="67">
        <f t="shared" ref="H68:H131" si="56">(B68+E68+F68)*44/12+(C68+D68)*0.475*44/12</f>
        <v>208.63333333333333</v>
      </c>
      <c r="I68" s="7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64.749854547166763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250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249.99999999999991</v>
      </c>
      <c r="O68" s="14">
        <f>N68*VLOOKUP('Données projet'!$B$9,Paramètres!$A$1:$I$89,3,0)*VLOOKUP('Données projet'!$B$9,Paramètres!$A$1:$I$89,5,0)</f>
        <v>253.49999999999991</v>
      </c>
      <c r="P68" s="14">
        <f t="shared" si="33"/>
        <v>61.334805663162498</v>
      </c>
      <c r="Q68" s="22">
        <f t="shared" si="54"/>
        <v>548.33728653000776</v>
      </c>
      <c r="R68" s="60">
        <f t="shared" si="55"/>
        <v>822.42008653628591</v>
      </c>
      <c r="S68" s="60">
        <f ca="1">AVERAGE(OFFSET($R$3,0,0,'Données projet'!$E$9+1,1))-AVERAGE(OFFSET($H$3,0,0,'Données projet'!$E$9+1,1))</f>
        <v>503.64055031157477</v>
      </c>
      <c r="T68" s="60">
        <f t="shared" si="34"/>
        <v>266.76572540460842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42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64.749854547166763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250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249.99999999999991</v>
      </c>
      <c r="AJ68" s="14">
        <f>AI68*VLOOKUP('Données projet'!$B$10,Paramètres!$A$1:$I$89,3,0)*VLOOKUP('Données projet'!$B$10,Paramètres!$A$1:$I$89,5,0)</f>
        <v>226.19999999999993</v>
      </c>
      <c r="AK68" s="14">
        <f t="shared" si="35"/>
        <v>55.460237717698107</v>
      </c>
      <c r="AL68" s="22">
        <f t="shared" ref="AL68:AL131" si="58">(AJ68+AK68)*0.475*44/12</f>
        <v>490.55824735832402</v>
      </c>
      <c r="AM68" s="60">
        <f t="shared" ref="AM68:AM131" si="59">AL68+(AD68+AE68)*44/12</f>
        <v>764.64104736460217</v>
      </c>
      <c r="AN68" s="60">
        <f ca="1">AVERAGE(OFFSET($AM$3,0,0,'Données projet'!$E$10+1,1))-AVERAGE(OFFSET($H$3,0,0,'Données projet'!$E$10+1,1))</f>
        <v>456.86058467343139</v>
      </c>
      <c r="AO68" s="60">
        <f t="shared" si="36"/>
        <v>243.88495931574937</v>
      </c>
      <c r="AP68" s="16">
        <f>IF(ISNA(VLOOKUP(A68,'Données projet'!$A$61:$I$81,3,0)),0,VLOOKUP(A68,'Données projet'!$A$61:$I$81,3,0))</f>
        <v>5</v>
      </c>
      <c r="AQ68" s="16">
        <f>IF(ISNA(VLOOKUP(A68,'Données projet'!$A$61:$I$81,4,0)),0,VLOOKUP(A68,'Données projet'!$A$61:$I$81,4,0))</f>
        <v>42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64.749854547166763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233.97435897435898</v>
      </c>
      <c r="BB68" s="13">
        <f>VLOOKUP(A68,'Données projet'!$A$87:$I$107,9,0)</f>
        <v>5.0000000000000053</v>
      </c>
      <c r="BC68" s="13">
        <f t="array" ref="BC68">INDEX(BB:BB,MIN(IF(ISNUMBER(BB68:BB264),ROW(BB68:BB264),"")))</f>
        <v>5.0000000000000053</v>
      </c>
      <c r="BD68" s="13">
        <f>IF('Données projet'!$A$88&gt;35,BD67+BC68-BL67,IF(A68&lt;'Données projet'!$A$88,$BA$205^A68,IF(A68='Données projet'!$A$88,'Données projet'!$B$88,BD67+BC68-BL67)))</f>
        <v>233.97435897435884</v>
      </c>
      <c r="BE68" s="14">
        <f>BD68*VLOOKUP('Données projet'!$B$11,Paramètres!$A$1:$I$89,3,0)*VLOOKUP('Données projet'!$B$11,Paramètres!$A$1:$I$89,5,0)</f>
        <v>244.5499999999999</v>
      </c>
      <c r="BF68" s="14">
        <f t="shared" si="37"/>
        <v>59.417412537913442</v>
      </c>
      <c r="BG68" s="22">
        <f t="shared" ref="BG68:BG131" si="61">(BE68+BF68)*0.475*44/12</f>
        <v>529.40991017019905</v>
      </c>
      <c r="BH68" s="60">
        <f t="shared" ref="BH68:BH131" si="62">BG68+(AY68+AZ68)*44/12</f>
        <v>803.4927101764772</v>
      </c>
      <c r="BI68" s="60">
        <f ca="1">AVERAGE(OFFSET($BH$3,0,0,'Données projet'!$E$11+1,1))-AVERAGE(OFFSET($H$3,0,0,'Données projet'!$E$11+1,1))</f>
        <v>518.47226207416952</v>
      </c>
      <c r="BJ68" s="60">
        <f t="shared" si="38"/>
        <v>314.6379787306804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64.749854547166763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250</v>
      </c>
      <c r="BW68" s="13">
        <f>VLOOKUP(A68,'Données projet'!$A$113:$I$133,9,0)</f>
        <v>7.2</v>
      </c>
      <c r="BX68" s="13">
        <f t="array" ref="BX68">INDEX(BW:BW,MIN(IF(ISNUMBER(BW68:BW264),ROW(BW68:BW264),"")))</f>
        <v>7.2</v>
      </c>
      <c r="BY68" s="13">
        <f>IF('Données projet'!$A$114&gt;35,BY67+BX68-CG67,IF(A68&lt;'Données projet'!$A$114,$BV$205^A68,IF(A68='Données projet'!$A$114,'Données projet'!$B$114,BY67+BX68-CG67)))</f>
        <v>249.99999999999991</v>
      </c>
      <c r="BZ68" s="14">
        <f>BY68*VLOOKUP('Données projet'!$B$12,Paramètres!$A$1:$I$89,3,0)*VLOOKUP('Données projet'!$B$12,Paramètres!$A$1:$I$89,5,0)</f>
        <v>269.09999999999985</v>
      </c>
      <c r="CA68" s="14">
        <f t="shared" si="39"/>
        <v>64.658229472790936</v>
      </c>
      <c r="CB68" s="22">
        <f t="shared" ref="CB68:CB131" si="64">(BZ68+CA68)*0.475*44/12</f>
        <v>581.29558299844393</v>
      </c>
      <c r="CC68" s="60">
        <f t="shared" ref="CC68:CC131" si="65">CB68+(BT68+BU68)*44/12</f>
        <v>855.37838300472208</v>
      </c>
      <c r="CD68" s="60">
        <f ca="1">AVERAGE(OFFSET($CC$3,0,0,'Données projet'!$E$12+1,1))-AVERAGE(OFFSET($H$3,0,0,'Données projet'!$E$12+1,1))</f>
        <v>530.32456073177104</v>
      </c>
      <c r="CE68" s="60">
        <f t="shared" si="40"/>
        <v>279.81519428470625</v>
      </c>
      <c r="CF68" s="16">
        <f>IF(ISNA(VLOOKUP(A68,'Données projet'!$A$113:$I$133,3,0)),0,VLOOKUP(A68,'Données projet'!$A$113:$I$133,3,0))</f>
        <v>5</v>
      </c>
      <c r="CG68" s="16">
        <f>IF(ISNA(VLOOKUP(A68,'Données projet'!$A$113:$I$133,4,0)),0,VLOOKUP(A68,'Données projet'!$A$113:$I$133,4,0))</f>
        <v>42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64.749854547166763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254.8</v>
      </c>
      <c r="CR68" s="13">
        <f>VLOOKUP(A68,'Données projet'!$A$139:$I$159,9,0)</f>
        <v>4.3399999999999981</v>
      </c>
      <c r="CS68" s="13">
        <f t="array" ref="CS68">INDEX(CR:CR,MIN(IF(ISNUMBER(CR68:CR264),ROW(CR68:CR264),"")))</f>
        <v>4.3399999999999981</v>
      </c>
      <c r="CT68" s="13">
        <f>IF('Données projet'!$A$140&gt;35,CT67+CS68-DB67,IF(A68&lt;'Données projet'!$A$140,$CQ$205^A68,IF(A68='Données projet'!$A$140,'Données projet'!$B$140,CT67+CS68-DB67)))</f>
        <v>254.80000000000013</v>
      </c>
      <c r="CU68" s="18">
        <f>CT68*VLOOKUP('Données projet'!$B$13,Paramètres!$A$1:$I$89,3,0)*VLOOKUP('Données projet'!$B$13,Paramètres!$A$1:$I$89,5,0)</f>
        <v>222.59328000000014</v>
      </c>
      <c r="CV68" s="14">
        <f t="shared" si="41"/>
        <v>54.678137323894518</v>
      </c>
      <c r="CW68" s="22">
        <f t="shared" ref="CW68:CW131" si="67">(CU68+CV68)*0.475*44/12</f>
        <v>482.91438517244984</v>
      </c>
      <c r="CX68" s="60">
        <f t="shared" ref="CX68:CX131" si="68">CW68+(CO68+CP68)*44/12</f>
        <v>756.99718517872793</v>
      </c>
      <c r="CY68" s="60">
        <f ca="1">AVERAGE(OFFSET($CX$3,0,0,'Données projet'!$E$13+1,1))-AVERAGE(OFFSET($H$3,0,0,'Données projet'!$E$13+1,1))</f>
        <v>355.03862261578701</v>
      </c>
      <c r="CZ68" s="60">
        <f t="shared" si="42"/>
        <v>382.84441399266029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64.749854547166763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8.6666666666666661</v>
      </c>
      <c r="DO68" s="13">
        <f>IF('Données projet'!$A$166&gt;35,DO67+DN68-DW67,IF(A68&lt;'Données projet'!$A$166,$DL$205^A68,IF(A68='Données projet'!$A$166,'Données projet'!$B$166,DO67+DN68-DW67)))</f>
        <v>293.33333333333337</v>
      </c>
      <c r="DP68" s="18">
        <f>DO68*VLOOKUP('Données projet'!$B$14,Paramètres!$A$1:$I$89,3,0)*VLOOKUP('Données projet'!$B$14,Paramètres!$A$1:$I$89,5,0)</f>
        <v>228.80000000000004</v>
      </c>
      <c r="DQ68" s="14">
        <f t="shared" si="43"/>
        <v>56.023134533701196</v>
      </c>
      <c r="DR68" s="22">
        <f t="shared" ref="DR68:DR131" si="70">(DP68+DQ68)*0.475*44/12</f>
        <v>496.06695931286299</v>
      </c>
      <c r="DS68" s="60">
        <f t="shared" ref="DS68:DS131" si="71">DR68+(DJ68+DK68)*44/12</f>
        <v>770.14975931914114</v>
      </c>
      <c r="DT68" s="60">
        <f ca="1">AVERAGE(OFFSET($DS$3,0,0,'Données projet'!$E$14+1,1))-AVERAGE(OFFSET($H$3,0,0,'Données projet'!$E$14+1,1))</f>
        <v>305.68891030516761</v>
      </c>
      <c r="DU68" s="60">
        <f t="shared" si="44"/>
        <v>296.00275062228275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64.749854547166763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250</v>
      </c>
      <c r="EH68" s="13">
        <f>VLOOKUP(A68,'Données projet'!$A$191:$I$211,9,0)</f>
        <v>7.2</v>
      </c>
      <c r="EI68" s="13">
        <f t="array" ref="EI68">INDEX(EH:EH,MIN(IF(ISNUMBER(EH68:EH264),ROW(EH68:EH264),"")))</f>
        <v>7.2</v>
      </c>
      <c r="EJ68" s="13">
        <f>IF('Données projet'!$A$192&gt;35,EJ67+EI68-ER67,IF(A68&lt;'Données projet'!$A$192,$EG$205^A68,IF(A68='Données projet'!$A$192,'Données projet'!$B$192,EJ67+EI68-ER67)))</f>
        <v>249.99999999999991</v>
      </c>
      <c r="EK68" s="18">
        <f>EJ68*VLOOKUP('Données projet'!$B$15,Paramètres!$A$1:$I$89,3,0)*VLOOKUP('Données projet'!$B$15,Paramètres!$A$1:$I$89,5,0)</f>
        <v>241.79999999999993</v>
      </c>
      <c r="EL68" s="14">
        <f t="shared" si="45"/>
        <v>58.826640673484839</v>
      </c>
      <c r="EM68" s="22">
        <f t="shared" ref="EM68:EM131" si="73">(EK68+EL68)*0.475*44/12</f>
        <v>523.59139917298592</v>
      </c>
      <c r="EN68" s="60">
        <f t="shared" ref="EN68:EN131" si="74">EM68+(EE68+EF68)*44/12</f>
        <v>797.67419917926406</v>
      </c>
      <c r="EO68" s="60">
        <f ca="1">AVERAGE(OFFSET($EN$3,0,0,'Données projet'!$E$15+1,1))-AVERAGE(OFFSET($H$3,0,0,'Données projet'!$E$15+1,1))</f>
        <v>483.60545605360528</v>
      </c>
      <c r="EP68" s="60">
        <f t="shared" si="46"/>
        <v>256.96685577560345</v>
      </c>
      <c r="EQ68" s="16">
        <f>IF(ISNA(VLOOKUP(A68,'Données projet'!$A$191:$I$211,3,0)),0,VLOOKUP(A68,'Données projet'!$A$191:$I$211,3,0))</f>
        <v>5</v>
      </c>
      <c r="ER68" s="16">
        <f>IF(ISNA(VLOOKUP(A68,'Données projet'!$A$191:$I$211,4,0)),0,VLOOKUP(A68,'Données projet'!$A$191:$I$211,4,0))</f>
        <v>42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64.749854547166763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0" t="e">
        <f t="shared" ref="FI68:FI131" si="77">FH68+(EZ68+FA68)*44/12</f>
        <v>#N/A</v>
      </c>
      <c r="FJ68" s="60" t="e">
        <f ca="1">AVERAGE(OFFSET($FI$3,0,0,'Données projet'!$E$16+1,1))-AVERAGE(OFFSET($H$3,0,0,'Données projet'!$E$16+1,1))</f>
        <v>#N/A</v>
      </c>
      <c r="FK68" s="60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64.749854547166763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0" t="e">
        <f t="shared" ref="GD68:GD131" si="80">GC68+(FU68+FV68)*44/12</f>
        <v>#N/A</v>
      </c>
      <c r="GE68" s="60" t="e">
        <f ca="1">AVERAGE(OFFSET($GD$3,0,0,'Données projet'!$E$17+1,1))-AVERAGE(OFFSET($H$3,0,0,'Données projet'!$E$17+1,1))</f>
        <v>#N/A</v>
      </c>
      <c r="GF68" s="60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64.749854547166763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4">
        <f>'Scénario référence'!$B$16*5+'Scénario référence'!$B$17*0+'Scénario référence'!$B$18*5</f>
        <v>3.2750000000000004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12.008333333333335</v>
      </c>
      <c r="H69" s="67">
        <f t="shared" si="56"/>
        <v>208.63333333333333</v>
      </c>
      <c r="I69" s="7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64.840932833206608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214.7999999999999</v>
      </c>
      <c r="O69" s="14">
        <f>N69*VLOOKUP('Données projet'!$B$9,Paramètres!$A$1:$I$89,3,0)*VLOOKUP('Données projet'!$B$9,Paramètres!$A$1:$I$89,5,0)</f>
        <v>217.80719999999994</v>
      </c>
      <c r="P69" s="14">
        <f t="shared" ref="P69:P132" si="87">EXP(-1.0587+0.8836*LN(O69)+0.284)</f>
        <v>53.638013973813976</v>
      </c>
      <c r="Q69" s="22">
        <f t="shared" si="54"/>
        <v>472.76708100439259</v>
      </c>
      <c r="R69" s="60">
        <f t="shared" si="55"/>
        <v>747.18383472615017</v>
      </c>
      <c r="S69" s="60">
        <f ca="1">AVERAGE(OFFSET($R$3,0,0,'Données projet'!$E$9+1,1))-AVERAGE(OFFSET($H$3,0,0,'Données projet'!$E$9+1,1))</f>
        <v>503.64055031157477</v>
      </c>
      <c r="T69" s="60">
        <f t="shared" ref="T69:T132" si="88">$T$3</f>
        <v>266.76572540460842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64.840932833206608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214.7999999999999</v>
      </c>
      <c r="AJ69" s="14">
        <f>AI69*VLOOKUP('Données projet'!$B$10,Paramètres!$A$1:$I$89,3,0)*VLOOKUP('Données projet'!$B$10,Paramètres!$A$1:$I$89,5,0)</f>
        <v>194.3510399999999</v>
      </c>
      <c r="AK69" s="14">
        <f t="shared" ref="AK69:AK132" si="89">EXP(-1.0587+0.8836*LN(AJ69)+0.284)</f>
        <v>48.500634729810116</v>
      </c>
      <c r="AL69" s="22">
        <f t="shared" si="58"/>
        <v>422.96666682108577</v>
      </c>
      <c r="AM69" s="60">
        <f t="shared" si="59"/>
        <v>697.3834205428434</v>
      </c>
      <c r="AN69" s="60">
        <f ca="1">AVERAGE(OFFSET($AM$3,0,0,'Données projet'!$E$10+1,1))-AVERAGE(OFFSET($H$3,0,0,'Données projet'!$E$10+1,1))</f>
        <v>456.86058467343139</v>
      </c>
      <c r="AO69" s="60">
        <f t="shared" ref="AO69:AO132" si="90">$AO$3</f>
        <v>243.88495931574937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64.840932833206608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4.8717948717948669</v>
      </c>
      <c r="BD69" s="13">
        <f>IF('Données projet'!$A$88&gt;35,BD68+BC69-BL68,IF(A69&lt;'Données projet'!$A$88,$BA$205^A69,IF(A69='Données projet'!$A$88,'Données projet'!$B$88,BD68+BC69-BL68)))</f>
        <v>238.8461538461537</v>
      </c>
      <c r="BE69" s="14">
        <f>BD69*VLOOKUP('Données projet'!$B$11,Paramètres!$A$1:$I$89,3,0)*VLOOKUP('Données projet'!$B$11,Paramètres!$A$1:$I$89,5,0)</f>
        <v>249.64199999999988</v>
      </c>
      <c r="BF69" s="14">
        <f t="shared" ref="BF69:BF132" si="91">EXP(-1.0587+0.8836*LN(BE69)+0.284)</f>
        <v>60.509274148016289</v>
      </c>
      <c r="BG69" s="22">
        <f t="shared" si="61"/>
        <v>540.18013580779473</v>
      </c>
      <c r="BH69" s="60">
        <f t="shared" si="62"/>
        <v>814.5968895295523</v>
      </c>
      <c r="BI69" s="60">
        <f ca="1">AVERAGE(OFFSET($BH$3,0,0,'Données projet'!$E$11+1,1))-AVERAGE(OFFSET($H$3,0,0,'Données projet'!$E$11+1,1))</f>
        <v>518.47226207416952</v>
      </c>
      <c r="BJ69" s="60">
        <f t="shared" ref="BJ69:BJ132" si="92">$BJ$3</f>
        <v>314.6379787306804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64.840932833206608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6.8</v>
      </c>
      <c r="BY69" s="13">
        <f>IF('Données projet'!$A$114&gt;35,BY68+BX69-CG68,IF(A69&lt;'Données projet'!$A$114,$BV$205^A69,IF(A69='Données projet'!$A$114,'Données projet'!$B$114,BY68+BX69-CG68)))</f>
        <v>214.7999999999999</v>
      </c>
      <c r="BZ69" s="14">
        <f>BY69*VLOOKUP('Données projet'!$B$12,Paramètres!$A$1:$I$89,3,0)*VLOOKUP('Données projet'!$B$12,Paramètres!$A$1:$I$89,5,0)</f>
        <v>231.21071999999987</v>
      </c>
      <c r="CA69" s="14">
        <f t="shared" ref="CA69:CA132" si="93">EXP(-1.0587+0.8836*LN(BZ69)+0.284)</f>
        <v>56.544387456445222</v>
      </c>
      <c r="CB69" s="22">
        <f t="shared" si="64"/>
        <v>501.17347881997517</v>
      </c>
      <c r="CC69" s="60">
        <f t="shared" si="65"/>
        <v>775.5902325417328</v>
      </c>
      <c r="CD69" s="60">
        <f ca="1">AVERAGE(OFFSET($CC$3,0,0,'Données projet'!$E$12+1,1))-AVERAGE(OFFSET($H$3,0,0,'Données projet'!$E$12+1,1))</f>
        <v>530.32456073177104</v>
      </c>
      <c r="CE69" s="60">
        <f t="shared" ref="CE69:CE132" si="94">$CE$3</f>
        <v>279.81519428470625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64.840932833206608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3.7599999999999909</v>
      </c>
      <c r="CT69" s="13">
        <f>IF('Données projet'!$A$140&gt;35,CT68+CS69-DB68,IF(A69&lt;'Données projet'!$A$140,$CQ$205^A69,IF(A69='Données projet'!$A$140,'Données projet'!$B$140,CT68+CS69-DB68)))</f>
        <v>258.56000000000012</v>
      </c>
      <c r="CU69" s="18">
        <f>CT69*VLOOKUP('Données projet'!$B$13,Paramètres!$A$1:$I$89,3,0)*VLOOKUP('Données projet'!$B$13,Paramètres!$A$1:$I$89,5,0)</f>
        <v>225.87801600000014</v>
      </c>
      <c r="CV69" s="14">
        <f t="shared" ref="CV69:CV132" si="95">EXP(-1.0587+0.8836*LN(CU69)+0.284)</f>
        <v>55.390476328358808</v>
      </c>
      <c r="CW69" s="22">
        <f t="shared" si="67"/>
        <v>489.87595747189181</v>
      </c>
      <c r="CX69" s="60">
        <f t="shared" si="68"/>
        <v>764.29271119364944</v>
      </c>
      <c r="CY69" s="60">
        <f ca="1">AVERAGE(OFFSET($CX$3,0,0,'Données projet'!$E$13+1,1))-AVERAGE(OFFSET($H$3,0,0,'Données projet'!$E$13+1,1))</f>
        <v>355.03862261578701</v>
      </c>
      <c r="CZ69" s="60">
        <f t="shared" ref="CZ69:CZ132" si="96">$CZ$3</f>
        <v>382.84441399266029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64.840932833206608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8.6666666666666661</v>
      </c>
      <c r="DO69" s="13">
        <f>IF('Données projet'!$A$166&gt;35,DO68+DN69-DW68,IF(A69&lt;'Données projet'!$A$166,$DL$205^A69,IF(A69='Données projet'!$A$166,'Données projet'!$B$166,DO68+DN69-DW68)))</f>
        <v>302.00000000000006</v>
      </c>
      <c r="DP69" s="18">
        <f>DO69*VLOOKUP('Données projet'!$B$14,Paramètres!$A$1:$I$89,3,0)*VLOOKUP('Données projet'!$B$14,Paramètres!$A$1:$I$89,5,0)</f>
        <v>235.56000000000006</v>
      </c>
      <c r="DQ69" s="14">
        <f t="shared" ref="DQ69:DQ132" si="97">EXP(-1.0587+0.8836*LN(DP69)+0.284)</f>
        <v>57.483207143847771</v>
      </c>
      <c r="DR69" s="22">
        <f t="shared" si="70"/>
        <v>510.38358577553487</v>
      </c>
      <c r="DS69" s="60">
        <f t="shared" si="71"/>
        <v>784.8003394972925</v>
      </c>
      <c r="DT69" s="60">
        <f ca="1">AVERAGE(OFFSET($DS$3,0,0,'Données projet'!$E$14+1,1))-AVERAGE(OFFSET($H$3,0,0,'Données projet'!$E$14+1,1))</f>
        <v>305.68891030516761</v>
      </c>
      <c r="DU69" s="60">
        <f t="shared" ref="DU69:DU132" si="98">$DU$3</f>
        <v>296.00275062228275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64.840932833206608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6.8</v>
      </c>
      <c r="EJ69" s="13">
        <f>IF('Données projet'!$A$192&gt;35,EJ68+EI69-ER68,IF(A69&lt;'Données projet'!$A$192,$EG$205^A69,IF(A69='Données projet'!$A$192,'Données projet'!$B$192,EJ68+EI69-ER68)))</f>
        <v>214.7999999999999</v>
      </c>
      <c r="EK69" s="18">
        <f>EJ69*VLOOKUP('Données projet'!$B$15,Paramètres!$A$1:$I$89,3,0)*VLOOKUP('Données projet'!$B$15,Paramètres!$A$1:$I$89,5,0)</f>
        <v>207.75455999999991</v>
      </c>
      <c r="EL69" s="14">
        <f t="shared" ref="EL69:EL132" si="99">EXP(-1.0587+0.8836*LN(EK69)+0.284)</f>
        <v>51.444593984782131</v>
      </c>
      <c r="EM69" s="22">
        <f t="shared" si="73"/>
        <v>451.43852652349534</v>
      </c>
      <c r="EN69" s="60">
        <f t="shared" si="74"/>
        <v>725.85528024525297</v>
      </c>
      <c r="EO69" s="60">
        <f ca="1">AVERAGE(OFFSET($EN$3,0,0,'Données projet'!$E$15+1,1))-AVERAGE(OFFSET($H$3,0,0,'Données projet'!$E$15+1,1))</f>
        <v>483.60545605360528</v>
      </c>
      <c r="EP69" s="60">
        <f t="shared" ref="EP69:EP132" si="100">$EP$3</f>
        <v>256.96685577560345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64.840932833206608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0" t="e">
        <f t="shared" si="77"/>
        <v>#N/A</v>
      </c>
      <c r="FJ69" s="60" t="e">
        <f ca="1">AVERAGE(OFFSET($FI$3,0,0,'Données projet'!$E$16+1,1))-AVERAGE(OFFSET($H$3,0,0,'Données projet'!$E$16+1,1))</f>
        <v>#N/A</v>
      </c>
      <c r="FK69" s="60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64.840932833206608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0" t="e">
        <f t="shared" si="80"/>
        <v>#N/A</v>
      </c>
      <c r="GE69" s="60" t="e">
        <f ca="1">AVERAGE(OFFSET($GD$3,0,0,'Données projet'!$E$17+1,1))-AVERAGE(OFFSET($H$3,0,0,'Données projet'!$E$17+1,1))</f>
        <v>#N/A</v>
      </c>
      <c r="GF69" s="60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64.840932833206608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4">
        <f>'Scénario référence'!$B$16*5+'Scénario référence'!$B$17*0+'Scénario référence'!$B$18*5</f>
        <v>3.2750000000000004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12.008333333333335</v>
      </c>
      <c r="H70" s="67">
        <f t="shared" si="56"/>
        <v>208.63333333333333</v>
      </c>
      <c r="I70" s="7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64.930431114604204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221.59999999999991</v>
      </c>
      <c r="O70" s="14">
        <f>N70*VLOOKUP('Données projet'!$B$9,Paramètres!$A$1:$I$89,3,0)*VLOOKUP('Données projet'!$B$9,Paramètres!$A$1:$I$89,5,0)</f>
        <v>224.7023999999999</v>
      </c>
      <c r="P70" s="14">
        <f t="shared" si="87"/>
        <v>55.135667706678262</v>
      </c>
      <c r="Q70" s="22">
        <f t="shared" si="54"/>
        <v>487.38463458913111</v>
      </c>
      <c r="R70" s="60">
        <f t="shared" si="55"/>
        <v>762.1295486760132</v>
      </c>
      <c r="S70" s="60">
        <f ca="1">AVERAGE(OFFSET($R$3,0,0,'Données projet'!$E$9+1,1))-AVERAGE(OFFSET($H$3,0,0,'Données projet'!$E$9+1,1))</f>
        <v>503.64055031157477</v>
      </c>
      <c r="T70" s="60">
        <f t="shared" si="88"/>
        <v>266.76572540460842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64.930431114604204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221.59999999999991</v>
      </c>
      <c r="AJ70" s="14">
        <f>AI70*VLOOKUP('Données projet'!$B$10,Paramètres!$A$1:$I$89,3,0)*VLOOKUP('Données projet'!$B$10,Paramètres!$A$1:$I$89,5,0)</f>
        <v>200.50367999999992</v>
      </c>
      <c r="AK70" s="14">
        <f t="shared" si="89"/>
        <v>49.854845135229887</v>
      </c>
      <c r="AL70" s="22">
        <f t="shared" si="58"/>
        <v>436.04109794385857</v>
      </c>
      <c r="AM70" s="60">
        <f t="shared" si="59"/>
        <v>710.78601203074072</v>
      </c>
      <c r="AN70" s="60">
        <f ca="1">AVERAGE(OFFSET($AM$3,0,0,'Données projet'!$E$10+1,1))-AVERAGE(OFFSET($H$3,0,0,'Données projet'!$E$10+1,1))</f>
        <v>456.86058467343139</v>
      </c>
      <c r="AO70" s="60">
        <f t="shared" si="90"/>
        <v>243.88495931574937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64.930431114604204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4.8717948717948669</v>
      </c>
      <c r="BD70" s="13">
        <f>IF('Données projet'!$A$88&gt;35,BD69+BC70-BL69,IF(A70&lt;'Données projet'!$A$88,$BA$205^A70,IF(A70='Données projet'!$A$88,'Données projet'!$B$88,BD69+BC70-BL69)))</f>
        <v>243.71794871794856</v>
      </c>
      <c r="BE70" s="14">
        <f>BD70*VLOOKUP('Données projet'!$B$11,Paramètres!$A$1:$I$89,3,0)*VLOOKUP('Données projet'!$B$11,Paramètres!$A$1:$I$89,5,0)</f>
        <v>254.73399999999987</v>
      </c>
      <c r="BF70" s="14">
        <f t="shared" si="91"/>
        <v>61.598546307129801</v>
      </c>
      <c r="BG70" s="22">
        <f t="shared" si="61"/>
        <v>550.94585148491763</v>
      </c>
      <c r="BH70" s="60">
        <f t="shared" si="62"/>
        <v>825.69076557179972</v>
      </c>
      <c r="BI70" s="60">
        <f ca="1">AVERAGE(OFFSET($BH$3,0,0,'Données projet'!$E$11+1,1))-AVERAGE(OFFSET($H$3,0,0,'Données projet'!$E$11+1,1))</f>
        <v>518.47226207416952</v>
      </c>
      <c r="BJ70" s="60">
        <f t="shared" si="92"/>
        <v>314.6379787306804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64.930431114604204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6.8</v>
      </c>
      <c r="BY70" s="13">
        <f>IF('Données projet'!$A$114&gt;35,BY69+BX70-CG69,IF(A70&lt;'Données projet'!$A$114,$BV$205^A70,IF(A70='Données projet'!$A$114,'Données projet'!$B$114,BY69+BX70-CG69)))</f>
        <v>221.59999999999991</v>
      </c>
      <c r="BZ70" s="14">
        <f>BY70*VLOOKUP('Données projet'!$B$12,Paramètres!$A$1:$I$89,3,0)*VLOOKUP('Données projet'!$B$12,Paramètres!$A$1:$I$89,5,0)</f>
        <v>238.53023999999991</v>
      </c>
      <c r="CA70" s="14">
        <f t="shared" si="93"/>
        <v>58.123191492478547</v>
      </c>
      <c r="CB70" s="22">
        <f t="shared" si="64"/>
        <v>516.67139318273325</v>
      </c>
      <c r="CC70" s="60">
        <f t="shared" si="65"/>
        <v>791.41630726961534</v>
      </c>
      <c r="CD70" s="60">
        <f ca="1">AVERAGE(OFFSET($CC$3,0,0,'Données projet'!$E$12+1,1))-AVERAGE(OFFSET($H$3,0,0,'Données projet'!$E$12+1,1))</f>
        <v>530.32456073177104</v>
      </c>
      <c r="CE70" s="60">
        <f t="shared" si="94"/>
        <v>279.81519428470625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64.930431114604204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3.7599999999999909</v>
      </c>
      <c r="CT70" s="13">
        <f>IF('Données projet'!$A$140&gt;35,CT69+CS70-DB69,IF(A70&lt;'Données projet'!$A$140,$CQ$205^A70,IF(A70='Données projet'!$A$140,'Données projet'!$B$140,CT69+CS70-DB69)))</f>
        <v>262.32000000000011</v>
      </c>
      <c r="CU70" s="18">
        <f>CT70*VLOOKUP('Données projet'!$B$13,Paramètres!$A$1:$I$89,3,0)*VLOOKUP('Données projet'!$B$13,Paramètres!$A$1:$I$89,5,0)</f>
        <v>229.1627520000001</v>
      </c>
      <c r="CV70" s="14">
        <f t="shared" si="95"/>
        <v>56.101610533032222</v>
      </c>
      <c r="CW70" s="22">
        <f t="shared" si="67"/>
        <v>496.83543141169798</v>
      </c>
      <c r="CX70" s="60">
        <f t="shared" si="68"/>
        <v>771.58034549858007</v>
      </c>
      <c r="CY70" s="60">
        <f ca="1">AVERAGE(OFFSET($CX$3,0,0,'Données projet'!$E$13+1,1))-AVERAGE(OFFSET($H$3,0,0,'Données projet'!$E$13+1,1))</f>
        <v>355.03862261578701</v>
      </c>
      <c r="CZ70" s="60">
        <f t="shared" si="96"/>
        <v>382.84441399266029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64.930431114604204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8.6666666666666661</v>
      </c>
      <c r="DO70" s="13">
        <f>IF('Données projet'!$A$166&gt;35,DO69+DN70-DW69,IF(A70&lt;'Données projet'!$A$166,$DL$205^A70,IF(A70='Données projet'!$A$166,'Données projet'!$B$166,DO69+DN70-DW69)))</f>
        <v>310.66666666666674</v>
      </c>
      <c r="DP70" s="18">
        <f>DO70*VLOOKUP('Données projet'!$B$14,Paramètres!$A$1:$I$89,3,0)*VLOOKUP('Données projet'!$B$14,Paramètres!$A$1:$I$89,5,0)</f>
        <v>242.32000000000008</v>
      </c>
      <c r="DQ70" s="14">
        <f t="shared" si="97"/>
        <v>58.938409961900909</v>
      </c>
      <c r="DR70" s="22">
        <f t="shared" si="70"/>
        <v>524.69173068364421</v>
      </c>
      <c r="DS70" s="60">
        <f t="shared" si="71"/>
        <v>799.4366447705263</v>
      </c>
      <c r="DT70" s="60">
        <f ca="1">AVERAGE(OFFSET($DS$3,0,0,'Données projet'!$E$14+1,1))-AVERAGE(OFFSET($H$3,0,0,'Données projet'!$E$14+1,1))</f>
        <v>305.68891030516761</v>
      </c>
      <c r="DU70" s="60">
        <f t="shared" si="98"/>
        <v>296.00275062228275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64.930431114604204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6.8</v>
      </c>
      <c r="EJ70" s="13">
        <f>IF('Données projet'!$A$192&gt;35,EJ69+EI70-ER69,IF(A70&lt;'Données projet'!$A$192,$EG$205^A70,IF(A70='Données projet'!$A$192,'Données projet'!$B$192,EJ69+EI70-ER69)))</f>
        <v>221.59999999999991</v>
      </c>
      <c r="EK70" s="18">
        <f>EJ70*VLOOKUP('Données projet'!$B$15,Paramètres!$A$1:$I$89,3,0)*VLOOKUP('Données projet'!$B$15,Paramètres!$A$1:$I$89,5,0)</f>
        <v>214.3315199999999</v>
      </c>
      <c r="EL70" s="14">
        <f t="shared" si="99"/>
        <v>52.881004144461244</v>
      </c>
      <c r="EM70" s="22">
        <f t="shared" si="73"/>
        <v>465.39514621826976</v>
      </c>
      <c r="EN70" s="60">
        <f t="shared" si="74"/>
        <v>740.14006030515179</v>
      </c>
      <c r="EO70" s="60">
        <f ca="1">AVERAGE(OFFSET($EN$3,0,0,'Données projet'!$E$15+1,1))-AVERAGE(OFFSET($H$3,0,0,'Données projet'!$E$15+1,1))</f>
        <v>483.60545605360528</v>
      </c>
      <c r="EP70" s="60">
        <f t="shared" si="100"/>
        <v>256.96685577560345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64.930431114604204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0" t="e">
        <f t="shared" si="77"/>
        <v>#N/A</v>
      </c>
      <c r="FJ70" s="60" t="e">
        <f ca="1">AVERAGE(OFFSET($FI$3,0,0,'Données projet'!$E$16+1,1))-AVERAGE(OFFSET($H$3,0,0,'Données projet'!$E$16+1,1))</f>
        <v>#N/A</v>
      </c>
      <c r="FK70" s="60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64.930431114604204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0" t="e">
        <f t="shared" si="80"/>
        <v>#N/A</v>
      </c>
      <c r="GE70" s="60" t="e">
        <f ca="1">AVERAGE(OFFSET($GD$3,0,0,'Données projet'!$E$17+1,1))-AVERAGE(OFFSET($H$3,0,0,'Données projet'!$E$17+1,1))</f>
        <v>#N/A</v>
      </c>
      <c r="GF70" s="60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64.930431114604204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4">
        <f>'Scénario référence'!$B$16*5+'Scénario référence'!$B$17*0+'Scénario référence'!$B$18*5</f>
        <v>3.2750000000000004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12.008333333333335</v>
      </c>
      <c r="H71" s="67">
        <f t="shared" si="56"/>
        <v>208.63333333333333</v>
      </c>
      <c r="I71" s="7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65.018376800907731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228.39999999999992</v>
      </c>
      <c r="O71" s="14">
        <f>N71*VLOOKUP('Données projet'!$B$9,Paramètres!$A$1:$I$89,3,0)*VLOOKUP('Données projet'!$B$9,Paramètres!$A$1:$I$89,5,0)</f>
        <v>231.59759999999994</v>
      </c>
      <c r="P71" s="14">
        <f t="shared" si="87"/>
        <v>56.627980714948151</v>
      </c>
      <c r="Q71" s="22">
        <f t="shared" si="54"/>
        <v>501.99288641186786</v>
      </c>
      <c r="R71" s="60">
        <f t="shared" si="55"/>
        <v>777.06026801519624</v>
      </c>
      <c r="S71" s="60">
        <f ca="1">AVERAGE(OFFSET($R$3,0,0,'Données projet'!$E$9+1,1))-AVERAGE(OFFSET($H$3,0,0,'Données projet'!$E$9+1,1))</f>
        <v>503.64055031157477</v>
      </c>
      <c r="T71" s="60">
        <f t="shared" si="88"/>
        <v>266.76572540460842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65.018376800907731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228.39999999999992</v>
      </c>
      <c r="AJ71" s="14">
        <f>AI71*VLOOKUP('Données projet'!$B$10,Paramètres!$A$1:$I$89,3,0)*VLOOKUP('Données projet'!$B$10,Paramètres!$A$1:$I$89,5,0)</f>
        <v>206.65631999999994</v>
      </c>
      <c r="AK71" s="14">
        <f t="shared" si="89"/>
        <v>51.20422634371338</v>
      </c>
      <c r="AL71" s="22">
        <f t="shared" si="58"/>
        <v>449.10711821530072</v>
      </c>
      <c r="AM71" s="60">
        <f t="shared" si="59"/>
        <v>724.1744998186291</v>
      </c>
      <c r="AN71" s="60">
        <f ca="1">AVERAGE(OFFSET($AM$3,0,0,'Données projet'!$E$10+1,1))-AVERAGE(OFFSET($H$3,0,0,'Données projet'!$E$10+1,1))</f>
        <v>456.86058467343139</v>
      </c>
      <c r="AO71" s="60">
        <f t="shared" si="90"/>
        <v>243.88495931574937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65.018376800907731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4.8717948717948669</v>
      </c>
      <c r="BD71" s="13">
        <f>IF('Données projet'!$A$88&gt;35,BD70+BC71-BL70,IF(A71&lt;'Données projet'!$A$88,$BA$205^A71,IF(A71='Données projet'!$A$88,'Données projet'!$B$88,BD70+BC71-BL70)))</f>
        <v>248.58974358974342</v>
      </c>
      <c r="BE71" s="14">
        <f>BD71*VLOOKUP('Données projet'!$B$11,Paramètres!$A$1:$I$89,3,0)*VLOOKUP('Données projet'!$B$11,Paramètres!$A$1:$I$89,5,0)</f>
        <v>259.82599999999985</v>
      </c>
      <c r="BF71" s="14">
        <f t="shared" si="91"/>
        <v>62.685286742684056</v>
      </c>
      <c r="BG71" s="22">
        <f t="shared" si="61"/>
        <v>561.70715774350776</v>
      </c>
      <c r="BH71" s="60">
        <f t="shared" si="62"/>
        <v>836.77453934683604</v>
      </c>
      <c r="BI71" s="60">
        <f ca="1">AVERAGE(OFFSET($BH$3,0,0,'Données projet'!$E$11+1,1))-AVERAGE(OFFSET($H$3,0,0,'Données projet'!$E$11+1,1))</f>
        <v>518.47226207416952</v>
      </c>
      <c r="BJ71" s="60">
        <f t="shared" si="92"/>
        <v>314.6379787306804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65.018376800907731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6.8</v>
      </c>
      <c r="BY71" s="13">
        <f>IF('Données projet'!$A$114&gt;35,BY70+BX71-CG70,IF(A71&lt;'Données projet'!$A$114,$BV$205^A71,IF(A71='Données projet'!$A$114,'Données projet'!$B$114,BY70+BX71-CG70)))</f>
        <v>228.39999999999992</v>
      </c>
      <c r="BZ71" s="14">
        <f>BY71*VLOOKUP('Données projet'!$B$12,Paramètres!$A$1:$I$89,3,0)*VLOOKUP('Données projet'!$B$12,Paramètres!$A$1:$I$89,5,0)</f>
        <v>245.84975999999992</v>
      </c>
      <c r="CA71" s="14">
        <f t="shared" si="93"/>
        <v>59.696365416984804</v>
      </c>
      <c r="CB71" s="22">
        <f t="shared" si="64"/>
        <v>532.15950176791512</v>
      </c>
      <c r="CC71" s="60">
        <f t="shared" si="65"/>
        <v>807.2268833712435</v>
      </c>
      <c r="CD71" s="60">
        <f ca="1">AVERAGE(OFFSET($CC$3,0,0,'Données projet'!$E$12+1,1))-AVERAGE(OFFSET($H$3,0,0,'Données projet'!$E$12+1,1))</f>
        <v>530.32456073177104</v>
      </c>
      <c r="CE71" s="60">
        <f t="shared" si="94"/>
        <v>279.81519428470625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65.018376800907731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3.7599999999999909</v>
      </c>
      <c r="CT71" s="13">
        <f>IF('Données projet'!$A$140&gt;35,CT70+CS71-DB70,IF(A71&lt;'Données projet'!$A$140,$CQ$205^A71,IF(A71='Données projet'!$A$140,'Données projet'!$B$140,CT70+CS71-DB70)))</f>
        <v>266.0800000000001</v>
      </c>
      <c r="CU71" s="18">
        <f>CT71*VLOOKUP('Données projet'!$B$13,Paramètres!$A$1:$I$89,3,0)*VLOOKUP('Données projet'!$B$13,Paramètres!$A$1:$I$89,5,0)</f>
        <v>232.44748800000013</v>
      </c>
      <c r="CV71" s="14">
        <f t="shared" si="95"/>
        <v>56.811559202463812</v>
      </c>
      <c r="CW71" s="22">
        <f t="shared" si="67"/>
        <v>503.79284054429132</v>
      </c>
      <c r="CX71" s="60">
        <f t="shared" si="68"/>
        <v>778.86022214761965</v>
      </c>
      <c r="CY71" s="60">
        <f ca="1">AVERAGE(OFFSET($CX$3,0,0,'Données projet'!$E$13+1,1))-AVERAGE(OFFSET($H$3,0,0,'Données projet'!$E$13+1,1))</f>
        <v>355.03862261578701</v>
      </c>
      <c r="CZ71" s="60">
        <f t="shared" si="96"/>
        <v>382.84441399266029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65.018376800907731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8.6666666666666661</v>
      </c>
      <c r="DO71" s="13">
        <f>IF('Données projet'!$A$166&gt;35,DO70+DN71-DW70,IF(A71&lt;'Données projet'!$A$166,$DL$205^A71,IF(A71='Données projet'!$A$166,'Données projet'!$B$166,DO70+DN71-DW70)))</f>
        <v>319.33333333333343</v>
      </c>
      <c r="DP71" s="18">
        <f>DO71*VLOOKUP('Données projet'!$B$14,Paramètres!$A$1:$I$89,3,0)*VLOOKUP('Données projet'!$B$14,Paramètres!$A$1:$I$89,5,0)</f>
        <v>249.08000000000007</v>
      </c>
      <c r="DQ71" s="14">
        <f t="shared" si="97"/>
        <v>60.388894447487807</v>
      </c>
      <c r="DR71" s="22">
        <f t="shared" si="70"/>
        <v>538.99165782937473</v>
      </c>
      <c r="DS71" s="60">
        <f t="shared" si="71"/>
        <v>814.059039432703</v>
      </c>
      <c r="DT71" s="60">
        <f ca="1">AVERAGE(OFFSET($DS$3,0,0,'Données projet'!$E$14+1,1))-AVERAGE(OFFSET($H$3,0,0,'Données projet'!$E$14+1,1))</f>
        <v>305.68891030516761</v>
      </c>
      <c r="DU71" s="60">
        <f t="shared" si="98"/>
        <v>296.00275062228275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65.018376800907731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6.8</v>
      </c>
      <c r="EJ71" s="13">
        <f>IF('Données projet'!$A$192&gt;35,EJ70+EI71-ER70,IF(A71&lt;'Données projet'!$A$192,$EG$205^A71,IF(A71='Données projet'!$A$192,'Données projet'!$B$192,EJ70+EI71-ER70)))</f>
        <v>228.39999999999992</v>
      </c>
      <c r="EK71" s="18">
        <f>EJ71*VLOOKUP('Données projet'!$B$15,Paramètres!$A$1:$I$89,3,0)*VLOOKUP('Données projet'!$B$15,Paramètres!$A$1:$I$89,5,0)</f>
        <v>220.90847999999991</v>
      </c>
      <c r="EL71" s="14">
        <f t="shared" si="99"/>
        <v>54.312291977864817</v>
      </c>
      <c r="EM71" s="22">
        <f t="shared" si="73"/>
        <v>479.34284452811431</v>
      </c>
      <c r="EN71" s="60">
        <f t="shared" si="74"/>
        <v>754.41022613144264</v>
      </c>
      <c r="EO71" s="60">
        <f ca="1">AVERAGE(OFFSET($EN$3,0,0,'Données projet'!$E$15+1,1))-AVERAGE(OFFSET($H$3,0,0,'Données projet'!$E$15+1,1))</f>
        <v>483.60545605360528</v>
      </c>
      <c r="EP71" s="60">
        <f t="shared" si="100"/>
        <v>256.96685577560345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65.018376800907731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0" t="e">
        <f t="shared" si="77"/>
        <v>#N/A</v>
      </c>
      <c r="FJ71" s="60" t="e">
        <f ca="1">AVERAGE(OFFSET($FI$3,0,0,'Données projet'!$E$16+1,1))-AVERAGE(OFFSET($H$3,0,0,'Données projet'!$E$16+1,1))</f>
        <v>#N/A</v>
      </c>
      <c r="FK71" s="60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65.018376800907731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0" t="e">
        <f t="shared" si="80"/>
        <v>#N/A</v>
      </c>
      <c r="GE71" s="60" t="e">
        <f ca="1">AVERAGE(OFFSET($GD$3,0,0,'Données projet'!$E$17+1,1))-AVERAGE(OFFSET($H$3,0,0,'Données projet'!$E$17+1,1))</f>
        <v>#N/A</v>
      </c>
      <c r="GF71" s="60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65.018376800907731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4">
        <f>'Scénario référence'!$B$16*5+'Scénario référence'!$B$17*0+'Scénario référence'!$B$18*5</f>
        <v>3.2750000000000004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12.008333333333335</v>
      </c>
      <c r="H72" s="67">
        <f t="shared" si="56"/>
        <v>208.63333333333333</v>
      </c>
      <c r="I72" s="7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65.104796826170983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235.19999999999993</v>
      </c>
      <c r="O72" s="14">
        <f>N72*VLOOKUP('Données projet'!$B$9,Paramètres!$A$1:$I$89,3,0)*VLOOKUP('Données projet'!$B$9,Paramètres!$A$1:$I$89,5,0)</f>
        <v>238.49279999999996</v>
      </c>
      <c r="P72" s="14">
        <f t="shared" si="87"/>
        <v>58.115130258576542</v>
      </c>
      <c r="Q72" s="22">
        <f t="shared" si="54"/>
        <v>516.59214520035414</v>
      </c>
      <c r="R72" s="60">
        <f t="shared" si="55"/>
        <v>791.97640022964765</v>
      </c>
      <c r="S72" s="60">
        <f ca="1">AVERAGE(OFFSET($R$3,0,0,'Données projet'!$E$9+1,1))-AVERAGE(OFFSET($H$3,0,0,'Données projet'!$E$9+1,1))</f>
        <v>503.64055031157477</v>
      </c>
      <c r="T72" s="60">
        <f t="shared" si="88"/>
        <v>266.76572540460842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65.104796826170983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235.19999999999993</v>
      </c>
      <c r="AJ72" s="14">
        <f>AI72*VLOOKUP('Données projet'!$B$10,Paramètres!$A$1:$I$89,3,0)*VLOOKUP('Données projet'!$B$10,Paramètres!$A$1:$I$89,5,0)</f>
        <v>212.8089599999999</v>
      </c>
      <c r="AK72" s="14">
        <f t="shared" si="89"/>
        <v>52.548938637485847</v>
      </c>
      <c r="AL72" s="22">
        <f t="shared" si="58"/>
        <v>462.16500679362093</v>
      </c>
      <c r="AM72" s="60">
        <f t="shared" si="59"/>
        <v>737.54926182291456</v>
      </c>
      <c r="AN72" s="60">
        <f ca="1">AVERAGE(OFFSET($AM$3,0,0,'Données projet'!$E$10+1,1))-AVERAGE(OFFSET($H$3,0,0,'Données projet'!$E$10+1,1))</f>
        <v>456.86058467343139</v>
      </c>
      <c r="AO72" s="60">
        <f t="shared" si="90"/>
        <v>243.88495931574937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65.104796826170983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4.8717948717948669</v>
      </c>
      <c r="BD72" s="13">
        <f>IF('Données projet'!$A$88&gt;35,BD71+BC72-BL71,IF(A72&lt;'Données projet'!$A$88,$BA$205^A72,IF(A72='Données projet'!$A$88,'Données projet'!$B$88,BD71+BC72-BL71)))</f>
        <v>253.46153846153828</v>
      </c>
      <c r="BE72" s="14">
        <f>BD72*VLOOKUP('Données projet'!$B$11,Paramètres!$A$1:$I$89,3,0)*VLOOKUP('Données projet'!$B$11,Paramètres!$A$1:$I$89,5,0)</f>
        <v>264.91799999999984</v>
      </c>
      <c r="BF72" s="14">
        <f t="shared" si="91"/>
        <v>63.769550790039318</v>
      </c>
      <c r="BG72" s="22">
        <f t="shared" si="61"/>
        <v>572.4641509593182</v>
      </c>
      <c r="BH72" s="60">
        <f t="shared" si="62"/>
        <v>847.84840598861183</v>
      </c>
      <c r="BI72" s="60">
        <f ca="1">AVERAGE(OFFSET($BH$3,0,0,'Données projet'!$E$11+1,1))-AVERAGE(OFFSET($H$3,0,0,'Données projet'!$E$11+1,1))</f>
        <v>518.47226207416952</v>
      </c>
      <c r="BJ72" s="60">
        <f t="shared" si="92"/>
        <v>314.6379787306804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65.104796826170983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6.8</v>
      </c>
      <c r="BY72" s="13">
        <f>IF('Données projet'!$A$114&gt;35,BY71+BX72-CG71,IF(A72&lt;'Données projet'!$A$114,$BV$205^A72,IF(A72='Données projet'!$A$114,'Données projet'!$B$114,BY71+BX72-CG71)))</f>
        <v>235.19999999999993</v>
      </c>
      <c r="BZ72" s="14">
        <f>BY72*VLOOKUP('Données projet'!$B$12,Paramètres!$A$1:$I$89,3,0)*VLOOKUP('Données projet'!$B$12,Paramètres!$A$1:$I$89,5,0)</f>
        <v>253.16927999999993</v>
      </c>
      <c r="CA72" s="14">
        <f t="shared" si="93"/>
        <v>61.264096094739799</v>
      </c>
      <c r="CB72" s="22">
        <f t="shared" si="64"/>
        <v>547.63813003167172</v>
      </c>
      <c r="CC72" s="60">
        <f t="shared" si="65"/>
        <v>823.02238506096523</v>
      </c>
      <c r="CD72" s="60">
        <f ca="1">AVERAGE(OFFSET($CC$3,0,0,'Données projet'!$E$12+1,1))-AVERAGE(OFFSET($H$3,0,0,'Données projet'!$E$12+1,1))</f>
        <v>530.32456073177104</v>
      </c>
      <c r="CE72" s="60">
        <f t="shared" si="94"/>
        <v>279.81519428470625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65.104796826170983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3.7599999999999909</v>
      </c>
      <c r="CT72" s="13">
        <f>IF('Données projet'!$A$140&gt;35,CT71+CS72-DB71,IF(A72&lt;'Données projet'!$A$140,$CQ$205^A72,IF(A72='Données projet'!$A$140,'Données projet'!$B$140,CT71+CS72-DB71)))</f>
        <v>269.84000000000009</v>
      </c>
      <c r="CU72" s="18">
        <f>CT72*VLOOKUP('Données projet'!$B$13,Paramètres!$A$1:$I$89,3,0)*VLOOKUP('Données projet'!$B$13,Paramètres!$A$1:$I$89,5,0)</f>
        <v>235.73222400000009</v>
      </c>
      <c r="CV72" s="14">
        <f t="shared" si="95"/>
        <v>57.520341025473186</v>
      </c>
      <c r="CW72" s="22">
        <f t="shared" si="67"/>
        <v>510.7482174193658</v>
      </c>
      <c r="CX72" s="60">
        <f t="shared" si="68"/>
        <v>786.13247244865943</v>
      </c>
      <c r="CY72" s="60">
        <f ca="1">AVERAGE(OFFSET($CX$3,0,0,'Données projet'!$E$13+1,1))-AVERAGE(OFFSET($H$3,0,0,'Données projet'!$E$13+1,1))</f>
        <v>355.03862261578701</v>
      </c>
      <c r="CZ72" s="60">
        <f t="shared" si="96"/>
        <v>382.84441399266029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65.104796826170983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>
        <f>VLOOKUP(A72,'Données projet'!$A$165:$I$185,2,0)</f>
        <v>328</v>
      </c>
      <c r="DM72" s="13">
        <f>VLOOKUP(A72,'Données projet'!$A$165:$I$185,9,0)</f>
        <v>8.6666666666666661</v>
      </c>
      <c r="DN72" s="13">
        <f t="array" ref="DN72">INDEX(DM:DM,MIN(IF(ISNUMBER(DM72:DM268),ROW(DM72:DM268),"")))</f>
        <v>8.6666666666666661</v>
      </c>
      <c r="DO72" s="13">
        <f>IF('Données projet'!$A$166&gt;35,DO71+DN72-DW71,IF(A72&lt;'Données projet'!$A$166,$DL$205^A72,IF(A72='Données projet'!$A$166,'Données projet'!$B$166,DO71+DN72-DW71)))</f>
        <v>328.00000000000011</v>
      </c>
      <c r="DP72" s="18">
        <f>DO72*VLOOKUP('Données projet'!$B$14,Paramètres!$A$1:$I$89,3,0)*VLOOKUP('Données projet'!$B$14,Paramètres!$A$1:$I$89,5,0)</f>
        <v>255.84000000000009</v>
      </c>
      <c r="DQ72" s="14">
        <f t="shared" si="97"/>
        <v>61.834803371075836</v>
      </c>
      <c r="DR72" s="22">
        <f t="shared" si="70"/>
        <v>553.28361587129064</v>
      </c>
      <c r="DS72" s="60">
        <f t="shared" si="71"/>
        <v>828.66787090058415</v>
      </c>
      <c r="DT72" s="60">
        <f ca="1">AVERAGE(OFFSET($DS$3,0,0,'Données projet'!$E$14+1,1))-AVERAGE(OFFSET($H$3,0,0,'Données projet'!$E$14+1,1))</f>
        <v>305.68891030516761</v>
      </c>
      <c r="DU72" s="60">
        <f t="shared" si="98"/>
        <v>296.00275062228275</v>
      </c>
      <c r="DV72" s="16">
        <f>IF(ISNA(VLOOKUP(A72,'Données projet'!$A$165:$I$185,3,0)),0,VLOOKUP(A72,'Données projet'!$A$165:$I$185,3,0))</f>
        <v>7</v>
      </c>
      <c r="DW72" s="16">
        <f>IF(ISNA(VLOOKUP(A72,'Données projet'!$A$165:$I$185,4,0)),0,VLOOKUP(A72,'Données projet'!$A$165:$I$185,4,0))</f>
        <v>328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65.104796826170983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6.8</v>
      </c>
      <c r="EJ72" s="13">
        <f>IF('Données projet'!$A$192&gt;35,EJ71+EI72-ER71,IF(A72&lt;'Données projet'!$A$192,$EG$205^A72,IF(A72='Données projet'!$A$192,'Données projet'!$B$192,EJ71+EI72-ER71)))</f>
        <v>235.19999999999993</v>
      </c>
      <c r="EK72" s="18">
        <f>EJ72*VLOOKUP('Données projet'!$B$15,Paramètres!$A$1:$I$89,3,0)*VLOOKUP('Données projet'!$B$15,Paramètres!$A$1:$I$89,5,0)</f>
        <v>227.48543999999993</v>
      </c>
      <c r="EL72" s="14">
        <f t="shared" si="99"/>
        <v>55.738627496252377</v>
      </c>
      <c r="EM72" s="22">
        <f t="shared" si="73"/>
        <v>493.28191755597277</v>
      </c>
      <c r="EN72" s="60">
        <f t="shared" si="74"/>
        <v>768.66617258526639</v>
      </c>
      <c r="EO72" s="60">
        <f ca="1">AVERAGE(OFFSET($EN$3,0,0,'Données projet'!$E$15+1,1))-AVERAGE(OFFSET($H$3,0,0,'Données projet'!$E$15+1,1))</f>
        <v>483.60545605360528</v>
      </c>
      <c r="EP72" s="60">
        <f t="shared" si="100"/>
        <v>256.96685577560345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65.104796826170983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0" t="e">
        <f t="shared" si="77"/>
        <v>#N/A</v>
      </c>
      <c r="FJ72" s="60" t="e">
        <f ca="1">AVERAGE(OFFSET($FI$3,0,0,'Données projet'!$E$16+1,1))-AVERAGE(OFFSET($H$3,0,0,'Données projet'!$E$16+1,1))</f>
        <v>#N/A</v>
      </c>
      <c r="FK72" s="60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65.104796826170983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0" t="e">
        <f t="shared" si="80"/>
        <v>#N/A</v>
      </c>
      <c r="GE72" s="60" t="e">
        <f ca="1">AVERAGE(OFFSET($GD$3,0,0,'Données projet'!$E$17+1,1))-AVERAGE(OFFSET($H$3,0,0,'Données projet'!$E$17+1,1))</f>
        <v>#N/A</v>
      </c>
      <c r="GF72" s="60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65.104796826170983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4">
        <f>'Scénario référence'!$B$16*5+'Scénario référence'!$B$17*0+'Scénario référence'!$B$18*5</f>
        <v>3.2750000000000004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12.008333333333335</v>
      </c>
      <c r="H73" s="67">
        <f t="shared" si="56"/>
        <v>208.63333333333333</v>
      </c>
      <c r="I73" s="7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65.189717657202152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241.99999999999994</v>
      </c>
      <c r="O73" s="14">
        <f>N73*VLOOKUP('Données projet'!$B$9,Paramètres!$A$1:$I$89,3,0)*VLOOKUP('Données projet'!$B$9,Paramètres!$A$1:$I$89,5,0)</f>
        <v>245.38799999999995</v>
      </c>
      <c r="P73" s="14">
        <f t="shared" si="87"/>
        <v>59.597282764919569</v>
      </c>
      <c r="Q73" s="22">
        <f t="shared" si="54"/>
        <v>531.18270081556818</v>
      </c>
      <c r="R73" s="60">
        <f t="shared" si="55"/>
        <v>806.87833222530935</v>
      </c>
      <c r="S73" s="60">
        <f ca="1">AVERAGE(OFFSET($R$3,0,0,'Données projet'!$E$9+1,1))-AVERAGE(OFFSET($H$3,0,0,'Données projet'!$E$9+1,1))</f>
        <v>503.64055031157477</v>
      </c>
      <c r="T73" s="60">
        <f t="shared" si="88"/>
        <v>266.76572540460842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65.189717657202152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241.99999999999994</v>
      </c>
      <c r="AJ73" s="14">
        <f>AI73*VLOOKUP('Données projet'!$B$10,Paramètres!$A$1:$I$89,3,0)*VLOOKUP('Données projet'!$B$10,Paramètres!$A$1:$I$89,5,0)</f>
        <v>218.96159999999995</v>
      </c>
      <c r="AK73" s="14">
        <f t="shared" si="89"/>
        <v>53.88913250370743</v>
      </c>
      <c r="AL73" s="22">
        <f t="shared" si="58"/>
        <v>475.21502577729035</v>
      </c>
      <c r="AM73" s="60">
        <f t="shared" si="59"/>
        <v>750.91065718703157</v>
      </c>
      <c r="AN73" s="60">
        <f ca="1">AVERAGE(OFFSET($AM$3,0,0,'Données projet'!$E$10+1,1))-AVERAGE(OFFSET($H$3,0,0,'Données projet'!$E$10+1,1))</f>
        <v>456.86058467343139</v>
      </c>
      <c r="AO73" s="60">
        <f t="shared" si="90"/>
        <v>243.88495931574937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65.189717657202152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258.33333333333331</v>
      </c>
      <c r="BB73" s="13">
        <f>VLOOKUP(A73,'Données projet'!$A$87:$I$107,9,0)</f>
        <v>4.8717948717948669</v>
      </c>
      <c r="BC73" s="13">
        <f t="array" ref="BC73">INDEX(BB:BB,MIN(IF(ISNUMBER(BB73:BB269),ROW(BB73:BB269),"")))</f>
        <v>4.8717948717948669</v>
      </c>
      <c r="BD73" s="13">
        <f>IF('Données projet'!$A$88&gt;35,BD72+BC73-BL72,IF(A73&lt;'Données projet'!$A$88,$BA$205^A73,IF(A73='Données projet'!$A$88,'Données projet'!$B$88,BD72+BC73-BL72)))</f>
        <v>258.33333333333314</v>
      </c>
      <c r="BE73" s="14">
        <f>BD73*VLOOKUP('Données projet'!$B$11,Paramètres!$A$1:$I$89,3,0)*VLOOKUP('Données projet'!$B$11,Paramètres!$A$1:$I$89,5,0)</f>
        <v>270.00999999999982</v>
      </c>
      <c r="BF73" s="14">
        <f t="shared" si="91"/>
        <v>64.851391535647195</v>
      </c>
      <c r="BG73" s="22">
        <f t="shared" si="61"/>
        <v>583.21692359125188</v>
      </c>
      <c r="BH73" s="60">
        <f t="shared" si="62"/>
        <v>858.91255500099305</v>
      </c>
      <c r="BI73" s="60">
        <f ca="1">AVERAGE(OFFSET($BH$3,0,0,'Données projet'!$E$11+1,1))-AVERAGE(OFFSET($H$3,0,0,'Données projet'!$E$11+1,1))</f>
        <v>518.47226207416952</v>
      </c>
      <c r="BJ73" s="60">
        <f t="shared" si="92"/>
        <v>314.6379787306804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23.076923076923077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65.189717657202152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242</v>
      </c>
      <c r="BW73" s="13">
        <f>VLOOKUP(A73,'Données projet'!$A$113:$I$133,9,0)</f>
        <v>6.8</v>
      </c>
      <c r="BX73" s="13">
        <f t="array" ref="BX73">INDEX(BW:BW,MIN(IF(ISNUMBER(BW73:BW269),ROW(BW73:BW269),"")))</f>
        <v>6.8</v>
      </c>
      <c r="BY73" s="13">
        <f>IF('Données projet'!$A$114&gt;35,BY72+BX73-CG72,IF(A73&lt;'Données projet'!$A$114,$BV$205^A73,IF(A73='Données projet'!$A$114,'Données projet'!$B$114,BY72+BX73-CG72)))</f>
        <v>241.99999999999994</v>
      </c>
      <c r="BZ73" s="14">
        <f>BY73*VLOOKUP('Données projet'!$B$12,Paramètres!$A$1:$I$89,3,0)*VLOOKUP('Données projet'!$B$12,Paramètres!$A$1:$I$89,5,0)</f>
        <v>260.48879999999997</v>
      </c>
      <c r="CA73" s="14">
        <f t="shared" si="93"/>
        <v>62.826558970958821</v>
      </c>
      <c r="CB73" s="22">
        <f t="shared" si="64"/>
        <v>563.10758354108657</v>
      </c>
      <c r="CC73" s="60">
        <f t="shared" si="65"/>
        <v>838.80321495082785</v>
      </c>
      <c r="CD73" s="60">
        <f ca="1">AVERAGE(OFFSET($CC$3,0,0,'Données projet'!$E$12+1,1))-AVERAGE(OFFSET($H$3,0,0,'Données projet'!$E$12+1,1))</f>
        <v>530.32456073177104</v>
      </c>
      <c r="CE73" s="60">
        <f t="shared" si="94"/>
        <v>279.81519428470625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65.189717657202152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273.59999999999997</v>
      </c>
      <c r="CR73" s="13">
        <f>VLOOKUP(A73,'Données projet'!$A$139:$I$159,9,0)</f>
        <v>3.7599999999999909</v>
      </c>
      <c r="CS73" s="13">
        <f t="array" ref="CS73">INDEX(CR:CR,MIN(IF(ISNUMBER(CR73:CR269),ROW(CR73:CR269),"")))</f>
        <v>3.7599999999999909</v>
      </c>
      <c r="CT73" s="13">
        <f>IF('Données projet'!$A$140&gt;35,CT72+CS73-DB72,IF(A73&lt;'Données projet'!$A$140,$CQ$205^A73,IF(A73='Données projet'!$A$140,'Données projet'!$B$140,CT72+CS73-DB72)))</f>
        <v>273.60000000000008</v>
      </c>
      <c r="CU73" s="18">
        <f>CT73*VLOOKUP('Données projet'!$B$13,Paramètres!$A$1:$I$89,3,0)*VLOOKUP('Données projet'!$B$13,Paramètres!$A$1:$I$89,5,0)</f>
        <v>239.0169600000001</v>
      </c>
      <c r="CV73" s="14">
        <f t="shared" si="95"/>
        <v>58.22797414013467</v>
      </c>
      <c r="CW73" s="22">
        <f t="shared" si="67"/>
        <v>517.70159362740139</v>
      </c>
      <c r="CX73" s="60">
        <f t="shared" si="68"/>
        <v>793.39722503714256</v>
      </c>
      <c r="CY73" s="60">
        <f ca="1">AVERAGE(OFFSET($CX$3,0,0,'Données projet'!$E$13+1,1))-AVERAGE(OFFSET($H$3,0,0,'Données projet'!$E$13+1,1))</f>
        <v>355.03862261578701</v>
      </c>
      <c r="CZ73" s="60">
        <f t="shared" si="96"/>
        <v>382.84441399266029</v>
      </c>
      <c r="DA73" s="16">
        <f>IF(ISNA(VLOOKUP(A73,'Données projet'!$A$139:$I$159,3,0)),0,VLOOKUP(A73,'Données projet'!$A$139:$I$159,3,0))</f>
        <v>6</v>
      </c>
      <c r="DB73" s="16">
        <f>IF(ISNA(VLOOKUP(A73,'Données projet'!$A$139:$I$159,4,0)),0,VLOOKUP(A73,'Données projet'!$A$139:$I$159,4,0))</f>
        <v>20.9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65.189717657202152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1.1368683772161603E-13</v>
      </c>
      <c r="DP73" s="18">
        <f>DO73*VLOOKUP('Données projet'!$B$14,Paramètres!$A$1:$I$89,3,0)*VLOOKUP('Données projet'!$B$14,Paramètres!$A$1:$I$89,5,0)</f>
        <v>8.8675733422860506E-14</v>
      </c>
      <c r="DQ73" s="14">
        <f t="shared" si="97"/>
        <v>1.3509285393066301E-12</v>
      </c>
      <c r="DR73" s="22">
        <f t="shared" si="70"/>
        <v>2.5073107750038623E-12</v>
      </c>
      <c r="DS73" s="60">
        <f t="shared" si="71"/>
        <v>275.69563140974373</v>
      </c>
      <c r="DT73" s="60">
        <f ca="1">AVERAGE(OFFSET($DS$3,0,0,'Données projet'!$E$14+1,1))-AVERAGE(OFFSET($H$3,0,0,'Données projet'!$E$14+1,1))</f>
        <v>305.68891030516761</v>
      </c>
      <c r="DU73" s="60">
        <f t="shared" si="98"/>
        <v>296.00275062228275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65.189717657202152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242</v>
      </c>
      <c r="EH73" s="13">
        <f>VLOOKUP(A73,'Données projet'!$A$191:$I$211,9,0)</f>
        <v>6.8</v>
      </c>
      <c r="EI73" s="13">
        <f t="array" ref="EI73">INDEX(EH:EH,MIN(IF(ISNUMBER(EH73:EH269),ROW(EH73:EH269),"")))</f>
        <v>6.8</v>
      </c>
      <c r="EJ73" s="13">
        <f>IF('Données projet'!$A$192&gt;35,EJ72+EI73-ER72,IF(A73&lt;'Données projet'!$A$192,$EG$205^A73,IF(A73='Données projet'!$A$192,'Données projet'!$B$192,EJ72+EI73-ER72)))</f>
        <v>241.99999999999994</v>
      </c>
      <c r="EK73" s="18">
        <f>EJ73*VLOOKUP('Données projet'!$B$15,Paramètres!$A$1:$I$89,3,0)*VLOOKUP('Données projet'!$B$15,Paramètres!$A$1:$I$89,5,0)</f>
        <v>234.06239999999994</v>
      </c>
      <c r="EL73" s="14">
        <f t="shared" si="99"/>
        <v>57.16017032126387</v>
      </c>
      <c r="EM73" s="22">
        <f t="shared" si="73"/>
        <v>507.21264330953437</v>
      </c>
      <c r="EN73" s="60">
        <f t="shared" si="74"/>
        <v>782.9082747192756</v>
      </c>
      <c r="EO73" s="60">
        <f ca="1">AVERAGE(OFFSET($EN$3,0,0,'Données projet'!$E$15+1,1))-AVERAGE(OFFSET($H$3,0,0,'Données projet'!$E$15+1,1))</f>
        <v>483.60545605360528</v>
      </c>
      <c r="EP73" s="60">
        <f t="shared" si="100"/>
        <v>256.96685577560345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65.189717657202152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0" t="e">
        <f t="shared" si="77"/>
        <v>#N/A</v>
      </c>
      <c r="FJ73" s="60" t="e">
        <f ca="1">AVERAGE(OFFSET($FI$3,0,0,'Données projet'!$E$16+1,1))-AVERAGE(OFFSET($H$3,0,0,'Données projet'!$E$16+1,1))</f>
        <v>#N/A</v>
      </c>
      <c r="FK73" s="60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65.189717657202152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0" t="e">
        <f t="shared" si="80"/>
        <v>#N/A</v>
      </c>
      <c r="GE73" s="60" t="e">
        <f ca="1">AVERAGE(OFFSET($GD$3,0,0,'Données projet'!$E$17+1,1))-AVERAGE(OFFSET($H$3,0,0,'Données projet'!$E$17+1,1))</f>
        <v>#N/A</v>
      </c>
      <c r="GF73" s="60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65.189717657202152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4">
        <f>'Scénario référence'!$B$16*5+'Scénario référence'!$B$17*0+'Scénario référence'!$B$18*5</f>
        <v>3.2750000000000004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12.008333333333335</v>
      </c>
      <c r="H74" s="67">
        <f t="shared" si="56"/>
        <v>208.63333333333333</v>
      </c>
      <c r="I74" s="7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65.273165301669479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248.19999999999993</v>
      </c>
      <c r="O74" s="14">
        <f>N74*VLOOKUP('Données projet'!$B$9,Paramètres!$A$1:$I$89,3,0)*VLOOKUP('Données projet'!$B$9,Paramètres!$A$1:$I$89,5,0)</f>
        <v>251.67479999999995</v>
      </c>
      <c r="P74" s="14">
        <f t="shared" si="87"/>
        <v>60.944434584138449</v>
      </c>
      <c r="Q74" s="22">
        <f t="shared" si="54"/>
        <v>544.47850023404101</v>
      </c>
      <c r="R74" s="60">
        <f t="shared" si="55"/>
        <v>820.48010634016237</v>
      </c>
      <c r="S74" s="60">
        <f ca="1">AVERAGE(OFFSET($R$3,0,0,'Données projet'!$E$9+1,1))-AVERAGE(OFFSET($H$3,0,0,'Données projet'!$E$9+1,1))</f>
        <v>503.64055031157477</v>
      </c>
      <c r="T74" s="60">
        <f t="shared" si="88"/>
        <v>266.76572540460842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65.273165301669479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248.19999999999993</v>
      </c>
      <c r="AJ74" s="14">
        <f>AI74*VLOOKUP('Données projet'!$B$10,Paramètres!$A$1:$I$89,3,0)*VLOOKUP('Données projet'!$B$10,Paramètres!$A$1:$I$89,5,0)</f>
        <v>224.57135999999994</v>
      </c>
      <c r="AK74" s="14">
        <f t="shared" si="89"/>
        <v>55.107255873104265</v>
      </c>
      <c r="AL74" s="22">
        <f t="shared" si="58"/>
        <v>487.10692264565643</v>
      </c>
      <c r="AM74" s="60">
        <f t="shared" si="59"/>
        <v>763.10852875177784</v>
      </c>
      <c r="AN74" s="60">
        <f ca="1">AVERAGE(OFFSET($AM$3,0,0,'Données projet'!$E$10+1,1))-AVERAGE(OFFSET($H$3,0,0,'Données projet'!$E$10+1,1))</f>
        <v>456.86058467343139</v>
      </c>
      <c r="AO74" s="60">
        <f t="shared" si="90"/>
        <v>243.88495931574937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65.273165301669479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4.4871794871794863</v>
      </c>
      <c r="BD74" s="13">
        <f>IF('Données projet'!$A$88&gt;35,BD73+BC74-BL73,IF(A74&lt;'Données projet'!$A$88,$BA$205^A74,IF(A74='Données projet'!$A$88,'Données projet'!$B$88,BD73+BC74-BL73)))</f>
        <v>239.74358974358958</v>
      </c>
      <c r="BE74" s="14">
        <f>BD74*VLOOKUP('Données projet'!$B$11,Paramètres!$A$1:$I$89,3,0)*VLOOKUP('Données projet'!$B$11,Paramètres!$A$1:$I$89,5,0)</f>
        <v>250.57999999999984</v>
      </c>
      <c r="BF74" s="14">
        <f t="shared" si="91"/>
        <v>60.710122367679979</v>
      </c>
      <c r="BG74" s="22">
        <f t="shared" si="61"/>
        <v>542.16362979037569</v>
      </c>
      <c r="BH74" s="60">
        <f t="shared" si="62"/>
        <v>818.16523589649705</v>
      </c>
      <c r="BI74" s="60">
        <f ca="1">AVERAGE(OFFSET($BH$3,0,0,'Données projet'!$E$11+1,1))-AVERAGE(OFFSET($H$3,0,0,'Données projet'!$E$11+1,1))</f>
        <v>518.47226207416952</v>
      </c>
      <c r="BJ74" s="60">
        <f t="shared" si="92"/>
        <v>314.6379787306804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65.273165301669479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6.2</v>
      </c>
      <c r="BY74" s="13">
        <f>IF('Données projet'!$A$114&gt;35,BY73+BX74-CG73,IF(A74&lt;'Données projet'!$A$114,$BV$205^A74,IF(A74='Données projet'!$A$114,'Données projet'!$B$114,BY73+BX74-CG73)))</f>
        <v>248.19999999999993</v>
      </c>
      <c r="BZ74" s="14">
        <f>BY74*VLOOKUP('Données projet'!$B$12,Paramètres!$A$1:$I$89,3,0)*VLOOKUP('Données projet'!$B$12,Paramètres!$A$1:$I$89,5,0)</f>
        <v>267.16247999999996</v>
      </c>
      <c r="CA74" s="14">
        <f t="shared" si="93"/>
        <v>64.246706153622185</v>
      </c>
      <c r="CB74" s="22">
        <f t="shared" si="64"/>
        <v>577.20433255089188</v>
      </c>
      <c r="CC74" s="60">
        <f t="shared" si="65"/>
        <v>853.20593865701335</v>
      </c>
      <c r="CD74" s="60">
        <f ca="1">AVERAGE(OFFSET($CC$3,0,0,'Données projet'!$E$12+1,1))-AVERAGE(OFFSET($H$3,0,0,'Données projet'!$E$12+1,1))</f>
        <v>530.32456073177104</v>
      </c>
      <c r="CE74" s="60">
        <f t="shared" si="94"/>
        <v>279.81519428470625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65.273165301669479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3.4000000000000172</v>
      </c>
      <c r="CT74" s="13">
        <f>IF('Données projet'!$A$140&gt;35,CT73+CS74-DB73,IF(A74&lt;'Données projet'!$A$140,$CQ$205^A74,IF(A74='Données projet'!$A$140,'Données projet'!$B$140,CT73+CS74-DB73)))</f>
        <v>256.10000000000014</v>
      </c>
      <c r="CU74" s="18">
        <f>CT74*VLOOKUP('Données projet'!$B$13,Paramètres!$A$1:$I$89,3,0)*VLOOKUP('Données projet'!$B$13,Paramètres!$A$1:$I$89,5,0)</f>
        <v>223.72896000000014</v>
      </c>
      <c r="CV74" s="14">
        <f t="shared" si="95"/>
        <v>54.924562237784642</v>
      </c>
      <c r="CW74" s="22">
        <f t="shared" si="67"/>
        <v>485.32155123080855</v>
      </c>
      <c r="CX74" s="60">
        <f t="shared" si="68"/>
        <v>761.32315733692997</v>
      </c>
      <c r="CY74" s="60">
        <f ca="1">AVERAGE(OFFSET($CX$3,0,0,'Données projet'!$E$13+1,1))-AVERAGE(OFFSET($H$3,0,0,'Données projet'!$E$13+1,1))</f>
        <v>355.03862261578701</v>
      </c>
      <c r="CZ74" s="60">
        <f t="shared" si="96"/>
        <v>382.84441399266029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65.273165301669479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1.1368683772161603E-13</v>
      </c>
      <c r="DP74" s="18">
        <f>DO74*VLOOKUP('Données projet'!$B$14,Paramètres!$A$1:$I$89,3,0)*VLOOKUP('Données projet'!$B$14,Paramètres!$A$1:$I$89,5,0)</f>
        <v>8.8675733422860506E-14</v>
      </c>
      <c r="DQ74" s="14">
        <f t="shared" si="97"/>
        <v>1.3509285393066301E-12</v>
      </c>
      <c r="DR74" s="22">
        <f t="shared" si="70"/>
        <v>2.5073107750038623E-12</v>
      </c>
      <c r="DS74" s="60">
        <f t="shared" si="71"/>
        <v>276.00160610612392</v>
      </c>
      <c r="DT74" s="60">
        <f ca="1">AVERAGE(OFFSET($DS$3,0,0,'Données projet'!$E$14+1,1))-AVERAGE(OFFSET($H$3,0,0,'Données projet'!$E$14+1,1))</f>
        <v>305.68891030516761</v>
      </c>
      <c r="DU74" s="60">
        <f t="shared" si="98"/>
        <v>296.00275062228275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65.273165301669479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6.2</v>
      </c>
      <c r="EJ74" s="13">
        <f>IF('Données projet'!$A$192&gt;35,EJ73+EI74-ER73,IF(A74&lt;'Données projet'!$A$192,$EG$205^A74,IF(A74='Données projet'!$A$192,'Données projet'!$B$192,EJ73+EI74-ER73)))</f>
        <v>248.19999999999993</v>
      </c>
      <c r="EK74" s="18">
        <f>EJ74*VLOOKUP('Données projet'!$B$15,Paramètres!$A$1:$I$89,3,0)*VLOOKUP('Données projet'!$B$15,Paramètres!$A$1:$I$89,5,0)</f>
        <v>240.05903999999995</v>
      </c>
      <c r="EL74" s="14">
        <f t="shared" si="99"/>
        <v>58.452233043970431</v>
      </c>
      <c r="EM74" s="22">
        <f t="shared" si="73"/>
        <v>519.90713388491497</v>
      </c>
      <c r="EN74" s="60">
        <f t="shared" si="74"/>
        <v>795.90873999103633</v>
      </c>
      <c r="EO74" s="60">
        <f ca="1">AVERAGE(OFFSET($EN$3,0,0,'Données projet'!$E$15+1,1))-AVERAGE(OFFSET($H$3,0,0,'Données projet'!$E$15+1,1))</f>
        <v>483.60545605360528</v>
      </c>
      <c r="EP74" s="60">
        <f t="shared" si="100"/>
        <v>256.96685577560345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65.273165301669479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0" t="e">
        <f t="shared" si="77"/>
        <v>#N/A</v>
      </c>
      <c r="FJ74" s="60" t="e">
        <f ca="1">AVERAGE(OFFSET($FI$3,0,0,'Données projet'!$E$16+1,1))-AVERAGE(OFFSET($H$3,0,0,'Données projet'!$E$16+1,1))</f>
        <v>#N/A</v>
      </c>
      <c r="FK74" s="60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65.273165301669479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0" t="e">
        <f t="shared" si="80"/>
        <v>#N/A</v>
      </c>
      <c r="GE74" s="60" t="e">
        <f ca="1">AVERAGE(OFFSET($GD$3,0,0,'Données projet'!$E$17+1,1))-AVERAGE(OFFSET($H$3,0,0,'Données projet'!$E$17+1,1))</f>
        <v>#N/A</v>
      </c>
      <c r="GF74" s="60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65.273165301669479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4">
        <f>'Scénario référence'!$B$16*5+'Scénario référence'!$B$17*0+'Scénario référence'!$B$18*5</f>
        <v>3.2750000000000004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12.008333333333335</v>
      </c>
      <c r="H75" s="67">
        <f t="shared" si="56"/>
        <v>208.63333333333333</v>
      </c>
      <c r="I75" s="7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65.355165316066262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254.39999999999992</v>
      </c>
      <c r="O75" s="14">
        <f>N75*VLOOKUP('Données projet'!$B$9,Paramètres!$A$1:$I$89,3,0)*VLOOKUP('Données projet'!$B$9,Paramètres!$A$1:$I$89,5,0)</f>
        <v>257.96159999999992</v>
      </c>
      <c r="P75" s="14">
        <f t="shared" si="87"/>
        <v>62.287674609742481</v>
      </c>
      <c r="Q75" s="22">
        <f t="shared" si="54"/>
        <v>557.76748661196802</v>
      </c>
      <c r="R75" s="60">
        <f t="shared" si="55"/>
        <v>834.06975943754423</v>
      </c>
      <c r="S75" s="60">
        <f ca="1">AVERAGE(OFFSET($R$3,0,0,'Données projet'!$E$9+1,1))-AVERAGE(OFFSET($H$3,0,0,'Données projet'!$E$9+1,1))</f>
        <v>503.64055031157477</v>
      </c>
      <c r="T75" s="60">
        <f t="shared" si="88"/>
        <v>266.76572540460842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65.355165316066262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254.39999999999992</v>
      </c>
      <c r="AJ75" s="14">
        <f>AI75*VLOOKUP('Données projet'!$B$10,Paramètres!$A$1:$I$89,3,0)*VLOOKUP('Données projet'!$B$10,Paramètres!$A$1:$I$89,5,0)</f>
        <v>230.18111999999991</v>
      </c>
      <c r="AK75" s="14">
        <f t="shared" si="89"/>
        <v>56.321842115392933</v>
      </c>
      <c r="AL75" s="22">
        <f t="shared" si="58"/>
        <v>498.99265901764255</v>
      </c>
      <c r="AM75" s="60">
        <f t="shared" si="59"/>
        <v>775.29493184321882</v>
      </c>
      <c r="AN75" s="60">
        <f ca="1">AVERAGE(OFFSET($AM$3,0,0,'Données projet'!$E$10+1,1))-AVERAGE(OFFSET($H$3,0,0,'Données projet'!$E$10+1,1))</f>
        <v>456.86058467343139</v>
      </c>
      <c r="AO75" s="60">
        <f t="shared" si="90"/>
        <v>243.88495931574937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65.355165316066262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4.4871794871794863</v>
      </c>
      <c r="BD75" s="13">
        <f>IF('Données projet'!$A$88&gt;35,BD74+BC75-BL74,IF(A75&lt;'Données projet'!$A$88,$BA$205^A75,IF(A75='Données projet'!$A$88,'Données projet'!$B$88,BD74+BC75-BL74)))</f>
        <v>244.23076923076906</v>
      </c>
      <c r="BE75" s="14">
        <f>BD75*VLOOKUP('Données projet'!$B$11,Paramètres!$A$1:$I$89,3,0)*VLOOKUP('Données projet'!$B$11,Paramètres!$A$1:$I$89,5,0)</f>
        <v>255.26999999999984</v>
      </c>
      <c r="BF75" s="14">
        <f t="shared" si="91"/>
        <v>61.713058280444663</v>
      </c>
      <c r="BG75" s="22">
        <f t="shared" si="61"/>
        <v>552.07882650510749</v>
      </c>
      <c r="BH75" s="60">
        <f t="shared" si="62"/>
        <v>828.38109933068381</v>
      </c>
      <c r="BI75" s="60">
        <f ca="1">AVERAGE(OFFSET($BH$3,0,0,'Données projet'!$E$11+1,1))-AVERAGE(OFFSET($H$3,0,0,'Données projet'!$E$11+1,1))</f>
        <v>518.47226207416952</v>
      </c>
      <c r="BJ75" s="60">
        <f t="shared" si="92"/>
        <v>314.6379787306804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65.355165316066262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6.2</v>
      </c>
      <c r="BY75" s="13">
        <f>IF('Données projet'!$A$114&gt;35,BY74+BX75-CG74,IF(A75&lt;'Données projet'!$A$114,$BV$205^A75,IF(A75='Données projet'!$A$114,'Données projet'!$B$114,BY74+BX75-CG74)))</f>
        <v>254.39999999999992</v>
      </c>
      <c r="BZ75" s="14">
        <f>BY75*VLOOKUP('Données projet'!$B$12,Paramètres!$A$1:$I$89,3,0)*VLOOKUP('Données projet'!$B$12,Paramètres!$A$1:$I$89,5,0)</f>
        <v>273.83615999999995</v>
      </c>
      <c r="CA75" s="14">
        <f t="shared" si="93"/>
        <v>65.662729582301651</v>
      </c>
      <c r="CB75" s="22">
        <f t="shared" si="64"/>
        <v>591.29389935584197</v>
      </c>
      <c r="CC75" s="60">
        <f t="shared" si="65"/>
        <v>867.5961721814183</v>
      </c>
      <c r="CD75" s="60">
        <f ca="1">AVERAGE(OFFSET($CC$3,0,0,'Données projet'!$E$12+1,1))-AVERAGE(OFFSET($H$3,0,0,'Données projet'!$E$12+1,1))</f>
        <v>530.32456073177104</v>
      </c>
      <c r="CE75" s="60">
        <f t="shared" si="94"/>
        <v>279.81519428470625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65.355165316066262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3.4000000000000172</v>
      </c>
      <c r="CT75" s="13">
        <f>IF('Données projet'!$A$140&gt;35,CT74+CS75-DB74,IF(A75&lt;'Données projet'!$A$140,$CQ$205^A75,IF(A75='Données projet'!$A$140,'Données projet'!$B$140,CT74+CS75-DB74)))</f>
        <v>259.50000000000017</v>
      </c>
      <c r="CU75" s="18">
        <f>CT75*VLOOKUP('Données projet'!$B$13,Paramètres!$A$1:$I$89,3,0)*VLOOKUP('Données projet'!$B$13,Paramètres!$A$1:$I$89,5,0)</f>
        <v>226.69920000000016</v>
      </c>
      <c r="CV75" s="14">
        <f t="shared" si="95"/>
        <v>55.568372066903464</v>
      </c>
      <c r="CW75" s="22">
        <f t="shared" si="67"/>
        <v>491.61602134985714</v>
      </c>
      <c r="CX75" s="60">
        <f t="shared" si="68"/>
        <v>767.9182941754334</v>
      </c>
      <c r="CY75" s="60">
        <f ca="1">AVERAGE(OFFSET($CX$3,0,0,'Données projet'!$E$13+1,1))-AVERAGE(OFFSET($H$3,0,0,'Données projet'!$E$13+1,1))</f>
        <v>355.03862261578701</v>
      </c>
      <c r="CZ75" s="60">
        <f t="shared" si="96"/>
        <v>382.84441399266029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65.355165316066262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1.1368683772161603E-13</v>
      </c>
      <c r="DP75" s="18">
        <f>DO75*VLOOKUP('Données projet'!$B$14,Paramètres!$A$1:$I$89,3,0)*VLOOKUP('Données projet'!$B$14,Paramètres!$A$1:$I$89,5,0)</f>
        <v>8.8675733422860506E-14</v>
      </c>
      <c r="DQ75" s="14">
        <f t="shared" si="97"/>
        <v>1.3509285393066301E-12</v>
      </c>
      <c r="DR75" s="22">
        <f t="shared" si="70"/>
        <v>2.5073107750038623E-12</v>
      </c>
      <c r="DS75" s="60">
        <f t="shared" si="71"/>
        <v>276.30227282557877</v>
      </c>
      <c r="DT75" s="60">
        <f ca="1">AVERAGE(OFFSET($DS$3,0,0,'Données projet'!$E$14+1,1))-AVERAGE(OFFSET($H$3,0,0,'Données projet'!$E$14+1,1))</f>
        <v>305.68891030516761</v>
      </c>
      <c r="DU75" s="60">
        <f t="shared" si="98"/>
        <v>296.00275062228275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65.355165316066262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6.2</v>
      </c>
      <c r="EJ75" s="13">
        <f>IF('Données projet'!$A$192&gt;35,EJ74+EI75-ER74,IF(A75&lt;'Données projet'!$A$192,$EG$205^A75,IF(A75='Données projet'!$A$192,'Données projet'!$B$192,EJ74+EI75-ER74)))</f>
        <v>254.39999999999992</v>
      </c>
      <c r="EK75" s="18">
        <f>EJ75*VLOOKUP('Données projet'!$B$15,Paramètres!$A$1:$I$89,3,0)*VLOOKUP('Données projet'!$B$15,Paramètres!$A$1:$I$89,5,0)</f>
        <v>246.05567999999994</v>
      </c>
      <c r="EL75" s="14">
        <f t="shared" si="99"/>
        <v>59.740543938088187</v>
      </c>
      <c r="EM75" s="22">
        <f t="shared" si="73"/>
        <v>532.59509002550351</v>
      </c>
      <c r="EN75" s="60">
        <f t="shared" si="74"/>
        <v>808.89736285107983</v>
      </c>
      <c r="EO75" s="60">
        <f ca="1">AVERAGE(OFFSET($EN$3,0,0,'Données projet'!$E$15+1,1))-AVERAGE(OFFSET($H$3,0,0,'Données projet'!$E$15+1,1))</f>
        <v>483.60545605360528</v>
      </c>
      <c r="EP75" s="60">
        <f t="shared" si="100"/>
        <v>256.96685577560345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65.355165316066262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0" t="e">
        <f t="shared" si="77"/>
        <v>#N/A</v>
      </c>
      <c r="FJ75" s="60" t="e">
        <f ca="1">AVERAGE(OFFSET($FI$3,0,0,'Données projet'!$E$16+1,1))-AVERAGE(OFFSET($H$3,0,0,'Données projet'!$E$16+1,1))</f>
        <v>#N/A</v>
      </c>
      <c r="FK75" s="60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65.355165316066262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0" t="e">
        <f t="shared" si="80"/>
        <v>#N/A</v>
      </c>
      <c r="GE75" s="60" t="e">
        <f ca="1">AVERAGE(OFFSET($GD$3,0,0,'Données projet'!$E$17+1,1))-AVERAGE(OFFSET($H$3,0,0,'Données projet'!$E$17+1,1))</f>
        <v>#N/A</v>
      </c>
      <c r="GF75" s="60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65.355165316066262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4">
        <f>'Scénario référence'!$B$16*5+'Scénario référence'!$B$17*0+'Scénario référence'!$B$18*5</f>
        <v>3.2750000000000004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12.008333333333335</v>
      </c>
      <c r="H76" s="67">
        <f t="shared" si="56"/>
        <v>208.63333333333333</v>
      </c>
      <c r="I76" s="7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65.435742813537843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260.59999999999991</v>
      </c>
      <c r="O76" s="14">
        <f>N76*VLOOKUP('Données projet'!$B$9,Paramètres!$A$1:$I$89,3,0)*VLOOKUP('Données projet'!$B$9,Paramètres!$A$1:$I$89,5,0)</f>
        <v>264.24839999999995</v>
      </c>
      <c r="P76" s="14">
        <f t="shared" si="87"/>
        <v>63.627109143733414</v>
      </c>
      <c r="Q76" s="22">
        <f t="shared" si="54"/>
        <v>571.04984509200233</v>
      </c>
      <c r="R76" s="60">
        <f t="shared" si="55"/>
        <v>847.64756874164107</v>
      </c>
      <c r="S76" s="60">
        <f ca="1">AVERAGE(OFFSET($R$3,0,0,'Données projet'!$E$9+1,1))-AVERAGE(OFFSET($H$3,0,0,'Données projet'!$E$9+1,1))</f>
        <v>503.64055031157477</v>
      </c>
      <c r="T76" s="60">
        <f t="shared" si="88"/>
        <v>266.76572540460842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65.435742813537843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260.59999999999991</v>
      </c>
      <c r="AJ76" s="14">
        <f>AI76*VLOOKUP('Données projet'!$B$10,Paramètres!$A$1:$I$89,3,0)*VLOOKUP('Données projet'!$B$10,Paramètres!$A$1:$I$89,5,0)</f>
        <v>235.7908799999999</v>
      </c>
      <c r="AK76" s="14">
        <f t="shared" si="89"/>
        <v>57.532987351107714</v>
      </c>
      <c r="AL76" s="22">
        <f t="shared" si="58"/>
        <v>510.87240230317911</v>
      </c>
      <c r="AM76" s="60">
        <f t="shared" si="59"/>
        <v>787.47012595281785</v>
      </c>
      <c r="AN76" s="60">
        <f ca="1">AVERAGE(OFFSET($AM$3,0,0,'Données projet'!$E$10+1,1))-AVERAGE(OFFSET($H$3,0,0,'Données projet'!$E$10+1,1))</f>
        <v>456.86058467343139</v>
      </c>
      <c r="AO76" s="60">
        <f t="shared" si="90"/>
        <v>243.88495931574937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65.435742813537843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4.4871794871794863</v>
      </c>
      <c r="BD76" s="13">
        <f>IF('Données projet'!$A$88&gt;35,BD75+BC76-BL75,IF(A76&lt;'Données projet'!$A$88,$BA$205^A76,IF(A76='Données projet'!$A$88,'Données projet'!$B$88,BD75+BC76-BL75)))</f>
        <v>248.71794871794853</v>
      </c>
      <c r="BE76" s="14">
        <f>BD76*VLOOKUP('Données projet'!$B$11,Paramètres!$A$1:$I$89,3,0)*VLOOKUP('Données projet'!$B$11,Paramètres!$A$1:$I$89,5,0)</f>
        <v>259.95999999999981</v>
      </c>
      <c r="BF76" s="14">
        <f t="shared" si="91"/>
        <v>62.713851496250946</v>
      </c>
      <c r="BG76" s="22">
        <f t="shared" si="61"/>
        <v>561.99029135597004</v>
      </c>
      <c r="BH76" s="60">
        <f t="shared" si="62"/>
        <v>838.58801500560878</v>
      </c>
      <c r="BI76" s="60">
        <f ca="1">AVERAGE(OFFSET($BH$3,0,0,'Données projet'!$E$11+1,1))-AVERAGE(OFFSET($H$3,0,0,'Données projet'!$E$11+1,1))</f>
        <v>518.47226207416952</v>
      </c>
      <c r="BJ76" s="60">
        <f t="shared" si="92"/>
        <v>314.6379787306804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65.435742813537843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6.2</v>
      </c>
      <c r="BY76" s="13">
        <f>IF('Données projet'!$A$114&gt;35,BY75+BX76-CG75,IF(A76&lt;'Données projet'!$A$114,$BV$205^A76,IF(A76='Données projet'!$A$114,'Données projet'!$B$114,BY75+BX76-CG75)))</f>
        <v>260.59999999999991</v>
      </c>
      <c r="BZ76" s="14">
        <f>BY76*VLOOKUP('Données projet'!$B$12,Paramètres!$A$1:$I$89,3,0)*VLOOKUP('Données projet'!$B$12,Paramètres!$A$1:$I$89,5,0)</f>
        <v>280.50983999999988</v>
      </c>
      <c r="CA76" s="14">
        <f t="shared" si="93"/>
        <v>67.074741318968506</v>
      </c>
      <c r="CB76" s="22">
        <f t="shared" si="64"/>
        <v>605.37647913053661</v>
      </c>
      <c r="CC76" s="60">
        <f t="shared" si="65"/>
        <v>881.97420278017535</v>
      </c>
      <c r="CD76" s="60">
        <f ca="1">AVERAGE(OFFSET($CC$3,0,0,'Données projet'!$E$12+1,1))-AVERAGE(OFFSET($H$3,0,0,'Données projet'!$E$12+1,1))</f>
        <v>530.32456073177104</v>
      </c>
      <c r="CE76" s="60">
        <f t="shared" si="94"/>
        <v>279.81519428470625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65.435742813537843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3.4000000000000172</v>
      </c>
      <c r="CT76" s="13">
        <f>IF('Données projet'!$A$140&gt;35,CT75+CS76-DB75,IF(A76&lt;'Données projet'!$A$140,$CQ$205^A76,IF(A76='Données projet'!$A$140,'Données projet'!$B$140,CT75+CS76-DB75)))</f>
        <v>262.9000000000002</v>
      </c>
      <c r="CU76" s="18">
        <f>CT76*VLOOKUP('Données projet'!$B$13,Paramètres!$A$1:$I$89,3,0)*VLOOKUP('Données projet'!$B$13,Paramètres!$A$1:$I$89,5,0)</f>
        <v>229.66944000000021</v>
      </c>
      <c r="CV76" s="14">
        <f t="shared" si="95"/>
        <v>56.211200748862041</v>
      </c>
      <c r="CW76" s="22">
        <f t="shared" si="67"/>
        <v>497.90878263760169</v>
      </c>
      <c r="CX76" s="60">
        <f t="shared" si="68"/>
        <v>774.50650628724043</v>
      </c>
      <c r="CY76" s="60">
        <f ca="1">AVERAGE(OFFSET($CX$3,0,0,'Données projet'!$E$13+1,1))-AVERAGE(OFFSET($H$3,0,0,'Données projet'!$E$13+1,1))</f>
        <v>355.03862261578701</v>
      </c>
      <c r="CZ76" s="60">
        <f t="shared" si="96"/>
        <v>382.84441399266029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65.435742813537843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1.1368683772161603E-13</v>
      </c>
      <c r="DP76" s="18">
        <f>DO76*VLOOKUP('Données projet'!$B$14,Paramètres!$A$1:$I$89,3,0)*VLOOKUP('Données projet'!$B$14,Paramètres!$A$1:$I$89,5,0)</f>
        <v>8.8675733422860506E-14</v>
      </c>
      <c r="DQ76" s="14">
        <f t="shared" si="97"/>
        <v>1.3509285393066301E-12</v>
      </c>
      <c r="DR76" s="22">
        <f t="shared" si="70"/>
        <v>2.5073107750038623E-12</v>
      </c>
      <c r="DS76" s="60">
        <f t="shared" si="71"/>
        <v>276.59772364964124</v>
      </c>
      <c r="DT76" s="60">
        <f ca="1">AVERAGE(OFFSET($DS$3,0,0,'Données projet'!$E$14+1,1))-AVERAGE(OFFSET($H$3,0,0,'Données projet'!$E$14+1,1))</f>
        <v>305.68891030516761</v>
      </c>
      <c r="DU76" s="60">
        <f t="shared" si="98"/>
        <v>296.00275062228275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65.435742813537843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6.2</v>
      </c>
      <c r="EJ76" s="13">
        <f>IF('Données projet'!$A$192&gt;35,EJ75+EI76-ER75,IF(A76&lt;'Données projet'!$A$192,$EG$205^A76,IF(A76='Données projet'!$A$192,'Données projet'!$B$192,EJ75+EI76-ER75)))</f>
        <v>260.59999999999991</v>
      </c>
      <c r="EK76" s="18">
        <f>EJ76*VLOOKUP('Données projet'!$B$15,Paramètres!$A$1:$I$89,3,0)*VLOOKUP('Données projet'!$B$15,Paramètres!$A$1:$I$89,5,0)</f>
        <v>252.05231999999992</v>
      </c>
      <c r="EL76" s="14">
        <f t="shared" si="99"/>
        <v>61.025204958609983</v>
      </c>
      <c r="EM76" s="22">
        <f t="shared" si="73"/>
        <v>545.27668930291225</v>
      </c>
      <c r="EN76" s="60">
        <f t="shared" si="74"/>
        <v>821.87441295255098</v>
      </c>
      <c r="EO76" s="60">
        <f ca="1">AVERAGE(OFFSET($EN$3,0,0,'Données projet'!$E$15+1,1))-AVERAGE(OFFSET($H$3,0,0,'Données projet'!$E$15+1,1))</f>
        <v>483.60545605360528</v>
      </c>
      <c r="EP76" s="60">
        <f t="shared" si="100"/>
        <v>256.96685577560345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65.435742813537843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0" t="e">
        <f t="shared" si="77"/>
        <v>#N/A</v>
      </c>
      <c r="FJ76" s="60" t="e">
        <f ca="1">AVERAGE(OFFSET($FI$3,0,0,'Données projet'!$E$16+1,1))-AVERAGE(OFFSET($H$3,0,0,'Données projet'!$E$16+1,1))</f>
        <v>#N/A</v>
      </c>
      <c r="FK76" s="60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65.435742813537843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0" t="e">
        <f t="shared" si="80"/>
        <v>#N/A</v>
      </c>
      <c r="GE76" s="60" t="e">
        <f ca="1">AVERAGE(OFFSET($GD$3,0,0,'Données projet'!$E$17+1,1))-AVERAGE(OFFSET($H$3,0,0,'Données projet'!$E$17+1,1))</f>
        <v>#N/A</v>
      </c>
      <c r="GF76" s="60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65.435742813537843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4">
        <f>'Scénario référence'!$B$16*5+'Scénario référence'!$B$17*0+'Scénario référence'!$B$18*5</f>
        <v>3.2750000000000004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12.008333333333335</v>
      </c>
      <c r="H77" s="67">
        <f t="shared" si="56"/>
        <v>208.63333333333333</v>
      </c>
      <c r="I77" s="7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65.514922471572575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266.7999999999999</v>
      </c>
      <c r="O77" s="14">
        <f>N77*VLOOKUP('Données projet'!$B$9,Paramètres!$A$1:$I$89,3,0)*VLOOKUP('Données projet'!$B$9,Paramètres!$A$1:$I$89,5,0)</f>
        <v>270.53519999999992</v>
      </c>
      <c r="P77" s="14">
        <f t="shared" si="87"/>
        <v>64.962839141501405</v>
      </c>
      <c r="Q77" s="22">
        <f t="shared" si="54"/>
        <v>584.32575150478135</v>
      </c>
      <c r="R77" s="60">
        <f t="shared" si="55"/>
        <v>861.21380056721409</v>
      </c>
      <c r="S77" s="60">
        <f ca="1">AVERAGE(OFFSET($R$3,0,0,'Données projet'!$E$9+1,1))-AVERAGE(OFFSET($H$3,0,0,'Données projet'!$E$9+1,1))</f>
        <v>503.64055031157477</v>
      </c>
      <c r="T77" s="60">
        <f t="shared" si="88"/>
        <v>266.76572540460842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65.514922471572575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266.7999999999999</v>
      </c>
      <c r="AJ77" s="14">
        <f>AI77*VLOOKUP('Données projet'!$B$10,Paramètres!$A$1:$I$89,3,0)*VLOOKUP('Données projet'!$B$10,Paramètres!$A$1:$I$89,5,0)</f>
        <v>241.40063999999992</v>
      </c>
      <c r="AK77" s="14">
        <f t="shared" si="89"/>
        <v>58.740782866262698</v>
      </c>
      <c r="AL77" s="22">
        <f t="shared" si="58"/>
        <v>522.74631149207403</v>
      </c>
      <c r="AM77" s="60">
        <f t="shared" si="59"/>
        <v>799.63436055450688</v>
      </c>
      <c r="AN77" s="60">
        <f ca="1">AVERAGE(OFFSET($AM$3,0,0,'Données projet'!$E$10+1,1))-AVERAGE(OFFSET($H$3,0,0,'Données projet'!$E$10+1,1))</f>
        <v>456.86058467343139</v>
      </c>
      <c r="AO77" s="60">
        <f t="shared" si="90"/>
        <v>243.88495931574937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65.514922471572575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4.4871794871794863</v>
      </c>
      <c r="BD77" s="13">
        <f>IF('Données projet'!$A$88&gt;35,BD76+BC77-BL76,IF(A77&lt;'Données projet'!$A$88,$BA$205^A77,IF(A77='Données projet'!$A$88,'Données projet'!$B$88,BD76+BC77-BL76)))</f>
        <v>253.20512820512801</v>
      </c>
      <c r="BE77" s="14">
        <f>BD77*VLOOKUP('Données projet'!$B$11,Paramètres!$A$1:$I$89,3,0)*VLOOKUP('Données projet'!$B$11,Paramètres!$A$1:$I$89,5,0)</f>
        <v>264.64999999999981</v>
      </c>
      <c r="BF77" s="14">
        <f t="shared" si="91"/>
        <v>63.712545131099922</v>
      </c>
      <c r="BG77" s="22">
        <f t="shared" si="61"/>
        <v>571.89809943666535</v>
      </c>
      <c r="BH77" s="60">
        <f t="shared" si="62"/>
        <v>848.78614849909809</v>
      </c>
      <c r="BI77" s="60">
        <f ca="1">AVERAGE(OFFSET($BH$3,0,0,'Données projet'!$E$11+1,1))-AVERAGE(OFFSET($H$3,0,0,'Données projet'!$E$11+1,1))</f>
        <v>518.47226207416952</v>
      </c>
      <c r="BJ77" s="60">
        <f t="shared" si="92"/>
        <v>314.6379787306804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65.514922471572575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6.2</v>
      </c>
      <c r="BY77" s="13">
        <f>IF('Données projet'!$A$114&gt;35,BY76+BX77-CG76,IF(A77&lt;'Données projet'!$A$114,$BV$205^A77,IF(A77='Données projet'!$A$114,'Données projet'!$B$114,BY76+BX77-CG76)))</f>
        <v>266.7999999999999</v>
      </c>
      <c r="BZ77" s="14">
        <f>BY77*VLOOKUP('Données projet'!$B$12,Paramètres!$A$1:$I$89,3,0)*VLOOKUP('Données projet'!$B$12,Paramètres!$A$1:$I$89,5,0)</f>
        <v>287.18351999999987</v>
      </c>
      <c r="CA77" s="14">
        <f t="shared" si="93"/>
        <v>68.482847789276349</v>
      </c>
      <c r="CB77" s="22">
        <f t="shared" si="64"/>
        <v>619.45225723298938</v>
      </c>
      <c r="CC77" s="60">
        <f t="shared" si="65"/>
        <v>896.34030629542212</v>
      </c>
      <c r="CD77" s="60">
        <f ca="1">AVERAGE(OFFSET($CC$3,0,0,'Données projet'!$E$12+1,1))-AVERAGE(OFFSET($H$3,0,0,'Données projet'!$E$12+1,1))</f>
        <v>530.32456073177104</v>
      </c>
      <c r="CE77" s="60">
        <f t="shared" si="94"/>
        <v>279.81519428470625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65.514922471572575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3.4000000000000172</v>
      </c>
      <c r="CT77" s="13">
        <f>IF('Données projet'!$A$140&gt;35,CT76+CS77-DB76,IF(A77&lt;'Données projet'!$A$140,$CQ$205^A77,IF(A77='Données projet'!$A$140,'Données projet'!$B$140,CT76+CS77-DB76)))</f>
        <v>266.30000000000024</v>
      </c>
      <c r="CU77" s="18">
        <f>CT77*VLOOKUP('Données projet'!$B$13,Paramètres!$A$1:$I$89,3,0)*VLOOKUP('Données projet'!$B$13,Paramètres!$A$1:$I$89,5,0)</f>
        <v>232.63968000000025</v>
      </c>
      <c r="CV77" s="14">
        <f t="shared" si="95"/>
        <v>56.853062439636545</v>
      </c>
      <c r="CW77" s="22">
        <f t="shared" si="67"/>
        <v>504.19985974903403</v>
      </c>
      <c r="CX77" s="60">
        <f t="shared" si="68"/>
        <v>781.08790881146683</v>
      </c>
      <c r="CY77" s="60">
        <f ca="1">AVERAGE(OFFSET($CX$3,0,0,'Données projet'!$E$13+1,1))-AVERAGE(OFFSET($H$3,0,0,'Données projet'!$E$13+1,1))</f>
        <v>355.03862261578701</v>
      </c>
      <c r="CZ77" s="60">
        <f t="shared" si="96"/>
        <v>382.84441399266029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65.514922471572575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1.1368683772161603E-13</v>
      </c>
      <c r="DP77" s="18">
        <f>DO77*VLOOKUP('Données projet'!$B$14,Paramètres!$A$1:$I$89,3,0)*VLOOKUP('Données projet'!$B$14,Paramètres!$A$1:$I$89,5,0)</f>
        <v>8.8675733422860506E-14</v>
      </c>
      <c r="DQ77" s="14">
        <f t="shared" si="97"/>
        <v>1.3509285393066301E-12</v>
      </c>
      <c r="DR77" s="22">
        <f t="shared" si="70"/>
        <v>2.5073107750038623E-12</v>
      </c>
      <c r="DS77" s="60">
        <f t="shared" si="71"/>
        <v>276.8880490624353</v>
      </c>
      <c r="DT77" s="60">
        <f ca="1">AVERAGE(OFFSET($DS$3,0,0,'Données projet'!$E$14+1,1))-AVERAGE(OFFSET($H$3,0,0,'Données projet'!$E$14+1,1))</f>
        <v>305.68891030516761</v>
      </c>
      <c r="DU77" s="60">
        <f t="shared" si="98"/>
        <v>296.00275062228275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65.514922471572575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6.2</v>
      </c>
      <c r="EJ77" s="13">
        <f>IF('Données projet'!$A$192&gt;35,EJ76+EI77-ER76,IF(A77&lt;'Données projet'!$A$192,$EG$205^A77,IF(A77='Données projet'!$A$192,'Données projet'!$B$192,EJ76+EI77-ER76)))</f>
        <v>266.7999999999999</v>
      </c>
      <c r="EK77" s="18">
        <f>EJ77*VLOOKUP('Données projet'!$B$15,Paramètres!$A$1:$I$89,3,0)*VLOOKUP('Données projet'!$B$15,Paramètres!$A$1:$I$89,5,0)</f>
        <v>258.04895999999991</v>
      </c>
      <c r="EL77" s="14">
        <f t="shared" si="99"/>
        <v>62.306312932555763</v>
      </c>
      <c r="EM77" s="22">
        <f t="shared" si="73"/>
        <v>557.95210035753439</v>
      </c>
      <c r="EN77" s="60">
        <f t="shared" si="74"/>
        <v>834.84014941996725</v>
      </c>
      <c r="EO77" s="60">
        <f ca="1">AVERAGE(OFFSET($EN$3,0,0,'Données projet'!$E$15+1,1))-AVERAGE(OFFSET($H$3,0,0,'Données projet'!$E$15+1,1))</f>
        <v>483.60545605360528</v>
      </c>
      <c r="EP77" s="60">
        <f t="shared" si="100"/>
        <v>256.96685577560345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65.514922471572575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0" t="e">
        <f t="shared" si="77"/>
        <v>#N/A</v>
      </c>
      <c r="FJ77" s="60" t="e">
        <f ca="1">AVERAGE(OFFSET($FI$3,0,0,'Données projet'!$E$16+1,1))-AVERAGE(OFFSET($H$3,0,0,'Données projet'!$E$16+1,1))</f>
        <v>#N/A</v>
      </c>
      <c r="FK77" s="60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65.514922471572575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0" t="e">
        <f t="shared" si="80"/>
        <v>#N/A</v>
      </c>
      <c r="GE77" s="60" t="e">
        <f ca="1">AVERAGE(OFFSET($GD$3,0,0,'Données projet'!$E$17+1,1))-AVERAGE(OFFSET($H$3,0,0,'Données projet'!$E$17+1,1))</f>
        <v>#N/A</v>
      </c>
      <c r="GF77" s="60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65.514922471572575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4">
        <f>'Scénario référence'!$B$16*5+'Scénario référence'!$B$17*0+'Scénario référence'!$B$18*5</f>
        <v>3.2750000000000004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12.008333333333335</v>
      </c>
      <c r="H78" s="67">
        <f t="shared" si="56"/>
        <v>208.63333333333333</v>
      </c>
      <c r="I78" s="7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65.592728539559616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273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272.99999999999989</v>
      </c>
      <c r="O78" s="14">
        <f>N78*VLOOKUP('Données projet'!$B$9,Paramètres!$A$1:$I$89,3,0)*VLOOKUP('Données projet'!$B$9,Paramètres!$A$1:$I$89,5,0)</f>
        <v>276.82199999999989</v>
      </c>
      <c r="P78" s="14">
        <f t="shared" si="87"/>
        <v>66.29496059864374</v>
      </c>
      <c r="Q78" s="22">
        <f t="shared" si="54"/>
        <v>597.59537304263756</v>
      </c>
      <c r="R78" s="60">
        <f t="shared" si="55"/>
        <v>874.76871102102291</v>
      </c>
      <c r="S78" s="60">
        <f ca="1">AVERAGE(OFFSET($R$3,0,0,'Données projet'!$E$9+1,1))-AVERAGE(OFFSET($H$3,0,0,'Données projet'!$E$9+1,1))</f>
        <v>503.64055031157477</v>
      </c>
      <c r="T78" s="60">
        <f t="shared" si="88"/>
        <v>266.76572540460842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42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65.592728539559616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273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272.99999999999989</v>
      </c>
      <c r="AJ78" s="14">
        <f>AI78*VLOOKUP('Données projet'!$B$10,Paramètres!$A$1:$I$89,3,0)*VLOOKUP('Données projet'!$B$10,Paramètres!$A$1:$I$89,5,0)</f>
        <v>247.01039999999989</v>
      </c>
      <c r="AK78" s="14">
        <f t="shared" si="89"/>
        <v>59.945315462121812</v>
      </c>
      <c r="AL78" s="22">
        <f t="shared" si="58"/>
        <v>534.61453776319524</v>
      </c>
      <c r="AM78" s="60">
        <f t="shared" si="59"/>
        <v>811.78787574158059</v>
      </c>
      <c r="AN78" s="60">
        <f ca="1">AVERAGE(OFFSET($AM$3,0,0,'Données projet'!$E$10+1,1))-AVERAGE(OFFSET($H$3,0,0,'Données projet'!$E$10+1,1))</f>
        <v>456.86058467343139</v>
      </c>
      <c r="AO78" s="60">
        <f t="shared" si="90"/>
        <v>243.88495931574937</v>
      </c>
      <c r="AP78" s="16">
        <f>IF(ISNA(VLOOKUP(A78,'Données projet'!$A$61:$I$81,3,0)),0,VLOOKUP(A78,'Données projet'!$A$61:$I$81,3,0))</f>
        <v>6</v>
      </c>
      <c r="AQ78" s="16">
        <f>IF(ISNA(VLOOKUP(A78,'Données projet'!$A$61:$I$81,4,0)),0,VLOOKUP(A78,'Données projet'!$A$61:$I$81,4,0))</f>
        <v>42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65.592728539559616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257.69230769230768</v>
      </c>
      <c r="BB78" s="13">
        <f>VLOOKUP(A78,'Données projet'!$A$87:$I$107,9,0)</f>
        <v>4.4871794871794863</v>
      </c>
      <c r="BC78" s="13">
        <f t="array" ref="BC78">INDEX(BB:BB,MIN(IF(ISNUMBER(BB78:BB274),ROW(BB78:BB274),"")))</f>
        <v>4.4871794871794863</v>
      </c>
      <c r="BD78" s="13">
        <f>IF('Données projet'!$A$88&gt;35,BD77+BC78-BL77,IF(A78&lt;'Données projet'!$A$88,$BA$205^A78,IF(A78='Données projet'!$A$88,'Données projet'!$B$88,BD77+BC78-BL77)))</f>
        <v>257.69230769230751</v>
      </c>
      <c r="BE78" s="14">
        <f>BD78*VLOOKUP('Données projet'!$B$11,Paramètres!$A$1:$I$89,3,0)*VLOOKUP('Données projet'!$B$11,Paramètres!$A$1:$I$89,5,0)</f>
        <v>269.33999999999986</v>
      </c>
      <c r="BF78" s="14">
        <f t="shared" si="91"/>
        <v>64.709180685305114</v>
      </c>
      <c r="BG78" s="22">
        <f t="shared" si="61"/>
        <v>581.80232302690615</v>
      </c>
      <c r="BH78" s="60">
        <f t="shared" si="62"/>
        <v>858.97566100529139</v>
      </c>
      <c r="BI78" s="60">
        <f ca="1">AVERAGE(OFFSET($BH$3,0,0,'Données projet'!$E$11+1,1))-AVERAGE(OFFSET($H$3,0,0,'Données projet'!$E$11+1,1))</f>
        <v>518.47226207416952</v>
      </c>
      <c r="BJ78" s="60">
        <f t="shared" si="92"/>
        <v>314.6379787306804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65.592728539559616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273</v>
      </c>
      <c r="BW78" s="13">
        <f>VLOOKUP(A78,'Données projet'!$A$113:$I$133,9,0)</f>
        <v>6.2</v>
      </c>
      <c r="BX78" s="13">
        <f t="array" ref="BX78">INDEX(BW:BW,MIN(IF(ISNUMBER(BW78:BW274),ROW(BW78:BW274),"")))</f>
        <v>6.2</v>
      </c>
      <c r="BY78" s="13">
        <f>IF('Données projet'!$A$114&gt;35,BY77+BX78-CG77,IF(A78&lt;'Données projet'!$A$114,$BV$205^A78,IF(A78='Données projet'!$A$114,'Données projet'!$B$114,BY77+BX78-CG77)))</f>
        <v>272.99999999999989</v>
      </c>
      <c r="BZ78" s="14">
        <f>BY78*VLOOKUP('Données projet'!$B$12,Paramètres!$A$1:$I$89,3,0)*VLOOKUP('Données projet'!$B$12,Paramètres!$A$1:$I$89,5,0)</f>
        <v>293.85719999999986</v>
      </c>
      <c r="CA78" s="14">
        <f t="shared" si="93"/>
        <v>69.887150190339781</v>
      </c>
      <c r="CB78" s="22">
        <f t="shared" si="64"/>
        <v>633.52140991484157</v>
      </c>
      <c r="CC78" s="60">
        <f t="shared" si="65"/>
        <v>910.6947478932268</v>
      </c>
      <c r="CD78" s="60">
        <f ca="1">AVERAGE(OFFSET($CC$3,0,0,'Données projet'!$E$12+1,1))-AVERAGE(OFFSET($H$3,0,0,'Données projet'!$E$12+1,1))</f>
        <v>530.32456073177104</v>
      </c>
      <c r="CE78" s="60">
        <f t="shared" si="94"/>
        <v>279.81519428470625</v>
      </c>
      <c r="CF78" s="16">
        <f>IF(ISNA(VLOOKUP(A78,'Données projet'!$A$113:$I$133,3,0)),0,VLOOKUP(A78,'Données projet'!$A$113:$I$133,3,0))</f>
        <v>6</v>
      </c>
      <c r="CG78" s="16">
        <f>IF(ISNA(VLOOKUP(A78,'Données projet'!$A$113:$I$133,4,0)),0,VLOOKUP(A78,'Données projet'!$A$113:$I$133,4,0))</f>
        <v>42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65.592728539559616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269.70000000000005</v>
      </c>
      <c r="CR78" s="13">
        <f>VLOOKUP(A78,'Données projet'!$A$139:$I$159,9,0)</f>
        <v>3.4000000000000172</v>
      </c>
      <c r="CS78" s="13">
        <f t="array" ref="CS78">INDEX(CR:CR,MIN(IF(ISNUMBER(CR78:CR274),ROW(CR78:CR274),"")))</f>
        <v>3.4000000000000172</v>
      </c>
      <c r="CT78" s="13">
        <f>IF('Données projet'!$A$140&gt;35,CT77+CS78-DB77,IF(A78&lt;'Données projet'!$A$140,$CQ$205^A78,IF(A78='Données projet'!$A$140,'Données projet'!$B$140,CT77+CS78-DB77)))</f>
        <v>269.70000000000027</v>
      </c>
      <c r="CU78" s="18">
        <f>CT78*VLOOKUP('Données projet'!$B$13,Paramètres!$A$1:$I$89,3,0)*VLOOKUP('Données projet'!$B$13,Paramètres!$A$1:$I$89,5,0)</f>
        <v>235.6099200000003</v>
      </c>
      <c r="CV78" s="14">
        <f t="shared" si="95"/>
        <v>57.493970912943951</v>
      </c>
      <c r="CW78" s="22">
        <f t="shared" si="67"/>
        <v>510.4892766733779</v>
      </c>
      <c r="CX78" s="60">
        <f t="shared" si="68"/>
        <v>787.66261465176319</v>
      </c>
      <c r="CY78" s="60">
        <f ca="1">AVERAGE(OFFSET($CX$3,0,0,'Données projet'!$E$13+1,1))-AVERAGE(OFFSET($H$3,0,0,'Données projet'!$E$13+1,1))</f>
        <v>355.03862261578701</v>
      </c>
      <c r="CZ78" s="60">
        <f t="shared" si="96"/>
        <v>382.84441399266029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65.592728539559616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1.1368683772161603E-13</v>
      </c>
      <c r="DP78" s="18">
        <f>DO78*VLOOKUP('Données projet'!$B$14,Paramètres!$A$1:$I$89,3,0)*VLOOKUP('Données projet'!$B$14,Paramètres!$A$1:$I$89,5,0)</f>
        <v>8.8675733422860506E-14</v>
      </c>
      <c r="DQ78" s="14">
        <f t="shared" si="97"/>
        <v>1.3509285393066301E-12</v>
      </c>
      <c r="DR78" s="22">
        <f t="shared" si="70"/>
        <v>2.5073107750038623E-12</v>
      </c>
      <c r="DS78" s="60">
        <f t="shared" si="71"/>
        <v>277.17333797838779</v>
      </c>
      <c r="DT78" s="60">
        <f ca="1">AVERAGE(OFFSET($DS$3,0,0,'Données projet'!$E$14+1,1))-AVERAGE(OFFSET($H$3,0,0,'Données projet'!$E$14+1,1))</f>
        <v>305.68891030516761</v>
      </c>
      <c r="DU78" s="60">
        <f t="shared" si="98"/>
        <v>296.00275062228275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65.592728539559616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273</v>
      </c>
      <c r="EH78" s="13">
        <f>VLOOKUP(A78,'Données projet'!$A$191:$I$211,9,0)</f>
        <v>6.2</v>
      </c>
      <c r="EI78" s="13">
        <f t="array" ref="EI78">INDEX(EH:EH,MIN(IF(ISNUMBER(EH78:EH274),ROW(EH78:EH274),"")))</f>
        <v>6.2</v>
      </c>
      <c r="EJ78" s="13">
        <f>IF('Données projet'!$A$192&gt;35,EJ77+EI78-ER77,IF(A78&lt;'Données projet'!$A$192,$EG$205^A78,IF(A78='Données projet'!$A$192,'Données projet'!$B$192,EJ77+EI78-ER77)))</f>
        <v>272.99999999999989</v>
      </c>
      <c r="EK78" s="18">
        <f>EJ78*VLOOKUP('Données projet'!$B$15,Paramètres!$A$1:$I$89,3,0)*VLOOKUP('Données projet'!$B$15,Paramètres!$A$1:$I$89,5,0)</f>
        <v>264.04559999999992</v>
      </c>
      <c r="EL78" s="14">
        <f t="shared" si="99"/>
        <v>63.58395992997368</v>
      </c>
      <c r="EM78" s="22">
        <f t="shared" si="73"/>
        <v>570.62148354470401</v>
      </c>
      <c r="EN78" s="60">
        <f t="shared" si="74"/>
        <v>847.79482152308924</v>
      </c>
      <c r="EO78" s="60">
        <f ca="1">AVERAGE(OFFSET($EN$3,0,0,'Données projet'!$E$15+1,1))-AVERAGE(OFFSET($H$3,0,0,'Données projet'!$E$15+1,1))</f>
        <v>483.60545605360528</v>
      </c>
      <c r="EP78" s="60">
        <f t="shared" si="100"/>
        <v>256.96685577560345</v>
      </c>
      <c r="EQ78" s="16">
        <f>IF(ISNA(VLOOKUP(A78,'Données projet'!$A$191:$I$211,3,0)),0,VLOOKUP(A78,'Données projet'!$A$191:$I$211,3,0))</f>
        <v>6</v>
      </c>
      <c r="ER78" s="16">
        <f>IF(ISNA(VLOOKUP(A78,'Données projet'!$A$191:$I$211,4,0)),0,VLOOKUP(A78,'Données projet'!$A$191:$I$211,4,0))</f>
        <v>42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65.592728539559616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0" t="e">
        <f t="shared" si="77"/>
        <v>#N/A</v>
      </c>
      <c r="FJ78" s="60" t="e">
        <f ca="1">AVERAGE(OFFSET($FI$3,0,0,'Données projet'!$E$16+1,1))-AVERAGE(OFFSET($H$3,0,0,'Données projet'!$E$16+1,1))</f>
        <v>#N/A</v>
      </c>
      <c r="FK78" s="60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65.592728539559616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0" t="e">
        <f t="shared" si="80"/>
        <v>#N/A</v>
      </c>
      <c r="GE78" s="60" t="e">
        <f ca="1">AVERAGE(OFFSET($GD$3,0,0,'Données projet'!$E$17+1,1))-AVERAGE(OFFSET($H$3,0,0,'Données projet'!$E$17+1,1))</f>
        <v>#N/A</v>
      </c>
      <c r="GF78" s="60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65.592728539559616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4">
        <f>'Scénario référence'!$B$16*5+'Scénario référence'!$B$17*0+'Scénario référence'!$B$18*5</f>
        <v>3.2750000000000004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12.008333333333335</v>
      </c>
      <c r="H79" s="67">
        <f t="shared" si="56"/>
        <v>208.63333333333333</v>
      </c>
      <c r="I79" s="7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65.669184846215387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236.99999999999989</v>
      </c>
      <c r="O79" s="14">
        <f>N79*VLOOKUP('Données projet'!$B$9,Paramètres!$A$1:$I$89,3,0)*VLOOKUP('Données projet'!$B$9,Paramètres!$A$1:$I$89,5,0)</f>
        <v>240.3179999999999</v>
      </c>
      <c r="P79" s="14">
        <f t="shared" si="87"/>
        <v>58.507944457766484</v>
      </c>
      <c r="Q79" s="22">
        <f t="shared" si="54"/>
        <v>520.45518659727634</v>
      </c>
      <c r="R79" s="60">
        <f t="shared" si="55"/>
        <v>797.90886436673281</v>
      </c>
      <c r="S79" s="60">
        <f ca="1">AVERAGE(OFFSET($R$3,0,0,'Données projet'!$E$9+1,1))-AVERAGE(OFFSET($H$3,0,0,'Données projet'!$E$9+1,1))</f>
        <v>503.64055031157477</v>
      </c>
      <c r="T79" s="60">
        <f t="shared" si="88"/>
        <v>266.76572540460842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65.669184846215387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236.99999999999989</v>
      </c>
      <c r="AJ79" s="14">
        <f>AI79*VLOOKUP('Données projet'!$B$10,Paramètres!$A$1:$I$89,3,0)*VLOOKUP('Données projet'!$B$10,Paramètres!$A$1:$I$89,5,0)</f>
        <v>214.43759999999989</v>
      </c>
      <c r="AK79" s="14">
        <f t="shared" si="89"/>
        <v>52.904129603372375</v>
      </c>
      <c r="AL79" s="22">
        <f t="shared" si="58"/>
        <v>465.62017905920658</v>
      </c>
      <c r="AM79" s="60">
        <f t="shared" si="59"/>
        <v>743.073856828663</v>
      </c>
      <c r="AN79" s="60">
        <f ca="1">AVERAGE(OFFSET($AM$3,0,0,'Données projet'!$E$10+1,1))-AVERAGE(OFFSET($H$3,0,0,'Données projet'!$E$10+1,1))</f>
        <v>456.86058467343139</v>
      </c>
      <c r="AO79" s="60">
        <f t="shared" si="90"/>
        <v>243.88495931574937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65.669184846215387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4.3589743589743648</v>
      </c>
      <c r="BD79" s="13">
        <f>IF('Données projet'!$A$88&gt;35,BD78+BC79-BL78,IF(A79&lt;'Données projet'!$A$88,$BA$205^A79,IF(A79='Données projet'!$A$88,'Données projet'!$B$88,BD78+BC79-BL78)))</f>
        <v>262.05128205128187</v>
      </c>
      <c r="BE79" s="14">
        <f>BD79*VLOOKUP('Données projet'!$B$11,Paramètres!$A$1:$I$89,3,0)*VLOOKUP('Données projet'!$B$11,Paramètres!$A$1:$I$89,5,0)</f>
        <v>273.89599999999984</v>
      </c>
      <c r="BF79" s="14">
        <f t="shared" si="91"/>
        <v>65.675408141572404</v>
      </c>
      <c r="BG79" s="22">
        <f t="shared" si="61"/>
        <v>591.42020251323834</v>
      </c>
      <c r="BH79" s="60">
        <f t="shared" si="62"/>
        <v>868.8738802826947</v>
      </c>
      <c r="BI79" s="60">
        <f ca="1">AVERAGE(OFFSET($BH$3,0,0,'Données projet'!$E$11+1,1))-AVERAGE(OFFSET($H$3,0,0,'Données projet'!$E$11+1,1))</f>
        <v>518.47226207416952</v>
      </c>
      <c r="BJ79" s="60">
        <f t="shared" si="92"/>
        <v>314.6379787306804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65.669184846215387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6</v>
      </c>
      <c r="BY79" s="13">
        <f>IF('Données projet'!$A$114&gt;35,BY78+BX79-CG78,IF(A79&lt;'Données projet'!$A$114,$BV$205^A79,IF(A79='Données projet'!$A$114,'Données projet'!$B$114,BY78+BX79-CG78)))</f>
        <v>236.99999999999989</v>
      </c>
      <c r="BZ79" s="14">
        <f>BY79*VLOOKUP('Données projet'!$B$12,Paramètres!$A$1:$I$89,3,0)*VLOOKUP('Données projet'!$B$12,Paramètres!$A$1:$I$89,5,0)</f>
        <v>255.10679999999988</v>
      </c>
      <c r="CA79" s="14">
        <f t="shared" si="93"/>
        <v>61.678194914435764</v>
      </c>
      <c r="CB79" s="22">
        <f t="shared" si="64"/>
        <v>551.733866142642</v>
      </c>
      <c r="CC79" s="60">
        <f t="shared" si="65"/>
        <v>829.18754391209836</v>
      </c>
      <c r="CD79" s="60">
        <f ca="1">AVERAGE(OFFSET($CC$3,0,0,'Données projet'!$E$12+1,1))-AVERAGE(OFFSET($H$3,0,0,'Données projet'!$E$12+1,1))</f>
        <v>530.32456073177104</v>
      </c>
      <c r="CE79" s="60">
        <f t="shared" si="94"/>
        <v>279.81519428470625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65.669184846215387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2.9799999999999955</v>
      </c>
      <c r="CT79" s="13">
        <f>IF('Données projet'!$A$140&gt;35,CT78+CS79-DB78,IF(A79&lt;'Données projet'!$A$140,$CQ$205^A79,IF(A79='Données projet'!$A$140,'Données projet'!$B$140,CT78+CS79-DB78)))</f>
        <v>272.68000000000029</v>
      </c>
      <c r="CU79" s="18">
        <f>CT79*VLOOKUP('Données projet'!$B$13,Paramètres!$A$1:$I$89,3,0)*VLOOKUP('Données projet'!$B$13,Paramètres!$A$1:$I$89,5,0)</f>
        <v>238.21324800000031</v>
      </c>
      <c r="CV79" s="14">
        <f t="shared" si="95"/>
        <v>58.05493505418417</v>
      </c>
      <c r="CW79" s="22">
        <f t="shared" si="67"/>
        <v>516.00041881937125</v>
      </c>
      <c r="CX79" s="60">
        <f t="shared" si="68"/>
        <v>793.45409658882772</v>
      </c>
      <c r="CY79" s="60">
        <f ca="1">AVERAGE(OFFSET($CX$3,0,0,'Données projet'!$E$13+1,1))-AVERAGE(OFFSET($H$3,0,0,'Données projet'!$E$13+1,1))</f>
        <v>355.03862261578701</v>
      </c>
      <c r="CZ79" s="60">
        <f t="shared" si="96"/>
        <v>382.84441399266029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65.669184846215387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1.1368683772161603E-13</v>
      </c>
      <c r="DP79" s="18">
        <f>DO79*VLOOKUP('Données projet'!$B$14,Paramètres!$A$1:$I$89,3,0)*VLOOKUP('Données projet'!$B$14,Paramètres!$A$1:$I$89,5,0)</f>
        <v>8.8675733422860506E-14</v>
      </c>
      <c r="DQ79" s="14">
        <f t="shared" si="97"/>
        <v>1.3509285393066301E-12</v>
      </c>
      <c r="DR79" s="22">
        <f t="shared" si="70"/>
        <v>2.5073107750038623E-12</v>
      </c>
      <c r="DS79" s="60">
        <f t="shared" si="71"/>
        <v>277.45367776945892</v>
      </c>
      <c r="DT79" s="60">
        <f ca="1">AVERAGE(OFFSET($DS$3,0,0,'Données projet'!$E$14+1,1))-AVERAGE(OFFSET($H$3,0,0,'Données projet'!$E$14+1,1))</f>
        <v>305.68891030516761</v>
      </c>
      <c r="DU79" s="60">
        <f t="shared" si="98"/>
        <v>296.00275062228275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65.669184846215387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6</v>
      </c>
      <c r="EJ79" s="13">
        <f>IF('Données projet'!$A$192&gt;35,EJ78+EI79-ER78,IF(A79&lt;'Données projet'!$A$192,$EG$205^A79,IF(A79='Données projet'!$A$192,'Données projet'!$B$192,EJ78+EI79-ER78)))</f>
        <v>236.99999999999989</v>
      </c>
      <c r="EK79" s="18">
        <f>EJ79*VLOOKUP('Données projet'!$B$15,Paramètres!$A$1:$I$89,3,0)*VLOOKUP('Données projet'!$B$15,Paramètres!$A$1:$I$89,5,0)</f>
        <v>229.22639999999993</v>
      </c>
      <c r="EL79" s="14">
        <f t="shared" si="99"/>
        <v>56.115378339388542</v>
      </c>
      <c r="EM79" s="22">
        <f t="shared" si="73"/>
        <v>496.97026394110162</v>
      </c>
      <c r="EN79" s="60">
        <f t="shared" si="74"/>
        <v>774.42394171055798</v>
      </c>
      <c r="EO79" s="60">
        <f ca="1">AVERAGE(OFFSET($EN$3,0,0,'Données projet'!$E$15+1,1))-AVERAGE(OFFSET($H$3,0,0,'Données projet'!$E$15+1,1))</f>
        <v>483.60545605360528</v>
      </c>
      <c r="EP79" s="60">
        <f t="shared" si="100"/>
        <v>256.96685577560345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65.669184846215387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0" t="e">
        <f t="shared" si="77"/>
        <v>#N/A</v>
      </c>
      <c r="FJ79" s="60" t="e">
        <f ca="1">AVERAGE(OFFSET($FI$3,0,0,'Données projet'!$E$16+1,1))-AVERAGE(OFFSET($H$3,0,0,'Données projet'!$E$16+1,1))</f>
        <v>#N/A</v>
      </c>
      <c r="FK79" s="60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65.669184846215387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0" t="e">
        <f t="shared" si="80"/>
        <v>#N/A</v>
      </c>
      <c r="GE79" s="60" t="e">
        <f ca="1">AVERAGE(OFFSET($GD$3,0,0,'Données projet'!$E$17+1,1))-AVERAGE(OFFSET($H$3,0,0,'Données projet'!$E$17+1,1))</f>
        <v>#N/A</v>
      </c>
      <c r="GF79" s="60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65.669184846215387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4">
        <f>'Scénario référence'!$B$16*5+'Scénario référence'!$B$17*0+'Scénario référence'!$B$18*5</f>
        <v>3.2750000000000004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12.008333333333335</v>
      </c>
      <c r="H80" s="67">
        <f t="shared" si="56"/>
        <v>208.63333333333333</v>
      </c>
      <c r="I80" s="7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65.744314806881363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242.99999999999989</v>
      </c>
      <c r="O80" s="14">
        <f>N80*VLOOKUP('Données projet'!$B$9,Paramètres!$A$1:$I$89,3,0)*VLOOKUP('Données projet'!$B$9,Paramètres!$A$1:$I$89,5,0)</f>
        <v>246.4019999999999</v>
      </c>
      <c r="P80" s="14">
        <f t="shared" si="87"/>
        <v>59.814834475385474</v>
      </c>
      <c r="Q80" s="22">
        <f t="shared" si="54"/>
        <v>533.32765337796286</v>
      </c>
      <c r="R80" s="60">
        <f t="shared" si="55"/>
        <v>811.0568076698612</v>
      </c>
      <c r="S80" s="60">
        <f ca="1">AVERAGE(OFFSET($R$3,0,0,'Données projet'!$E$9+1,1))-AVERAGE(OFFSET($H$3,0,0,'Données projet'!$E$9+1,1))</f>
        <v>503.64055031157477</v>
      </c>
      <c r="T80" s="60">
        <f t="shared" si="88"/>
        <v>266.76572540460842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65.744314806881363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242.99999999999989</v>
      </c>
      <c r="AJ80" s="14">
        <f>AI80*VLOOKUP('Données projet'!$B$10,Paramètres!$A$1:$I$89,3,0)*VLOOKUP('Données projet'!$B$10,Paramètres!$A$1:$I$89,5,0)</f>
        <v>219.86639999999989</v>
      </c>
      <c r="AK80" s="14">
        <f t="shared" si="89"/>
        <v>54.085847394182416</v>
      </c>
      <c r="AL80" s="22">
        <f t="shared" si="58"/>
        <v>477.13349754486745</v>
      </c>
      <c r="AM80" s="60">
        <f t="shared" si="59"/>
        <v>754.86265183676574</v>
      </c>
      <c r="AN80" s="60">
        <f ca="1">AVERAGE(OFFSET($AM$3,0,0,'Données projet'!$E$10+1,1))-AVERAGE(OFFSET($H$3,0,0,'Données projet'!$E$10+1,1))</f>
        <v>456.86058467343139</v>
      </c>
      <c r="AO80" s="60">
        <f t="shared" si="90"/>
        <v>243.88495931574937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65.744314806881363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4.3589743589743648</v>
      </c>
      <c r="BD80" s="13">
        <f>IF('Données projet'!$A$88&gt;35,BD79+BC80-BL79,IF(A80&lt;'Données projet'!$A$88,$BA$205^A80,IF(A80='Données projet'!$A$88,'Données projet'!$B$88,BD79+BC80-BL79)))</f>
        <v>266.41025641025624</v>
      </c>
      <c r="BE80" s="14">
        <f>BD80*VLOOKUP('Données projet'!$B$11,Paramètres!$A$1:$I$89,3,0)*VLOOKUP('Données projet'!$B$11,Paramètres!$A$1:$I$89,5,0)</f>
        <v>278.45199999999988</v>
      </c>
      <c r="BF80" s="14">
        <f t="shared" si="91"/>
        <v>66.639766503676199</v>
      </c>
      <c r="BG80" s="22">
        <f t="shared" si="61"/>
        <v>601.03482666056914</v>
      </c>
      <c r="BH80" s="60">
        <f t="shared" si="62"/>
        <v>878.76398095246748</v>
      </c>
      <c r="BI80" s="60">
        <f ca="1">AVERAGE(OFFSET($BH$3,0,0,'Données projet'!$E$11+1,1))-AVERAGE(OFFSET($H$3,0,0,'Données projet'!$E$11+1,1))</f>
        <v>518.47226207416952</v>
      </c>
      <c r="BJ80" s="60">
        <f t="shared" si="92"/>
        <v>314.6379787306804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65.744314806881363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6</v>
      </c>
      <c r="BY80" s="13">
        <f>IF('Données projet'!$A$114&gt;35,BY79+BX80-CG79,IF(A80&lt;'Données projet'!$A$114,$BV$205^A80,IF(A80='Données projet'!$A$114,'Données projet'!$B$114,BY79+BX80-CG79)))</f>
        <v>242.99999999999989</v>
      </c>
      <c r="BZ80" s="14">
        <f>BY80*VLOOKUP('Données projet'!$B$12,Paramètres!$A$1:$I$89,3,0)*VLOOKUP('Données projet'!$B$12,Paramètres!$A$1:$I$89,5,0)</f>
        <v>261.56519999999983</v>
      </c>
      <c r="CA80" s="14">
        <f t="shared" si="93"/>
        <v>63.055898711509279</v>
      </c>
      <c r="CB80" s="22">
        <f t="shared" si="64"/>
        <v>565.38174692254495</v>
      </c>
      <c r="CC80" s="60">
        <f t="shared" si="65"/>
        <v>843.11090121444329</v>
      </c>
      <c r="CD80" s="60">
        <f ca="1">AVERAGE(OFFSET($CC$3,0,0,'Données projet'!$E$12+1,1))-AVERAGE(OFFSET($H$3,0,0,'Données projet'!$E$12+1,1))</f>
        <v>530.32456073177104</v>
      </c>
      <c r="CE80" s="60">
        <f t="shared" si="94"/>
        <v>279.81519428470625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65.744314806881363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2.9799999999999955</v>
      </c>
      <c r="CT80" s="13">
        <f>IF('Données projet'!$A$140&gt;35,CT79+CS80-DB79,IF(A80&lt;'Données projet'!$A$140,$CQ$205^A80,IF(A80='Données projet'!$A$140,'Données projet'!$B$140,CT79+CS80-DB79)))</f>
        <v>275.66000000000031</v>
      </c>
      <c r="CU80" s="18">
        <f>CT80*VLOOKUP('Données projet'!$B$13,Paramètres!$A$1:$I$89,3,0)*VLOOKUP('Données projet'!$B$13,Paramètres!$A$1:$I$89,5,0)</f>
        <v>240.81657600000031</v>
      </c>
      <c r="CV80" s="14">
        <f t="shared" si="95"/>
        <v>58.61518604030887</v>
      </c>
      <c r="CW80" s="22">
        <f t="shared" si="67"/>
        <v>521.51031888687191</v>
      </c>
      <c r="CX80" s="60">
        <f t="shared" si="68"/>
        <v>799.23947317877025</v>
      </c>
      <c r="CY80" s="60">
        <f ca="1">AVERAGE(OFFSET($CX$3,0,0,'Données projet'!$E$13+1,1))-AVERAGE(OFFSET($H$3,0,0,'Données projet'!$E$13+1,1))</f>
        <v>355.03862261578701</v>
      </c>
      <c r="CZ80" s="60">
        <f t="shared" si="96"/>
        <v>382.84441399266029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65.744314806881363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1.1368683772161603E-13</v>
      </c>
      <c r="DP80" s="18">
        <f>DO80*VLOOKUP('Données projet'!$B$14,Paramètres!$A$1:$I$89,3,0)*VLOOKUP('Données projet'!$B$14,Paramètres!$A$1:$I$89,5,0)</f>
        <v>8.8675733422860506E-14</v>
      </c>
      <c r="DQ80" s="14">
        <f t="shared" si="97"/>
        <v>1.3509285393066301E-12</v>
      </c>
      <c r="DR80" s="22">
        <f t="shared" si="70"/>
        <v>2.5073107750038623E-12</v>
      </c>
      <c r="DS80" s="60">
        <f t="shared" si="71"/>
        <v>277.72915429190084</v>
      </c>
      <c r="DT80" s="60">
        <f ca="1">AVERAGE(OFFSET($DS$3,0,0,'Données projet'!$E$14+1,1))-AVERAGE(OFFSET($H$3,0,0,'Données projet'!$E$14+1,1))</f>
        <v>305.68891030516761</v>
      </c>
      <c r="DU80" s="60">
        <f t="shared" si="98"/>
        <v>296.00275062228275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65.744314806881363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6</v>
      </c>
      <c r="EJ80" s="13">
        <f>IF('Données projet'!$A$192&gt;35,EJ79+EI80-ER79,IF(A80&lt;'Données projet'!$A$192,$EG$205^A80,IF(A80='Données projet'!$A$192,'Données projet'!$B$192,EJ79+EI80-ER79)))</f>
        <v>242.99999999999989</v>
      </c>
      <c r="EK80" s="18">
        <f>EJ80*VLOOKUP('Données projet'!$B$15,Paramètres!$A$1:$I$89,3,0)*VLOOKUP('Données projet'!$B$15,Paramètres!$A$1:$I$89,5,0)</f>
        <v>235.0295999999999</v>
      </c>
      <c r="EL80" s="14">
        <f t="shared" si="99"/>
        <v>57.368825686861157</v>
      </c>
      <c r="EM80" s="22">
        <f t="shared" si="73"/>
        <v>509.26059140461626</v>
      </c>
      <c r="EN80" s="60">
        <f t="shared" si="74"/>
        <v>786.98974569651455</v>
      </c>
      <c r="EO80" s="60">
        <f ca="1">AVERAGE(OFFSET($EN$3,0,0,'Données projet'!$E$15+1,1))-AVERAGE(OFFSET($H$3,0,0,'Données projet'!$E$15+1,1))</f>
        <v>483.60545605360528</v>
      </c>
      <c r="EP80" s="60">
        <f t="shared" si="100"/>
        <v>256.96685577560345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65.744314806881363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0" t="e">
        <f t="shared" si="77"/>
        <v>#N/A</v>
      </c>
      <c r="FJ80" s="60" t="e">
        <f ca="1">AVERAGE(OFFSET($FI$3,0,0,'Données projet'!$E$16+1,1))-AVERAGE(OFFSET($H$3,0,0,'Données projet'!$E$16+1,1))</f>
        <v>#N/A</v>
      </c>
      <c r="FK80" s="60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65.744314806881363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0" t="e">
        <f t="shared" si="80"/>
        <v>#N/A</v>
      </c>
      <c r="GE80" s="60" t="e">
        <f ca="1">AVERAGE(OFFSET($GD$3,0,0,'Données projet'!$E$17+1,1))-AVERAGE(OFFSET($H$3,0,0,'Données projet'!$E$17+1,1))</f>
        <v>#N/A</v>
      </c>
      <c r="GF80" s="60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65.744314806881363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4">
        <f>'Scénario référence'!$B$16*5+'Scénario référence'!$B$17*0+'Scénario référence'!$B$18*5</f>
        <v>3.2750000000000004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12.008333333333335</v>
      </c>
      <c r="H81" s="67">
        <f t="shared" si="56"/>
        <v>208.63333333333333</v>
      </c>
      <c r="I81" s="7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65.818141430695221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248.99999999999989</v>
      </c>
      <c r="O81" s="14">
        <f>N81*VLOOKUP('Données projet'!$B$9,Paramètres!$A$1:$I$89,3,0)*VLOOKUP('Données projet'!$B$9,Paramètres!$A$1:$I$89,5,0)</f>
        <v>252.4859999999999</v>
      </c>
      <c r="P81" s="14">
        <f t="shared" si="87"/>
        <v>61.117973383957384</v>
      </c>
      <c r="Q81" s="22">
        <f t="shared" si="54"/>
        <v>546.193586977059</v>
      </c>
      <c r="R81" s="60">
        <f t="shared" si="55"/>
        <v>824.19343888960816</v>
      </c>
      <c r="S81" s="60">
        <f ca="1">AVERAGE(OFFSET($R$3,0,0,'Données projet'!$E$9+1,1))-AVERAGE(OFFSET($H$3,0,0,'Données projet'!$E$9+1,1))</f>
        <v>503.64055031157477</v>
      </c>
      <c r="T81" s="60">
        <f t="shared" si="88"/>
        <v>266.76572540460842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65.818141430695221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248.99999999999989</v>
      </c>
      <c r="AJ81" s="14">
        <f>AI81*VLOOKUP('Données projet'!$B$10,Paramètres!$A$1:$I$89,3,0)*VLOOKUP('Données projet'!$B$10,Paramètres!$A$1:$I$89,5,0)</f>
        <v>225.29519999999991</v>
      </c>
      <c r="AK81" s="14">
        <f t="shared" si="89"/>
        <v>55.264173352293078</v>
      </c>
      <c r="AL81" s="22">
        <f t="shared" si="58"/>
        <v>488.64090858857691</v>
      </c>
      <c r="AM81" s="60">
        <f t="shared" si="59"/>
        <v>766.64076050112601</v>
      </c>
      <c r="AN81" s="60">
        <f ca="1">AVERAGE(OFFSET($AM$3,0,0,'Données projet'!$E$10+1,1))-AVERAGE(OFFSET($H$3,0,0,'Données projet'!$E$10+1,1))</f>
        <v>456.86058467343139</v>
      </c>
      <c r="AO81" s="60">
        <f t="shared" si="90"/>
        <v>243.88495931574937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65.818141430695221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4.3589743589743648</v>
      </c>
      <c r="BD81" s="13">
        <f>IF('Données projet'!$A$88&gt;35,BD80+BC81-BL80,IF(A81&lt;'Données projet'!$A$88,$BA$205^A81,IF(A81='Données projet'!$A$88,'Données projet'!$B$88,BD80+BC81-BL80)))</f>
        <v>270.7692307692306</v>
      </c>
      <c r="BE81" s="14">
        <f>BD81*VLOOKUP('Données projet'!$B$11,Paramètres!$A$1:$I$89,3,0)*VLOOKUP('Données projet'!$B$11,Paramètres!$A$1:$I$89,5,0)</f>
        <v>283.00799999999987</v>
      </c>
      <c r="BF81" s="14">
        <f t="shared" si="91"/>
        <v>67.602289883832427</v>
      </c>
      <c r="BG81" s="22">
        <f t="shared" si="61"/>
        <v>610.64625488100796</v>
      </c>
      <c r="BH81" s="60">
        <f t="shared" si="62"/>
        <v>888.64610679355701</v>
      </c>
      <c r="BI81" s="60">
        <f ca="1">AVERAGE(OFFSET($BH$3,0,0,'Données projet'!$E$11+1,1))-AVERAGE(OFFSET($H$3,0,0,'Données projet'!$E$11+1,1))</f>
        <v>518.47226207416952</v>
      </c>
      <c r="BJ81" s="60">
        <f t="shared" si="92"/>
        <v>314.6379787306804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65.818141430695221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6</v>
      </c>
      <c r="BY81" s="13">
        <f>IF('Données projet'!$A$114&gt;35,BY80+BX81-CG80,IF(A81&lt;'Données projet'!$A$114,$BV$205^A81,IF(A81='Données projet'!$A$114,'Données projet'!$B$114,BY80+BX81-CG80)))</f>
        <v>248.99999999999989</v>
      </c>
      <c r="BZ81" s="14">
        <f>BY81*VLOOKUP('Données projet'!$B$12,Paramètres!$A$1:$I$89,3,0)*VLOOKUP('Données projet'!$B$12,Paramètres!$A$1:$I$89,5,0)</f>
        <v>268.02359999999987</v>
      </c>
      <c r="CA81" s="14">
        <f t="shared" si="93"/>
        <v>64.429648145853221</v>
      </c>
      <c r="CB81" s="22">
        <f t="shared" si="64"/>
        <v>579.02274052069401</v>
      </c>
      <c r="CC81" s="60">
        <f t="shared" si="65"/>
        <v>857.02259243324306</v>
      </c>
      <c r="CD81" s="60">
        <f ca="1">AVERAGE(OFFSET($CC$3,0,0,'Données projet'!$E$12+1,1))-AVERAGE(OFFSET($H$3,0,0,'Données projet'!$E$12+1,1))</f>
        <v>530.32456073177104</v>
      </c>
      <c r="CE81" s="60">
        <f t="shared" si="94"/>
        <v>279.81519428470625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65.818141430695221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2.9799999999999955</v>
      </c>
      <c r="CT81" s="13">
        <f>IF('Données projet'!$A$140&gt;35,CT80+CS81-DB80,IF(A81&lt;'Données projet'!$A$140,$CQ$205^A81,IF(A81='Données projet'!$A$140,'Données projet'!$B$140,CT80+CS81-DB80)))</f>
        <v>278.64000000000033</v>
      </c>
      <c r="CU81" s="18">
        <f>CT81*VLOOKUP('Données projet'!$B$13,Paramètres!$A$1:$I$89,3,0)*VLOOKUP('Données projet'!$B$13,Paramètres!$A$1:$I$89,5,0)</f>
        <v>243.41990400000032</v>
      </c>
      <c r="CV81" s="14">
        <f t="shared" si="95"/>
        <v>59.174732473133545</v>
      </c>
      <c r="CW81" s="22">
        <f t="shared" si="67"/>
        <v>527.01899185737477</v>
      </c>
      <c r="CX81" s="60">
        <f t="shared" si="68"/>
        <v>805.01884376992393</v>
      </c>
      <c r="CY81" s="60">
        <f ca="1">AVERAGE(OFFSET($CX$3,0,0,'Données projet'!$E$13+1,1))-AVERAGE(OFFSET($H$3,0,0,'Données projet'!$E$13+1,1))</f>
        <v>355.03862261578701</v>
      </c>
      <c r="CZ81" s="60">
        <f t="shared" si="96"/>
        <v>382.84441399266029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65.818141430695221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1.1368683772161603E-13</v>
      </c>
      <c r="DP81" s="18">
        <f>DO81*VLOOKUP('Données projet'!$B$14,Paramètres!$A$1:$I$89,3,0)*VLOOKUP('Données projet'!$B$14,Paramètres!$A$1:$I$89,5,0)</f>
        <v>8.8675733422860506E-14</v>
      </c>
      <c r="DQ81" s="14">
        <f t="shared" si="97"/>
        <v>1.3509285393066301E-12</v>
      </c>
      <c r="DR81" s="22">
        <f t="shared" si="70"/>
        <v>2.5073107750038623E-12</v>
      </c>
      <c r="DS81" s="60">
        <f t="shared" si="71"/>
        <v>277.99985191255161</v>
      </c>
      <c r="DT81" s="60">
        <f ca="1">AVERAGE(OFFSET($DS$3,0,0,'Données projet'!$E$14+1,1))-AVERAGE(OFFSET($H$3,0,0,'Données projet'!$E$14+1,1))</f>
        <v>305.68891030516761</v>
      </c>
      <c r="DU81" s="60">
        <f t="shared" si="98"/>
        <v>296.00275062228275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65.818141430695221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6</v>
      </c>
      <c r="EJ81" s="13">
        <f>IF('Données projet'!$A$192&gt;35,EJ80+EI81-ER80,IF(A81&lt;'Données projet'!$A$192,$EG$205^A81,IF(A81='Données projet'!$A$192,'Données projet'!$B$192,EJ80+EI81-ER80)))</f>
        <v>248.99999999999989</v>
      </c>
      <c r="EK81" s="18">
        <f>EJ81*VLOOKUP('Données projet'!$B$15,Paramètres!$A$1:$I$89,3,0)*VLOOKUP('Données projet'!$B$15,Paramètres!$A$1:$I$89,5,0)</f>
        <v>240.83279999999991</v>
      </c>
      <c r="EL81" s="14">
        <f t="shared" si="99"/>
        <v>58.618675319436669</v>
      </c>
      <c r="EM81" s="22">
        <f t="shared" si="73"/>
        <v>521.5446528480187</v>
      </c>
      <c r="EN81" s="60">
        <f t="shared" si="74"/>
        <v>799.54450476056786</v>
      </c>
      <c r="EO81" s="60">
        <f ca="1">AVERAGE(OFFSET($EN$3,0,0,'Données projet'!$E$15+1,1))-AVERAGE(OFFSET($H$3,0,0,'Données projet'!$E$15+1,1))</f>
        <v>483.60545605360528</v>
      </c>
      <c r="EP81" s="60">
        <f t="shared" si="100"/>
        <v>256.96685577560345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65.818141430695221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0" t="e">
        <f t="shared" si="77"/>
        <v>#N/A</v>
      </c>
      <c r="FJ81" s="60" t="e">
        <f ca="1">AVERAGE(OFFSET($FI$3,0,0,'Données projet'!$E$16+1,1))-AVERAGE(OFFSET($H$3,0,0,'Données projet'!$E$16+1,1))</f>
        <v>#N/A</v>
      </c>
      <c r="FK81" s="60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65.818141430695221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0" t="e">
        <f t="shared" si="80"/>
        <v>#N/A</v>
      </c>
      <c r="GE81" s="60" t="e">
        <f ca="1">AVERAGE(OFFSET($GD$3,0,0,'Données projet'!$E$17+1,1))-AVERAGE(OFFSET($H$3,0,0,'Données projet'!$E$17+1,1))</f>
        <v>#N/A</v>
      </c>
      <c r="GF81" s="60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65.818141430695221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4">
        <f>'Scénario référence'!$B$16*5+'Scénario référence'!$B$17*0+'Scénario référence'!$B$18*5</f>
        <v>3.2750000000000004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12.008333333333335</v>
      </c>
      <c r="H82" s="67">
        <f t="shared" si="56"/>
        <v>208.63333333333333</v>
      </c>
      <c r="I82" s="7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65.890687327637522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254.99999999999989</v>
      </c>
      <c r="O82" s="14">
        <f>N82*VLOOKUP('Données projet'!$B$9,Paramètres!$A$1:$I$89,3,0)*VLOOKUP('Données projet'!$B$9,Paramètres!$A$1:$I$89,5,0)</f>
        <v>258.56999999999994</v>
      </c>
      <c r="P82" s="14">
        <f t="shared" si="87"/>
        <v>62.417461971173843</v>
      </c>
      <c r="Q82" s="22">
        <f t="shared" si="54"/>
        <v>559.05316293312762</v>
      </c>
      <c r="R82" s="60">
        <f t="shared" si="55"/>
        <v>837.31901646779852</v>
      </c>
      <c r="S82" s="60">
        <f ca="1">AVERAGE(OFFSET($R$3,0,0,'Données projet'!$E$9+1,1))-AVERAGE(OFFSET($H$3,0,0,'Données projet'!$E$9+1,1))</f>
        <v>503.64055031157477</v>
      </c>
      <c r="T82" s="60">
        <f t="shared" si="88"/>
        <v>266.76572540460842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65.890687327637522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254.99999999999989</v>
      </c>
      <c r="AJ82" s="14">
        <f>AI82*VLOOKUP('Données projet'!$B$10,Paramètres!$A$1:$I$89,3,0)*VLOOKUP('Données projet'!$B$10,Paramètres!$A$1:$I$89,5,0)</f>
        <v>230.72399999999988</v>
      </c>
      <c r="AK82" s="14">
        <f t="shared" si="89"/>
        <v>56.439198612082045</v>
      </c>
      <c r="AL82" s="22">
        <f t="shared" si="58"/>
        <v>500.14257091604264</v>
      </c>
      <c r="AM82" s="60">
        <f t="shared" si="59"/>
        <v>778.40842445071348</v>
      </c>
      <c r="AN82" s="60">
        <f ca="1">AVERAGE(OFFSET($AM$3,0,0,'Données projet'!$E$10+1,1))-AVERAGE(OFFSET($H$3,0,0,'Données projet'!$E$10+1,1))</f>
        <v>456.86058467343139</v>
      </c>
      <c r="AO82" s="60">
        <f t="shared" si="90"/>
        <v>243.88495931574937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65.890687327637522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4.3589743589743648</v>
      </c>
      <c r="BD82" s="13">
        <f>IF('Données projet'!$A$88&gt;35,BD81+BC82-BL81,IF(A82&lt;'Données projet'!$A$88,$BA$205^A82,IF(A82='Données projet'!$A$88,'Données projet'!$B$88,BD81+BC82-BL81)))</f>
        <v>275.12820512820497</v>
      </c>
      <c r="BE82" s="14">
        <f>BD82*VLOOKUP('Données projet'!$B$11,Paramètres!$A$1:$I$89,3,0)*VLOOKUP('Données projet'!$B$11,Paramètres!$A$1:$I$89,5,0)</f>
        <v>287.56399999999985</v>
      </c>
      <c r="BF82" s="14">
        <f t="shared" si="91"/>
        <v>68.563011232963589</v>
      </c>
      <c r="BG82" s="22">
        <f t="shared" si="61"/>
        <v>620.25454456407806</v>
      </c>
      <c r="BH82" s="60">
        <f t="shared" si="62"/>
        <v>898.52039809874896</v>
      </c>
      <c r="BI82" s="60">
        <f ca="1">AVERAGE(OFFSET($BH$3,0,0,'Données projet'!$E$11+1,1))-AVERAGE(OFFSET($H$3,0,0,'Données projet'!$E$11+1,1))</f>
        <v>518.47226207416952</v>
      </c>
      <c r="BJ82" s="60">
        <f t="shared" si="92"/>
        <v>314.6379787306804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65.890687327637522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6</v>
      </c>
      <c r="BY82" s="13">
        <f>IF('Données projet'!$A$114&gt;35,BY81+BX82-CG81,IF(A82&lt;'Données projet'!$A$114,$BV$205^A82,IF(A82='Données projet'!$A$114,'Données projet'!$B$114,BY81+BX82-CG81)))</f>
        <v>254.99999999999989</v>
      </c>
      <c r="BZ82" s="14">
        <f>BY82*VLOOKUP('Données projet'!$B$12,Paramètres!$A$1:$I$89,3,0)*VLOOKUP('Données projet'!$B$12,Paramètres!$A$1:$I$89,5,0)</f>
        <v>274.48199999999986</v>
      </c>
      <c r="CA82" s="14">
        <f t="shared" si="93"/>
        <v>65.79954946633589</v>
      </c>
      <c r="CB82" s="22">
        <f t="shared" si="64"/>
        <v>592.65703198720132</v>
      </c>
      <c r="CC82" s="60">
        <f t="shared" si="65"/>
        <v>870.92288552187222</v>
      </c>
      <c r="CD82" s="60">
        <f ca="1">AVERAGE(OFFSET($CC$3,0,0,'Données projet'!$E$12+1,1))-AVERAGE(OFFSET($H$3,0,0,'Données projet'!$E$12+1,1))</f>
        <v>530.32456073177104</v>
      </c>
      <c r="CE82" s="60">
        <f t="shared" si="94"/>
        <v>279.81519428470625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65.890687327637522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2.9799999999999955</v>
      </c>
      <c r="CT82" s="13">
        <f>IF('Données projet'!$A$140&gt;35,CT81+CS82-DB81,IF(A82&lt;'Données projet'!$A$140,$CQ$205^A82,IF(A82='Données projet'!$A$140,'Données projet'!$B$140,CT81+CS82-DB81)))</f>
        <v>281.62000000000035</v>
      </c>
      <c r="CU82" s="18">
        <f>CT82*VLOOKUP('Données projet'!$B$13,Paramètres!$A$1:$I$89,3,0)*VLOOKUP('Données projet'!$B$13,Paramètres!$A$1:$I$89,5,0)</f>
        <v>246.02323200000032</v>
      </c>
      <c r="CV82" s="14">
        <f t="shared" si="95"/>
        <v>59.73358275988631</v>
      </c>
      <c r="CW82" s="22">
        <f t="shared" si="67"/>
        <v>532.52645237346917</v>
      </c>
      <c r="CX82" s="60">
        <f t="shared" si="68"/>
        <v>810.79230590814007</v>
      </c>
      <c r="CY82" s="60">
        <f ca="1">AVERAGE(OFFSET($CX$3,0,0,'Données projet'!$E$13+1,1))-AVERAGE(OFFSET($H$3,0,0,'Données projet'!$E$13+1,1))</f>
        <v>355.03862261578701</v>
      </c>
      <c r="CZ82" s="60">
        <f t="shared" si="96"/>
        <v>382.84441399266029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65.890687327637522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1.1368683772161603E-13</v>
      </c>
      <c r="DP82" s="18">
        <f>DO82*VLOOKUP('Données projet'!$B$14,Paramètres!$A$1:$I$89,3,0)*VLOOKUP('Données projet'!$B$14,Paramètres!$A$1:$I$89,5,0)</f>
        <v>8.8675733422860506E-14</v>
      </c>
      <c r="DQ82" s="14">
        <f t="shared" si="97"/>
        <v>1.3509285393066301E-12</v>
      </c>
      <c r="DR82" s="22">
        <f t="shared" si="70"/>
        <v>2.5073107750038623E-12</v>
      </c>
      <c r="DS82" s="60">
        <f t="shared" si="71"/>
        <v>278.2658535346734</v>
      </c>
      <c r="DT82" s="60">
        <f ca="1">AVERAGE(OFFSET($DS$3,0,0,'Données projet'!$E$14+1,1))-AVERAGE(OFFSET($H$3,0,0,'Données projet'!$E$14+1,1))</f>
        <v>305.68891030516761</v>
      </c>
      <c r="DU82" s="60">
        <f t="shared" si="98"/>
        <v>296.00275062228275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65.890687327637522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6</v>
      </c>
      <c r="EJ82" s="13">
        <f>IF('Données projet'!$A$192&gt;35,EJ81+EI82-ER81,IF(A82&lt;'Données projet'!$A$192,$EG$205^A82,IF(A82='Données projet'!$A$192,'Données projet'!$B$192,EJ81+EI82-ER81)))</f>
        <v>254.99999999999989</v>
      </c>
      <c r="EK82" s="18">
        <f>EJ82*VLOOKUP('Données projet'!$B$15,Paramètres!$A$1:$I$89,3,0)*VLOOKUP('Données projet'!$B$15,Paramètres!$A$1:$I$89,5,0)</f>
        <v>246.63599999999991</v>
      </c>
      <c r="EL82" s="14">
        <f t="shared" si="99"/>
        <v>59.865023903294535</v>
      </c>
      <c r="EM82" s="22">
        <f t="shared" si="73"/>
        <v>533.82261663157112</v>
      </c>
      <c r="EN82" s="60">
        <f t="shared" si="74"/>
        <v>812.08847016624202</v>
      </c>
      <c r="EO82" s="60">
        <f ca="1">AVERAGE(OFFSET($EN$3,0,0,'Données projet'!$E$15+1,1))-AVERAGE(OFFSET($H$3,0,0,'Données projet'!$E$15+1,1))</f>
        <v>483.60545605360528</v>
      </c>
      <c r="EP82" s="60">
        <f t="shared" si="100"/>
        <v>256.96685577560345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65.890687327637522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0" t="e">
        <f t="shared" si="77"/>
        <v>#N/A</v>
      </c>
      <c r="FJ82" s="60" t="e">
        <f ca="1">AVERAGE(OFFSET($FI$3,0,0,'Données projet'!$E$16+1,1))-AVERAGE(OFFSET($H$3,0,0,'Données projet'!$E$16+1,1))</f>
        <v>#N/A</v>
      </c>
      <c r="FK82" s="60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65.890687327637522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0" t="e">
        <f t="shared" si="80"/>
        <v>#N/A</v>
      </c>
      <c r="GE82" s="60" t="e">
        <f ca="1">AVERAGE(OFFSET($GD$3,0,0,'Données projet'!$E$17+1,1))-AVERAGE(OFFSET($H$3,0,0,'Données projet'!$E$17+1,1))</f>
        <v>#N/A</v>
      </c>
      <c r="GF82" s="60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65.890687327637522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4">
        <f>'Scénario référence'!$B$16*5+'Scénario référence'!$B$17*0+'Scénario référence'!$B$18*5</f>
        <v>3.2750000000000004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12.008333333333335</v>
      </c>
      <c r="H83" s="67">
        <f t="shared" si="56"/>
        <v>208.63333333333333</v>
      </c>
      <c r="I83" s="7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65.961974715456194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261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260.99999999999989</v>
      </c>
      <c r="O83" s="14">
        <f>N83*VLOOKUP('Données projet'!$B$9,Paramètres!$A$1:$I$89,3,0)*VLOOKUP('Données projet'!$B$9,Paramètres!$A$1:$I$89,5,0)</f>
        <v>264.65399999999988</v>
      </c>
      <c r="P83" s="14">
        <f t="shared" si="87"/>
        <v>63.71339601121106</v>
      </c>
      <c r="Q83" s="22">
        <f t="shared" si="54"/>
        <v>571.90654805285897</v>
      </c>
      <c r="R83" s="60">
        <f t="shared" si="55"/>
        <v>850.43378867619833</v>
      </c>
      <c r="S83" s="60">
        <f ca="1">AVERAGE(OFFSET($R$3,0,0,'Données projet'!$E$9+1,1))-AVERAGE(OFFSET($H$3,0,0,'Données projet'!$E$9+1,1))</f>
        <v>503.64055031157477</v>
      </c>
      <c r="T83" s="60">
        <f t="shared" si="88"/>
        <v>266.76572540460842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65.961974715456194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261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260.99999999999989</v>
      </c>
      <c r="AJ83" s="14">
        <f>AI83*VLOOKUP('Données projet'!$B$10,Paramètres!$A$1:$I$89,3,0)*VLOOKUP('Données projet'!$B$10,Paramètres!$A$1:$I$89,5,0)</f>
        <v>236.15279999999987</v>
      </c>
      <c r="AK83" s="14">
        <f t="shared" si="89"/>
        <v>57.61100977459931</v>
      </c>
      <c r="AL83" s="22">
        <f t="shared" si="58"/>
        <v>511.63863535742689</v>
      </c>
      <c r="AM83" s="60">
        <f t="shared" si="59"/>
        <v>790.16587598076626</v>
      </c>
      <c r="AN83" s="60">
        <f ca="1">AVERAGE(OFFSET($AM$3,0,0,'Données projet'!$E$10+1,1))-AVERAGE(OFFSET($H$3,0,0,'Données projet'!$E$10+1,1))</f>
        <v>456.86058467343139</v>
      </c>
      <c r="AO83" s="60">
        <f t="shared" si="90"/>
        <v>243.88495931574937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65.961974715456194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279.4871794871795</v>
      </c>
      <c r="BB83" s="13">
        <f>VLOOKUP(A83,'Données projet'!$A$87:$I$107,9,0)</f>
        <v>4.3589743589743648</v>
      </c>
      <c r="BC83" s="13">
        <f t="array" ref="BC83">INDEX(BB:BB,MIN(IF(ISNUMBER(BB83:BB279),ROW(BB83:BB279),"")))</f>
        <v>4.3589743589743648</v>
      </c>
      <c r="BD83" s="13">
        <f>IF('Données projet'!$A$88&gt;35,BD82+BC83-BL82,IF(A83&lt;'Données projet'!$A$88,$BA$205^A83,IF(A83='Données projet'!$A$88,'Données projet'!$B$88,BD82+BC83-BL82)))</f>
        <v>279.48717948717933</v>
      </c>
      <c r="BE83" s="14">
        <f>BD83*VLOOKUP('Données projet'!$B$11,Paramètres!$A$1:$I$89,3,0)*VLOOKUP('Données projet'!$B$11,Paramètres!$A$1:$I$89,5,0)</f>
        <v>292.11999999999989</v>
      </c>
      <c r="BF83" s="14">
        <f t="shared" si="91"/>
        <v>69.521962397994116</v>
      </c>
      <c r="BG83" s="22">
        <f t="shared" si="61"/>
        <v>629.85975117650617</v>
      </c>
      <c r="BH83" s="60">
        <f t="shared" si="62"/>
        <v>908.38699179984553</v>
      </c>
      <c r="BI83" s="60">
        <f ca="1">AVERAGE(OFFSET($BH$3,0,0,'Données projet'!$E$11+1,1))-AVERAGE(OFFSET($H$3,0,0,'Données projet'!$E$11+1,1))</f>
        <v>518.47226207416952</v>
      </c>
      <c r="BJ83" s="60">
        <f t="shared" si="92"/>
        <v>314.6379787306804</v>
      </c>
      <c r="BK83" s="16">
        <f>IF(ISNA(VLOOKUP(A83,'Données projet'!$A$87:$I$107,3,0)),0,VLOOKUP(A83,'Données projet'!$A$87:$I$107,3,0))</f>
        <v>7</v>
      </c>
      <c r="BL83" s="23">
        <f>IF(ISNA(VLOOKUP(A83,'Données projet'!$A$87:$I$107,4,0)),0,VLOOKUP(A83,'Données projet'!$A$87:$I$107,4,0))</f>
        <v>22.435897435897434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65.961974715456194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261</v>
      </c>
      <c r="BW83" s="13">
        <f>VLOOKUP(A83,'Données projet'!$A$113:$I$133,9,0)</f>
        <v>6</v>
      </c>
      <c r="BX83" s="13">
        <f t="array" ref="BX83">INDEX(BW:BW,MIN(IF(ISNUMBER(BW83:BW279),ROW(BW83:BW279),"")))</f>
        <v>6</v>
      </c>
      <c r="BY83" s="13">
        <f>IF('Données projet'!$A$114&gt;35,BY82+BX83-CG82,IF(A83&lt;'Données projet'!$A$114,$BV$205^A83,IF(A83='Données projet'!$A$114,'Données projet'!$B$114,BY82+BX83-CG82)))</f>
        <v>260.99999999999989</v>
      </c>
      <c r="BZ83" s="14">
        <f>BY83*VLOOKUP('Données projet'!$B$12,Paramètres!$A$1:$I$89,3,0)*VLOOKUP('Données projet'!$B$12,Paramètres!$A$1:$I$89,5,0)</f>
        <v>280.9403999999999</v>
      </c>
      <c r="CA83" s="14">
        <f t="shared" si="93"/>
        <v>67.165703636653205</v>
      </c>
      <c r="CB83" s="22">
        <f t="shared" si="64"/>
        <v>606.28479716717072</v>
      </c>
      <c r="CC83" s="60">
        <f t="shared" si="65"/>
        <v>884.81203779051009</v>
      </c>
      <c r="CD83" s="60">
        <f ca="1">AVERAGE(OFFSET($CC$3,0,0,'Données projet'!$E$12+1,1))-AVERAGE(OFFSET($H$3,0,0,'Données projet'!$E$12+1,1))</f>
        <v>530.32456073177104</v>
      </c>
      <c r="CE83" s="60">
        <f t="shared" si="94"/>
        <v>279.81519428470625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65.961974715456194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284.60000000000002</v>
      </c>
      <c r="CR83" s="13">
        <f>VLOOKUP(A83,'Données projet'!$A$139:$I$159,9,0)</f>
        <v>2.9799999999999955</v>
      </c>
      <c r="CS83" s="13">
        <f t="array" ref="CS83">INDEX(CR:CR,MIN(IF(ISNUMBER(CR83:CR279),ROW(CR83:CR279),"")))</f>
        <v>2.9799999999999955</v>
      </c>
      <c r="CT83" s="13">
        <f>IF('Données projet'!$A$140&gt;35,CT82+CS83-DB82,IF(A83&lt;'Données projet'!$A$140,$CQ$205^A83,IF(A83='Données projet'!$A$140,'Données projet'!$B$140,CT82+CS83-DB82)))</f>
        <v>284.60000000000036</v>
      </c>
      <c r="CU83" s="18">
        <f>CT83*VLOOKUP('Données projet'!$B$13,Paramètres!$A$1:$I$89,3,0)*VLOOKUP('Données projet'!$B$13,Paramètres!$A$1:$I$89,5,0)</f>
        <v>248.62656000000038</v>
      </c>
      <c r="CV83" s="14">
        <f t="shared" si="95"/>
        <v>60.291745119621027</v>
      </c>
      <c r="CW83" s="22">
        <f t="shared" si="67"/>
        <v>538.03271475000724</v>
      </c>
      <c r="CX83" s="60">
        <f t="shared" si="68"/>
        <v>816.55995537334661</v>
      </c>
      <c r="CY83" s="60">
        <f ca="1">AVERAGE(OFFSET($CX$3,0,0,'Données projet'!$E$13+1,1))-AVERAGE(OFFSET($H$3,0,0,'Données projet'!$E$13+1,1))</f>
        <v>355.03862261578701</v>
      </c>
      <c r="CZ83" s="60">
        <f t="shared" si="96"/>
        <v>382.84441399266029</v>
      </c>
      <c r="DA83" s="16">
        <f>IF(ISNA(VLOOKUP(A83,'Données projet'!$A$139:$I$159,3,0)),0,VLOOKUP(A83,'Données projet'!$A$139:$I$159,3,0))</f>
        <v>7</v>
      </c>
      <c r="DB83" s="16">
        <f>IF(ISNA(VLOOKUP(A83,'Données projet'!$A$139:$I$159,4,0)),0,VLOOKUP(A83,'Données projet'!$A$139:$I$159,4,0))</f>
        <v>284.60000000000002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65.961974715456194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1.1368683772161603E-13</v>
      </c>
      <c r="DP83" s="18">
        <f>DO83*VLOOKUP('Données projet'!$B$14,Paramètres!$A$1:$I$89,3,0)*VLOOKUP('Données projet'!$B$14,Paramètres!$A$1:$I$89,5,0)</f>
        <v>8.8675733422860506E-14</v>
      </c>
      <c r="DQ83" s="14">
        <f t="shared" si="97"/>
        <v>1.3509285393066301E-12</v>
      </c>
      <c r="DR83" s="22">
        <f t="shared" si="70"/>
        <v>2.5073107750038623E-12</v>
      </c>
      <c r="DS83" s="60">
        <f t="shared" si="71"/>
        <v>278.52724062334187</v>
      </c>
      <c r="DT83" s="60">
        <f ca="1">AVERAGE(OFFSET($DS$3,0,0,'Données projet'!$E$14+1,1))-AVERAGE(OFFSET($H$3,0,0,'Données projet'!$E$14+1,1))</f>
        <v>305.68891030516761</v>
      </c>
      <c r="DU83" s="60">
        <f t="shared" si="98"/>
        <v>296.00275062228275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65.961974715456194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261</v>
      </c>
      <c r="EH83" s="13">
        <f>VLOOKUP(A83,'Données projet'!$A$191:$I$211,9,0)</f>
        <v>6</v>
      </c>
      <c r="EI83" s="13">
        <f t="array" ref="EI83">INDEX(EH:EH,MIN(IF(ISNUMBER(EH83:EH279),ROW(EH83:EH279),"")))</f>
        <v>6</v>
      </c>
      <c r="EJ83" s="13">
        <f>IF('Données projet'!$A$192&gt;35,EJ82+EI83-ER82,IF(A83&lt;'Données projet'!$A$192,$EG$205^A83,IF(A83='Données projet'!$A$192,'Données projet'!$B$192,EJ82+EI83-ER82)))</f>
        <v>260.99999999999989</v>
      </c>
      <c r="EK83" s="18">
        <f>EJ83*VLOOKUP('Données projet'!$B$15,Paramètres!$A$1:$I$89,3,0)*VLOOKUP('Données projet'!$B$15,Paramètres!$A$1:$I$89,5,0)</f>
        <v>252.43919999999991</v>
      </c>
      <c r="EL83" s="14">
        <f t="shared" si="99"/>
        <v>61.107963296116218</v>
      </c>
      <c r="EM83" s="22">
        <f t="shared" si="73"/>
        <v>546.09464274073559</v>
      </c>
      <c r="EN83" s="60">
        <f t="shared" si="74"/>
        <v>824.62188336407496</v>
      </c>
      <c r="EO83" s="60">
        <f ca="1">AVERAGE(OFFSET($EN$3,0,0,'Données projet'!$E$15+1,1))-AVERAGE(OFFSET($H$3,0,0,'Données projet'!$E$15+1,1))</f>
        <v>483.60545605360528</v>
      </c>
      <c r="EP83" s="60">
        <f t="shared" si="100"/>
        <v>256.96685577560345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65.961974715456194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0" t="e">
        <f t="shared" si="77"/>
        <v>#N/A</v>
      </c>
      <c r="FJ83" s="60" t="e">
        <f ca="1">AVERAGE(OFFSET($FI$3,0,0,'Données projet'!$E$16+1,1))-AVERAGE(OFFSET($H$3,0,0,'Données projet'!$E$16+1,1))</f>
        <v>#N/A</v>
      </c>
      <c r="FK83" s="60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65.961974715456194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0" t="e">
        <f t="shared" si="80"/>
        <v>#N/A</v>
      </c>
      <c r="GE83" s="60" t="e">
        <f ca="1">AVERAGE(OFFSET($GD$3,0,0,'Données projet'!$E$17+1,1))-AVERAGE(OFFSET($H$3,0,0,'Données projet'!$E$17+1,1))</f>
        <v>#N/A</v>
      </c>
      <c r="GF83" s="60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65.961974715456194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4">
        <f>'Scénario référence'!$B$16*5+'Scénario référence'!$B$17*0+'Scénario référence'!$B$18*5</f>
        <v>3.2750000000000004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12.008333333333335</v>
      </c>
      <c r="H84" s="67">
        <f t="shared" si="56"/>
        <v>208.63333333333333</v>
      </c>
      <c r="I84" s="7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66.032025426470938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5.8</v>
      </c>
      <c r="N84" s="14">
        <f>IF('Données projet'!$A$36&gt;35,N83+M84-V83,IF(A84&lt;'Données projet'!$A$36,$K$205^A84,IF(A84='Données projet'!$A$36,'Données projet'!$B$36,N83+M84-V83)))</f>
        <v>266.7999999999999</v>
      </c>
      <c r="O84" s="14">
        <f>N84*VLOOKUP('Données projet'!$B$9,Paramètres!$A$1:$I$89,3,0)*VLOOKUP('Données projet'!$B$9,Paramètres!$A$1:$I$89,5,0)</f>
        <v>270.53519999999992</v>
      </c>
      <c r="P84" s="14">
        <f t="shared" si="87"/>
        <v>64.962839141501405</v>
      </c>
      <c r="Q84" s="22">
        <f t="shared" si="54"/>
        <v>584.32575150478135</v>
      </c>
      <c r="R84" s="60">
        <f t="shared" si="55"/>
        <v>863.10984473517487</v>
      </c>
      <c r="S84" s="60">
        <f ca="1">AVERAGE(OFFSET($R$3,0,0,'Données projet'!$E$9+1,1))-AVERAGE(OFFSET($H$3,0,0,'Données projet'!$E$9+1,1))</f>
        <v>503.64055031157477</v>
      </c>
      <c r="T84" s="60">
        <f t="shared" si="88"/>
        <v>266.76572540460842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66.032025426470938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5.8</v>
      </c>
      <c r="AI84" s="14">
        <f>IF('Données projet'!$A$62&gt;35,AI83+AH84-AQ83,IF(A84&lt;'Données projet'!$A$62,$AF$205^A84,IF(A84='Données projet'!$A$62,'Données projet'!$B$62,AI83+AH84-AQ83)))</f>
        <v>266.7999999999999</v>
      </c>
      <c r="AJ84" s="14">
        <f>AI84*VLOOKUP('Données projet'!$B$10,Paramètres!$A$1:$I$89,3,0)*VLOOKUP('Données projet'!$B$10,Paramètres!$A$1:$I$89,5,0)</f>
        <v>241.40063999999992</v>
      </c>
      <c r="AK84" s="14">
        <f t="shared" si="89"/>
        <v>58.740782866262698</v>
      </c>
      <c r="AL84" s="22">
        <f t="shared" si="58"/>
        <v>522.74631149207403</v>
      </c>
      <c r="AM84" s="60">
        <f t="shared" si="59"/>
        <v>801.53040472246744</v>
      </c>
      <c r="AN84" s="60">
        <f ca="1">AVERAGE(OFFSET($AM$3,0,0,'Données projet'!$E$10+1,1))-AVERAGE(OFFSET($H$3,0,0,'Données projet'!$E$10+1,1))</f>
        <v>456.86058467343139</v>
      </c>
      <c r="AO84" s="60">
        <f t="shared" si="90"/>
        <v>243.88495931574937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66.032025426470938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3.9743589743589722</v>
      </c>
      <c r="BD84" s="13">
        <f>IF('Données projet'!$A$88&gt;35,BD83+BC84-BL83,IF(A84&lt;'Données projet'!$A$88,$BA$205^A84,IF(A84='Données projet'!$A$88,'Données projet'!$B$88,BD83+BC84-BL83)))</f>
        <v>261.02564102564082</v>
      </c>
      <c r="BE84" s="14">
        <f>BD84*VLOOKUP('Données projet'!$B$11,Paramètres!$A$1:$I$89,3,0)*VLOOKUP('Données projet'!$B$11,Paramètres!$A$1:$I$89,5,0)</f>
        <v>272.82399999999984</v>
      </c>
      <c r="BF84" s="14">
        <f t="shared" si="91"/>
        <v>65.448229947121135</v>
      </c>
      <c r="BG84" s="22">
        <f t="shared" si="61"/>
        <v>589.15746715790237</v>
      </c>
      <c r="BH84" s="60">
        <f t="shared" si="62"/>
        <v>867.94156038829578</v>
      </c>
      <c r="BI84" s="60">
        <f ca="1">AVERAGE(OFFSET($BH$3,0,0,'Données projet'!$E$11+1,1))-AVERAGE(OFFSET($H$3,0,0,'Données projet'!$E$11+1,1))</f>
        <v>518.47226207416952</v>
      </c>
      <c r="BJ84" s="60">
        <f t="shared" si="92"/>
        <v>314.6379787306804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66.032025426470938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5.8</v>
      </c>
      <c r="BY84" s="13">
        <f>IF('Données projet'!$A$114&gt;35,BY83+BX84-CG83,IF(A84&lt;'Données projet'!$A$114,$BV$205^A84,IF(A84='Données projet'!$A$114,'Données projet'!$B$114,BY83+BX84-CG83)))</f>
        <v>266.7999999999999</v>
      </c>
      <c r="BZ84" s="14">
        <f>BY84*VLOOKUP('Données projet'!$B$12,Paramètres!$A$1:$I$89,3,0)*VLOOKUP('Données projet'!$B$12,Paramètres!$A$1:$I$89,5,0)</f>
        <v>287.18351999999987</v>
      </c>
      <c r="CA84" s="14">
        <f t="shared" si="93"/>
        <v>68.482847789276349</v>
      </c>
      <c r="CB84" s="22">
        <f t="shared" si="64"/>
        <v>619.45225723298938</v>
      </c>
      <c r="CC84" s="60">
        <f t="shared" si="65"/>
        <v>898.23635046338291</v>
      </c>
      <c r="CD84" s="60">
        <f ca="1">AVERAGE(OFFSET($CC$3,0,0,'Données projet'!$E$12+1,1))-AVERAGE(OFFSET($H$3,0,0,'Données projet'!$E$12+1,1))</f>
        <v>530.32456073177104</v>
      </c>
      <c r="CE84" s="60">
        <f t="shared" si="94"/>
        <v>279.81519428470625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66.032025426470938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3.4106051316484809E-13</v>
      </c>
      <c r="CU84" s="18">
        <f>CT84*VLOOKUP('Données projet'!$B$13,Paramètres!$A$1:$I$89,3,0)*VLOOKUP('Données projet'!$B$13,Paramètres!$A$1:$I$89,5,0)</f>
        <v>2.9795046430081134E-13</v>
      </c>
      <c r="CV84" s="14">
        <f t="shared" si="95"/>
        <v>3.9419014464513778E-12</v>
      </c>
      <c r="CW84" s="22">
        <f t="shared" si="67"/>
        <v>7.384408744560063E-12</v>
      </c>
      <c r="CX84" s="60">
        <f t="shared" si="68"/>
        <v>278.78409323040086</v>
      </c>
      <c r="CY84" s="60">
        <f ca="1">AVERAGE(OFFSET($CX$3,0,0,'Données projet'!$E$13+1,1))-AVERAGE(OFFSET($H$3,0,0,'Données projet'!$E$13+1,1))</f>
        <v>355.03862261578701</v>
      </c>
      <c r="CZ84" s="60">
        <f t="shared" si="96"/>
        <v>382.84441399266029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66.032025426470938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1.1368683772161603E-13</v>
      </c>
      <c r="DP84" s="18">
        <f>DO84*VLOOKUP('Données projet'!$B$14,Paramètres!$A$1:$I$89,3,0)*VLOOKUP('Données projet'!$B$14,Paramètres!$A$1:$I$89,5,0)</f>
        <v>8.8675733422860506E-14</v>
      </c>
      <c r="DQ84" s="14">
        <f t="shared" si="97"/>
        <v>1.3509285393066301E-12</v>
      </c>
      <c r="DR84" s="22">
        <f t="shared" si="70"/>
        <v>2.5073107750038623E-12</v>
      </c>
      <c r="DS84" s="60">
        <f t="shared" si="71"/>
        <v>278.78409323039597</v>
      </c>
      <c r="DT84" s="60">
        <f ca="1">AVERAGE(OFFSET($DS$3,0,0,'Données projet'!$E$14+1,1))-AVERAGE(OFFSET($H$3,0,0,'Données projet'!$E$14+1,1))</f>
        <v>305.68891030516761</v>
      </c>
      <c r="DU84" s="60">
        <f t="shared" si="98"/>
        <v>296.00275062228275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66.032025426470938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5.8</v>
      </c>
      <c r="EJ84" s="13">
        <f>IF('Données projet'!$A$192&gt;35,EJ83+EI84-ER83,IF(A84&lt;'Données projet'!$A$192,$EG$205^A84,IF(A84='Données projet'!$A$192,'Données projet'!$B$192,EJ83+EI84-ER83)))</f>
        <v>266.7999999999999</v>
      </c>
      <c r="EK84" s="18">
        <f>EJ84*VLOOKUP('Données projet'!$B$15,Paramètres!$A$1:$I$89,3,0)*VLOOKUP('Données projet'!$B$15,Paramètres!$A$1:$I$89,5,0)</f>
        <v>258.04895999999991</v>
      </c>
      <c r="EL84" s="14">
        <f t="shared" si="99"/>
        <v>62.306312932555763</v>
      </c>
      <c r="EM84" s="22">
        <f t="shared" si="73"/>
        <v>557.95210035753439</v>
      </c>
      <c r="EN84" s="60">
        <f t="shared" si="74"/>
        <v>836.7361935879278</v>
      </c>
      <c r="EO84" s="60">
        <f ca="1">AVERAGE(OFFSET($EN$3,0,0,'Données projet'!$E$15+1,1))-AVERAGE(OFFSET($H$3,0,0,'Données projet'!$E$15+1,1))</f>
        <v>483.60545605360528</v>
      </c>
      <c r="EP84" s="60">
        <f t="shared" si="100"/>
        <v>256.96685577560345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66.032025426470938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0" t="e">
        <f t="shared" si="77"/>
        <v>#N/A</v>
      </c>
      <c r="FJ84" s="60" t="e">
        <f ca="1">AVERAGE(OFFSET($FI$3,0,0,'Données projet'!$E$16+1,1))-AVERAGE(OFFSET($H$3,0,0,'Données projet'!$E$16+1,1))</f>
        <v>#N/A</v>
      </c>
      <c r="FK84" s="60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66.032025426470938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0" t="e">
        <f t="shared" si="80"/>
        <v>#N/A</v>
      </c>
      <c r="GE84" s="60" t="e">
        <f ca="1">AVERAGE(OFFSET($GD$3,0,0,'Données projet'!$E$17+1,1))-AVERAGE(OFFSET($H$3,0,0,'Données projet'!$E$17+1,1))</f>
        <v>#N/A</v>
      </c>
      <c r="GF84" s="60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66.032025426470938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4">
        <f>'Scénario référence'!$B$16*5+'Scénario référence'!$B$17*0+'Scénario référence'!$B$18*5</f>
        <v>3.2750000000000004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12.008333333333335</v>
      </c>
      <c r="H85" s="67">
        <f t="shared" si="56"/>
        <v>208.63333333333333</v>
      </c>
      <c r="I85" s="7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66.100860914259499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5.8</v>
      </c>
      <c r="N85" s="14">
        <f>IF('Données projet'!$A$36&gt;35,N84+M85-V84,IF(A85&lt;'Données projet'!$A$36,$K$205^A85,IF(A85='Données projet'!$A$36,'Données projet'!$B$36,N84+M85-V84)))</f>
        <v>272.59999999999991</v>
      </c>
      <c r="O85" s="14">
        <f>N85*VLOOKUP('Données projet'!$B$9,Paramètres!$A$1:$I$89,3,0)*VLOOKUP('Données projet'!$B$9,Paramètres!$A$1:$I$89,5,0)</f>
        <v>276.4163999999999</v>
      </c>
      <c r="P85" s="14">
        <f t="shared" si="87"/>
        <v>66.209124371313408</v>
      </c>
      <c r="Q85" s="22">
        <f t="shared" si="54"/>
        <v>596.73945494670397</v>
      </c>
      <c r="R85" s="60">
        <f t="shared" si="55"/>
        <v>875.77594496565553</v>
      </c>
      <c r="S85" s="60">
        <f ca="1">AVERAGE(OFFSET($R$3,0,0,'Données projet'!$E$9+1,1))-AVERAGE(OFFSET($H$3,0,0,'Données projet'!$E$9+1,1))</f>
        <v>503.64055031157477</v>
      </c>
      <c r="T85" s="60">
        <f t="shared" si="88"/>
        <v>266.76572540460842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66.100860914259499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5.8</v>
      </c>
      <c r="AI85" s="14">
        <f>IF('Données projet'!$A$62&gt;35,AI84+AH85-AQ84,IF(A85&lt;'Données projet'!$A$62,$AF$205^A85,IF(A85='Données projet'!$A$62,'Données projet'!$B$62,AI84+AH85-AQ84)))</f>
        <v>272.59999999999991</v>
      </c>
      <c r="AJ85" s="14">
        <f>AI85*VLOOKUP('Données projet'!$B$10,Paramètres!$A$1:$I$89,3,0)*VLOOKUP('Données projet'!$B$10,Paramètres!$A$1:$I$89,5,0)</f>
        <v>246.64847999999992</v>
      </c>
      <c r="AK85" s="14">
        <f t="shared" si="89"/>
        <v>59.867700517050096</v>
      </c>
      <c r="AL85" s="22">
        <f t="shared" si="58"/>
        <v>533.84901440052874</v>
      </c>
      <c r="AM85" s="60">
        <f t="shared" si="59"/>
        <v>812.88550441948018</v>
      </c>
      <c r="AN85" s="60">
        <f ca="1">AVERAGE(OFFSET($AM$3,0,0,'Données projet'!$E$10+1,1))-AVERAGE(OFFSET($H$3,0,0,'Données projet'!$E$10+1,1))</f>
        <v>456.86058467343139</v>
      </c>
      <c r="AO85" s="60">
        <f t="shared" si="90"/>
        <v>243.88495931574937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66.100860914259499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3.9743589743589722</v>
      </c>
      <c r="BD85" s="13">
        <f>IF('Données projet'!$A$88&gt;35,BD84+BC85-BL84,IF(A85&lt;'Données projet'!$A$88,$BA$205^A85,IF(A85='Données projet'!$A$88,'Données projet'!$B$88,BD84+BC85-BL84)))</f>
        <v>264.99999999999977</v>
      </c>
      <c r="BE85" s="14">
        <f>BD85*VLOOKUP('Données projet'!$B$11,Paramètres!$A$1:$I$89,3,0)*VLOOKUP('Données projet'!$B$11,Paramètres!$A$1:$I$89,5,0)</f>
        <v>276.97799999999978</v>
      </c>
      <c r="BF85" s="14">
        <f t="shared" si="91"/>
        <v>66.327970633211649</v>
      </c>
      <c r="BG85" s="22">
        <f t="shared" si="61"/>
        <v>597.92456551950988</v>
      </c>
      <c r="BH85" s="60">
        <f t="shared" si="62"/>
        <v>876.96105553846132</v>
      </c>
      <c r="BI85" s="60">
        <f ca="1">AVERAGE(OFFSET($BH$3,0,0,'Données projet'!$E$11+1,1))-AVERAGE(OFFSET($H$3,0,0,'Données projet'!$E$11+1,1))</f>
        <v>518.47226207416952</v>
      </c>
      <c r="BJ85" s="60">
        <f t="shared" si="92"/>
        <v>314.6379787306804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66.100860914259499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5.8</v>
      </c>
      <c r="BY85" s="13">
        <f>IF('Données projet'!$A$114&gt;35,BY84+BX85-CG84,IF(A85&lt;'Données projet'!$A$114,$BV$205^A85,IF(A85='Données projet'!$A$114,'Données projet'!$B$114,BY84+BX85-CG84)))</f>
        <v>272.59999999999991</v>
      </c>
      <c r="BZ85" s="14">
        <f>BY85*VLOOKUP('Données projet'!$B$12,Paramètres!$A$1:$I$89,3,0)*VLOOKUP('Données projet'!$B$12,Paramètres!$A$1:$I$89,5,0)</f>
        <v>293.42663999999985</v>
      </c>
      <c r="CA85" s="14">
        <f t="shared" si="93"/>
        <v>69.796662930719478</v>
      </c>
      <c r="CB85" s="22">
        <f t="shared" si="64"/>
        <v>632.61391927100283</v>
      </c>
      <c r="CC85" s="60">
        <f t="shared" si="65"/>
        <v>911.65040928995427</v>
      </c>
      <c r="CD85" s="60">
        <f ca="1">AVERAGE(OFFSET($CC$3,0,0,'Données projet'!$E$12+1,1))-AVERAGE(OFFSET($H$3,0,0,'Données projet'!$E$12+1,1))</f>
        <v>530.32456073177104</v>
      </c>
      <c r="CE85" s="60">
        <f t="shared" si="94"/>
        <v>279.81519428470625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66.100860914259499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3.4106051316484809E-13</v>
      </c>
      <c r="CU85" s="18">
        <f>CT85*VLOOKUP('Données projet'!$B$13,Paramètres!$A$1:$I$89,3,0)*VLOOKUP('Données projet'!$B$13,Paramètres!$A$1:$I$89,5,0)</f>
        <v>2.9795046430081134E-13</v>
      </c>
      <c r="CV85" s="14">
        <f t="shared" si="95"/>
        <v>3.9419014464513778E-12</v>
      </c>
      <c r="CW85" s="22">
        <f t="shared" si="67"/>
        <v>7.384408744560063E-12</v>
      </c>
      <c r="CX85" s="60">
        <f t="shared" si="68"/>
        <v>279.03649001895889</v>
      </c>
      <c r="CY85" s="60">
        <f ca="1">AVERAGE(OFFSET($CX$3,0,0,'Données projet'!$E$13+1,1))-AVERAGE(OFFSET($H$3,0,0,'Données projet'!$E$13+1,1))</f>
        <v>355.03862261578701</v>
      </c>
      <c r="CZ85" s="60">
        <f t="shared" si="96"/>
        <v>382.84441399266029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66.100860914259499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1.1368683772161603E-13</v>
      </c>
      <c r="DP85" s="18">
        <f>DO85*VLOOKUP('Données projet'!$B$14,Paramètres!$A$1:$I$89,3,0)*VLOOKUP('Données projet'!$B$14,Paramètres!$A$1:$I$89,5,0)</f>
        <v>8.8675733422860506E-14</v>
      </c>
      <c r="DQ85" s="14">
        <f t="shared" si="97"/>
        <v>1.3509285393066301E-12</v>
      </c>
      <c r="DR85" s="22">
        <f t="shared" si="70"/>
        <v>2.5073107750038623E-12</v>
      </c>
      <c r="DS85" s="60">
        <f t="shared" si="71"/>
        <v>279.036490018954</v>
      </c>
      <c r="DT85" s="60">
        <f ca="1">AVERAGE(OFFSET($DS$3,0,0,'Données projet'!$E$14+1,1))-AVERAGE(OFFSET($H$3,0,0,'Données projet'!$E$14+1,1))</f>
        <v>305.68891030516761</v>
      </c>
      <c r="DU85" s="60">
        <f t="shared" si="98"/>
        <v>296.00275062228275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66.100860914259499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5.8</v>
      </c>
      <c r="EJ85" s="13">
        <f>IF('Données projet'!$A$192&gt;35,EJ84+EI85-ER84,IF(A85&lt;'Données projet'!$A$192,$EG$205^A85,IF(A85='Données projet'!$A$192,'Données projet'!$B$192,EJ84+EI85-ER84)))</f>
        <v>272.59999999999991</v>
      </c>
      <c r="EK85" s="18">
        <f>EJ85*VLOOKUP('Données projet'!$B$15,Paramètres!$A$1:$I$89,3,0)*VLOOKUP('Données projet'!$B$15,Paramètres!$A$1:$I$89,5,0)</f>
        <v>263.6587199999999</v>
      </c>
      <c r="EL85" s="14">
        <f t="shared" si="99"/>
        <v>63.501633804581523</v>
      </c>
      <c r="EM85" s="22">
        <f t="shared" si="73"/>
        <v>569.80428287631264</v>
      </c>
      <c r="EN85" s="60">
        <f t="shared" si="74"/>
        <v>848.84077289526408</v>
      </c>
      <c r="EO85" s="60">
        <f ca="1">AVERAGE(OFFSET($EN$3,0,0,'Données projet'!$E$15+1,1))-AVERAGE(OFFSET($H$3,0,0,'Données projet'!$E$15+1,1))</f>
        <v>483.60545605360528</v>
      </c>
      <c r="EP85" s="60">
        <f t="shared" si="100"/>
        <v>256.96685577560345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66.100860914259499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0" t="e">
        <f t="shared" si="77"/>
        <v>#N/A</v>
      </c>
      <c r="FJ85" s="60" t="e">
        <f ca="1">AVERAGE(OFFSET($FI$3,0,0,'Données projet'!$E$16+1,1))-AVERAGE(OFFSET($H$3,0,0,'Données projet'!$E$16+1,1))</f>
        <v>#N/A</v>
      </c>
      <c r="FK85" s="60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66.100860914259499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0" t="e">
        <f t="shared" si="80"/>
        <v>#N/A</v>
      </c>
      <c r="GE85" s="60" t="e">
        <f ca="1">AVERAGE(OFFSET($GD$3,0,0,'Données projet'!$E$17+1,1))-AVERAGE(OFFSET($H$3,0,0,'Données projet'!$E$17+1,1))</f>
        <v>#N/A</v>
      </c>
      <c r="GF85" s="60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66.100860914259499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4">
        <f>'Scénario référence'!$B$16*5+'Scénario référence'!$B$17*0+'Scénario référence'!$B$18*5</f>
        <v>3.2750000000000004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12.008333333333335</v>
      </c>
      <c r="H86" s="67">
        <f t="shared" si="56"/>
        <v>208.63333333333333</v>
      </c>
      <c r="I86" s="7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66.168502260228024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5.8</v>
      </c>
      <c r="N86" s="14">
        <f>IF('Données projet'!$A$36&gt;35,N85+M86-V85,IF(A86&lt;'Données projet'!$A$36,$K$205^A86,IF(A86='Données projet'!$A$36,'Données projet'!$B$36,N85+M86-V85)))</f>
        <v>278.39999999999992</v>
      </c>
      <c r="O86" s="14">
        <f>N86*VLOOKUP('Données projet'!$B$9,Paramètres!$A$1:$I$89,3,0)*VLOOKUP('Données projet'!$B$9,Paramètres!$A$1:$I$89,5,0)</f>
        <v>282.29759999999993</v>
      </c>
      <c r="P86" s="14">
        <f t="shared" si="87"/>
        <v>67.452326629470178</v>
      </c>
      <c r="Q86" s="22">
        <f t="shared" si="54"/>
        <v>609.14778887966042</v>
      </c>
      <c r="R86" s="60">
        <f t="shared" si="55"/>
        <v>888.43229716716314</v>
      </c>
      <c r="S86" s="60">
        <f ca="1">AVERAGE(OFFSET($R$3,0,0,'Données projet'!$E$9+1,1))-AVERAGE(OFFSET($H$3,0,0,'Données projet'!$E$9+1,1))</f>
        <v>503.64055031157477</v>
      </c>
      <c r="T86" s="60">
        <f t="shared" si="88"/>
        <v>266.76572540460842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66.168502260228024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5.8</v>
      </c>
      <c r="AI86" s="14">
        <f>IF('Données projet'!$A$62&gt;35,AI85+AH86-AQ85,IF(A86&lt;'Données projet'!$A$62,$AF$205^A86,IF(A86='Données projet'!$A$62,'Données projet'!$B$62,AI85+AH86-AQ85)))</f>
        <v>278.39999999999992</v>
      </c>
      <c r="AJ86" s="14">
        <f>AI86*VLOOKUP('Données projet'!$B$10,Paramètres!$A$1:$I$89,3,0)*VLOOKUP('Données projet'!$B$10,Paramètres!$A$1:$I$89,5,0)</f>
        <v>251.89631999999995</v>
      </c>
      <c r="AK86" s="14">
        <f t="shared" si="89"/>
        <v>60.991830479199145</v>
      </c>
      <c r="AL86" s="22">
        <f t="shared" si="58"/>
        <v>544.94686208460519</v>
      </c>
      <c r="AM86" s="60">
        <f t="shared" si="59"/>
        <v>824.2313703721079</v>
      </c>
      <c r="AN86" s="60">
        <f ca="1">AVERAGE(OFFSET($AM$3,0,0,'Données projet'!$E$10+1,1))-AVERAGE(OFFSET($H$3,0,0,'Données projet'!$E$10+1,1))</f>
        <v>456.86058467343139</v>
      </c>
      <c r="AO86" s="60">
        <f t="shared" si="90"/>
        <v>243.88495931574937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66.168502260228024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3.9743589743589722</v>
      </c>
      <c r="BD86" s="13">
        <f>IF('Données projet'!$A$88&gt;35,BD85+BC86-BL85,IF(A86&lt;'Données projet'!$A$88,$BA$205^A86,IF(A86='Données projet'!$A$88,'Données projet'!$B$88,BD85+BC86-BL85)))</f>
        <v>268.97435897435872</v>
      </c>
      <c r="BE86" s="14">
        <f>BD86*VLOOKUP('Données projet'!$B$11,Paramètres!$A$1:$I$89,3,0)*VLOOKUP('Données projet'!$B$11,Paramètres!$A$1:$I$89,5,0)</f>
        <v>281.13199999999972</v>
      </c>
      <c r="BF86" s="14">
        <f t="shared" si="91"/>
        <v>67.206176818686799</v>
      </c>
      <c r="BG86" s="22">
        <f t="shared" si="61"/>
        <v>606.68899129254567</v>
      </c>
      <c r="BH86" s="60">
        <f t="shared" si="62"/>
        <v>885.97349958004838</v>
      </c>
      <c r="BI86" s="60">
        <f ca="1">AVERAGE(OFFSET($BH$3,0,0,'Données projet'!$E$11+1,1))-AVERAGE(OFFSET($H$3,0,0,'Données projet'!$E$11+1,1))</f>
        <v>518.47226207416952</v>
      </c>
      <c r="BJ86" s="60">
        <f t="shared" si="92"/>
        <v>314.6379787306804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66.168502260228024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5.8</v>
      </c>
      <c r="BY86" s="13">
        <f>IF('Données projet'!$A$114&gt;35,BY85+BX86-CG85,IF(A86&lt;'Données projet'!$A$114,$BV$205^A86,IF(A86='Données projet'!$A$114,'Données projet'!$B$114,BY85+BX86-CG85)))</f>
        <v>278.39999999999992</v>
      </c>
      <c r="BZ86" s="14">
        <f>BY86*VLOOKUP('Données projet'!$B$12,Paramètres!$A$1:$I$89,3,0)*VLOOKUP('Données projet'!$B$12,Paramètres!$A$1:$I$89,5,0)</f>
        <v>299.66975999999988</v>
      </c>
      <c r="CA86" s="14">
        <f t="shared" si="93"/>
        <v>71.107228049820691</v>
      </c>
      <c r="CB86" s="22">
        <f t="shared" si="64"/>
        <v>645.7699208534375</v>
      </c>
      <c r="CC86" s="60">
        <f t="shared" si="65"/>
        <v>925.05442914094033</v>
      </c>
      <c r="CD86" s="60">
        <f ca="1">AVERAGE(OFFSET($CC$3,0,0,'Données projet'!$E$12+1,1))-AVERAGE(OFFSET($H$3,0,0,'Données projet'!$E$12+1,1))</f>
        <v>530.32456073177104</v>
      </c>
      <c r="CE86" s="60">
        <f t="shared" si="94"/>
        <v>279.81519428470625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66.168502260228024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3.4106051316484809E-13</v>
      </c>
      <c r="CU86" s="18">
        <f>CT86*VLOOKUP('Données projet'!$B$13,Paramètres!$A$1:$I$89,3,0)*VLOOKUP('Données projet'!$B$13,Paramètres!$A$1:$I$89,5,0)</f>
        <v>2.9795046430081134E-13</v>
      </c>
      <c r="CV86" s="14">
        <f t="shared" si="95"/>
        <v>3.9419014464513778E-12</v>
      </c>
      <c r="CW86" s="22">
        <f t="shared" si="67"/>
        <v>7.384408744560063E-12</v>
      </c>
      <c r="CX86" s="60">
        <f t="shared" si="68"/>
        <v>279.28450828751016</v>
      </c>
      <c r="CY86" s="60">
        <f ca="1">AVERAGE(OFFSET($CX$3,0,0,'Données projet'!$E$13+1,1))-AVERAGE(OFFSET($H$3,0,0,'Données projet'!$E$13+1,1))</f>
        <v>355.03862261578701</v>
      </c>
      <c r="CZ86" s="60">
        <f t="shared" si="96"/>
        <v>382.84441399266029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66.168502260228024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1.1368683772161603E-13</v>
      </c>
      <c r="DP86" s="18">
        <f>DO86*VLOOKUP('Données projet'!$B$14,Paramètres!$A$1:$I$89,3,0)*VLOOKUP('Données projet'!$B$14,Paramètres!$A$1:$I$89,5,0)</f>
        <v>8.8675733422860506E-14</v>
      </c>
      <c r="DQ86" s="14">
        <f t="shared" si="97"/>
        <v>1.3509285393066301E-12</v>
      </c>
      <c r="DR86" s="22">
        <f t="shared" si="70"/>
        <v>2.5073107750038623E-12</v>
      </c>
      <c r="DS86" s="60">
        <f t="shared" si="71"/>
        <v>279.28450828750528</v>
      </c>
      <c r="DT86" s="60">
        <f ca="1">AVERAGE(OFFSET($DS$3,0,0,'Données projet'!$E$14+1,1))-AVERAGE(OFFSET($H$3,0,0,'Données projet'!$E$14+1,1))</f>
        <v>305.68891030516761</v>
      </c>
      <c r="DU86" s="60">
        <f t="shared" si="98"/>
        <v>296.00275062228275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66.168502260228024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5.8</v>
      </c>
      <c r="EJ86" s="13">
        <f>IF('Données projet'!$A$192&gt;35,EJ85+EI86-ER85,IF(A86&lt;'Données projet'!$A$192,$EG$205^A86,IF(A86='Données projet'!$A$192,'Données projet'!$B$192,EJ85+EI86-ER85)))</f>
        <v>278.39999999999992</v>
      </c>
      <c r="EK86" s="18">
        <f>EJ86*VLOOKUP('Données projet'!$B$15,Paramètres!$A$1:$I$89,3,0)*VLOOKUP('Données projet'!$B$15,Paramètres!$A$1:$I$89,5,0)</f>
        <v>269.26847999999995</v>
      </c>
      <c r="EL86" s="14">
        <f t="shared" si="99"/>
        <v>64.693997776951178</v>
      </c>
      <c r="EM86" s="22">
        <f t="shared" si="73"/>
        <v>581.65131546152315</v>
      </c>
      <c r="EN86" s="60">
        <f t="shared" si="74"/>
        <v>860.93582374902599</v>
      </c>
      <c r="EO86" s="60">
        <f ca="1">AVERAGE(OFFSET($EN$3,0,0,'Données projet'!$E$15+1,1))-AVERAGE(OFFSET($H$3,0,0,'Données projet'!$E$15+1,1))</f>
        <v>483.60545605360528</v>
      </c>
      <c r="EP86" s="60">
        <f t="shared" si="100"/>
        <v>256.96685577560345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66.168502260228024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0" t="e">
        <f t="shared" si="77"/>
        <v>#N/A</v>
      </c>
      <c r="FJ86" s="60" t="e">
        <f ca="1">AVERAGE(OFFSET($FI$3,0,0,'Données projet'!$E$16+1,1))-AVERAGE(OFFSET($H$3,0,0,'Données projet'!$E$16+1,1))</f>
        <v>#N/A</v>
      </c>
      <c r="FK86" s="60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66.168502260228024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0" t="e">
        <f t="shared" si="80"/>
        <v>#N/A</v>
      </c>
      <c r="GE86" s="60" t="e">
        <f ca="1">AVERAGE(OFFSET($GD$3,0,0,'Données projet'!$E$17+1,1))-AVERAGE(OFFSET($H$3,0,0,'Données projet'!$E$17+1,1))</f>
        <v>#N/A</v>
      </c>
      <c r="GF86" s="60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66.168502260228024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4">
        <f>'Scénario référence'!$B$16*5+'Scénario référence'!$B$17*0+'Scénario référence'!$B$18*5</f>
        <v>3.2750000000000004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12.008333333333335</v>
      </c>
      <c r="H87" s="67">
        <f t="shared" si="56"/>
        <v>208.63333333333333</v>
      </c>
      <c r="I87" s="7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66.234970180067393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5.8</v>
      </c>
      <c r="N87" s="14">
        <f>IF('Données projet'!$A$36&gt;35,N86+M87-V86,IF(A87&lt;'Données projet'!$A$36,$K$205^A87,IF(A87='Données projet'!$A$36,'Données projet'!$B$36,N86+M87-V86)))</f>
        <v>284.19999999999993</v>
      </c>
      <c r="O87" s="14">
        <f>N87*VLOOKUP('Données projet'!$B$9,Paramètres!$A$1:$I$89,3,0)*VLOOKUP('Données projet'!$B$9,Paramètres!$A$1:$I$89,5,0)</f>
        <v>288.17879999999997</v>
      </c>
      <c r="P87" s="14">
        <f t="shared" si="87"/>
        <v>68.692517544343744</v>
      </c>
      <c r="Q87" s="22">
        <f t="shared" si="54"/>
        <v>621.55087805639857</v>
      </c>
      <c r="R87" s="60">
        <f t="shared" si="55"/>
        <v>901.07910204997893</v>
      </c>
      <c r="S87" s="60">
        <f ca="1">AVERAGE(OFFSET($R$3,0,0,'Données projet'!$E$9+1,1))-AVERAGE(OFFSET($H$3,0,0,'Données projet'!$E$9+1,1))</f>
        <v>503.64055031157477</v>
      </c>
      <c r="T87" s="60">
        <f t="shared" si="88"/>
        <v>266.76572540460842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66.234970180067393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5.8</v>
      </c>
      <c r="AI87" s="14">
        <f>IF('Données projet'!$A$62&gt;35,AI86+AH87-AQ86,IF(A87&lt;'Données projet'!$A$62,$AF$205^A87,IF(A87='Données projet'!$A$62,'Données projet'!$B$62,AI86+AH87-AQ86)))</f>
        <v>284.19999999999993</v>
      </c>
      <c r="AJ87" s="14">
        <f>AI87*VLOOKUP('Données projet'!$B$10,Paramètres!$A$1:$I$89,3,0)*VLOOKUP('Données projet'!$B$10,Paramètres!$A$1:$I$89,5,0)</f>
        <v>257.14415999999994</v>
      </c>
      <c r="AK87" s="14">
        <f t="shared" si="89"/>
        <v>62.113237520609751</v>
      </c>
      <c r="AL87" s="22">
        <f t="shared" si="58"/>
        <v>556.03996734839518</v>
      </c>
      <c r="AM87" s="60">
        <f t="shared" si="59"/>
        <v>835.56819134197553</v>
      </c>
      <c r="AN87" s="60">
        <f ca="1">AVERAGE(OFFSET($AM$3,0,0,'Données projet'!$E$10+1,1))-AVERAGE(OFFSET($H$3,0,0,'Données projet'!$E$10+1,1))</f>
        <v>456.86058467343139</v>
      </c>
      <c r="AO87" s="60">
        <f t="shared" si="90"/>
        <v>243.88495931574937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66.234970180067393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3.9743589743589722</v>
      </c>
      <c r="BD87" s="13">
        <f>IF('Données projet'!$A$88&gt;35,BD86+BC87-BL86,IF(A87&lt;'Données projet'!$A$88,$BA$205^A87,IF(A87='Données projet'!$A$88,'Données projet'!$B$88,BD86+BC87-BL86)))</f>
        <v>272.94871794871767</v>
      </c>
      <c r="BE87" s="14">
        <f>BD87*VLOOKUP('Données projet'!$B$11,Paramètres!$A$1:$I$89,3,0)*VLOOKUP('Données projet'!$B$11,Paramètres!$A$1:$I$89,5,0)</f>
        <v>285.28599999999972</v>
      </c>
      <c r="BF87" s="14">
        <f t="shared" si="91"/>
        <v>68.082873796613967</v>
      </c>
      <c r="BG87" s="22">
        <f t="shared" si="61"/>
        <v>615.45078852910217</v>
      </c>
      <c r="BH87" s="60">
        <f t="shared" si="62"/>
        <v>894.97901252268252</v>
      </c>
      <c r="BI87" s="60">
        <f ca="1">AVERAGE(OFFSET($BH$3,0,0,'Données projet'!$E$11+1,1))-AVERAGE(OFFSET($H$3,0,0,'Données projet'!$E$11+1,1))</f>
        <v>518.47226207416952</v>
      </c>
      <c r="BJ87" s="60">
        <f t="shared" si="92"/>
        <v>314.6379787306804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66.234970180067393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5.8</v>
      </c>
      <c r="BY87" s="13">
        <f>IF('Données projet'!$A$114&gt;35,BY86+BX87-CG86,IF(A87&lt;'Données projet'!$A$114,$BV$205^A87,IF(A87='Données projet'!$A$114,'Données projet'!$B$114,BY86+BX87-CG86)))</f>
        <v>284.19999999999993</v>
      </c>
      <c r="BZ87" s="14">
        <f>BY87*VLOOKUP('Données projet'!$B$12,Paramètres!$A$1:$I$89,3,0)*VLOOKUP('Données projet'!$B$12,Paramètres!$A$1:$I$89,5,0)</f>
        <v>305.91287999999992</v>
      </c>
      <c r="CA87" s="14">
        <f t="shared" si="93"/>
        <v>72.414618656132291</v>
      </c>
      <c r="CB87" s="22">
        <f t="shared" si="64"/>
        <v>658.92039349276354</v>
      </c>
      <c r="CC87" s="60">
        <f t="shared" si="65"/>
        <v>938.44861748634389</v>
      </c>
      <c r="CD87" s="60">
        <f ca="1">AVERAGE(OFFSET($CC$3,0,0,'Données projet'!$E$12+1,1))-AVERAGE(OFFSET($H$3,0,0,'Données projet'!$E$12+1,1))</f>
        <v>530.32456073177104</v>
      </c>
      <c r="CE87" s="60">
        <f t="shared" si="94"/>
        <v>279.81519428470625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66.234970180067393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3.4106051316484809E-13</v>
      </c>
      <c r="CU87" s="18">
        <f>CT87*VLOOKUP('Données projet'!$B$13,Paramètres!$A$1:$I$89,3,0)*VLOOKUP('Données projet'!$B$13,Paramètres!$A$1:$I$89,5,0)</f>
        <v>2.9795046430081134E-13</v>
      </c>
      <c r="CV87" s="14">
        <f t="shared" si="95"/>
        <v>3.9419014464513778E-12</v>
      </c>
      <c r="CW87" s="22">
        <f t="shared" si="67"/>
        <v>7.384408744560063E-12</v>
      </c>
      <c r="CX87" s="60">
        <f t="shared" si="68"/>
        <v>279.5282239935878</v>
      </c>
      <c r="CY87" s="60">
        <f ca="1">AVERAGE(OFFSET($CX$3,0,0,'Données projet'!$E$13+1,1))-AVERAGE(OFFSET($H$3,0,0,'Données projet'!$E$13+1,1))</f>
        <v>355.03862261578701</v>
      </c>
      <c r="CZ87" s="60">
        <f t="shared" si="96"/>
        <v>382.84441399266029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66.234970180067393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1.1368683772161603E-13</v>
      </c>
      <c r="DP87" s="18">
        <f>DO87*VLOOKUP('Données projet'!$B$14,Paramètres!$A$1:$I$89,3,0)*VLOOKUP('Données projet'!$B$14,Paramètres!$A$1:$I$89,5,0)</f>
        <v>8.8675733422860506E-14</v>
      </c>
      <c r="DQ87" s="14">
        <f t="shared" si="97"/>
        <v>1.3509285393066301E-12</v>
      </c>
      <c r="DR87" s="22">
        <f t="shared" si="70"/>
        <v>2.5073107750038623E-12</v>
      </c>
      <c r="DS87" s="60">
        <f t="shared" si="71"/>
        <v>279.52822399358291</v>
      </c>
      <c r="DT87" s="60">
        <f ca="1">AVERAGE(OFFSET($DS$3,0,0,'Données projet'!$E$14+1,1))-AVERAGE(OFFSET($H$3,0,0,'Données projet'!$E$14+1,1))</f>
        <v>305.68891030516761</v>
      </c>
      <c r="DU87" s="60">
        <f t="shared" si="98"/>
        <v>296.00275062228275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66.234970180067393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5.8</v>
      </c>
      <c r="EJ87" s="13">
        <f>IF('Données projet'!$A$192&gt;35,EJ86+EI87-ER86,IF(A87&lt;'Données projet'!$A$192,$EG$205^A87,IF(A87='Données projet'!$A$192,'Données projet'!$B$192,EJ86+EI87-ER86)))</f>
        <v>284.19999999999993</v>
      </c>
      <c r="EK87" s="18">
        <f>EJ87*VLOOKUP('Données projet'!$B$15,Paramètres!$A$1:$I$89,3,0)*VLOOKUP('Données projet'!$B$15,Paramètres!$A$1:$I$89,5,0)</f>
        <v>274.87823999999995</v>
      </c>
      <c r="EL87" s="14">
        <f t="shared" si="99"/>
        <v>65.883473548937019</v>
      </c>
      <c r="EM87" s="22">
        <f t="shared" si="73"/>
        <v>593.49331776439851</v>
      </c>
      <c r="EN87" s="60">
        <f t="shared" si="74"/>
        <v>873.02154175797887</v>
      </c>
      <c r="EO87" s="60">
        <f ca="1">AVERAGE(OFFSET($EN$3,0,0,'Données projet'!$E$15+1,1))-AVERAGE(OFFSET($H$3,0,0,'Données projet'!$E$15+1,1))</f>
        <v>483.60545605360528</v>
      </c>
      <c r="EP87" s="60">
        <f t="shared" si="100"/>
        <v>256.96685577560345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66.234970180067393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0" t="e">
        <f t="shared" si="77"/>
        <v>#N/A</v>
      </c>
      <c r="FJ87" s="60" t="e">
        <f ca="1">AVERAGE(OFFSET($FI$3,0,0,'Données projet'!$E$16+1,1))-AVERAGE(OFFSET($H$3,0,0,'Données projet'!$E$16+1,1))</f>
        <v>#N/A</v>
      </c>
      <c r="FK87" s="60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66.234970180067393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0" t="e">
        <f t="shared" si="80"/>
        <v>#N/A</v>
      </c>
      <c r="GE87" s="60" t="e">
        <f ca="1">AVERAGE(OFFSET($GD$3,0,0,'Données projet'!$E$17+1,1))-AVERAGE(OFFSET($H$3,0,0,'Données projet'!$E$17+1,1))</f>
        <v>#N/A</v>
      </c>
      <c r="GF87" s="60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66.234970180067393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4">
        <f>'Scénario référence'!$B$16*5+'Scénario référence'!$B$17*0+'Scénario référence'!$B$18*5</f>
        <v>3.2750000000000004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12.008333333333335</v>
      </c>
      <c r="H88" s="67">
        <f t="shared" si="56"/>
        <v>208.63333333333333</v>
      </c>
      <c r="I88" s="7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66.300285030097569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290</v>
      </c>
      <c r="L88" s="13">
        <f>VLOOKUP(A88,'Données projet'!$A$35:$I$55,9,0)</f>
        <v>5.8</v>
      </c>
      <c r="M88" s="13">
        <f t="array" ref="M88">INDEX(L:L,MIN(IF(ISNUMBER(L88:L284),ROW(L88:L284),"")))</f>
        <v>5.8</v>
      </c>
      <c r="N88" s="14">
        <f>IF('Données projet'!$A$36&gt;35,N87+M88-V87,IF(A88&lt;'Données projet'!$A$36,$K$205^A88,IF(A88='Données projet'!$A$36,'Données projet'!$B$36,N87+M88-V87)))</f>
        <v>289.99999999999994</v>
      </c>
      <c r="O88" s="14">
        <f>N88*VLOOKUP('Données projet'!$B$9,Paramètres!$A$1:$I$89,3,0)*VLOOKUP('Données projet'!$B$9,Paramètres!$A$1:$I$89,5,0)</f>
        <v>294.05999999999995</v>
      </c>
      <c r="P88" s="14">
        <f t="shared" si="87"/>
        <v>69.929765653573313</v>
      </c>
      <c r="Q88" s="22">
        <f t="shared" si="54"/>
        <v>633.94884184664011</v>
      </c>
      <c r="R88" s="60">
        <f t="shared" si="55"/>
        <v>913.71655362366459</v>
      </c>
      <c r="S88" s="60">
        <f ca="1">AVERAGE(OFFSET($R$3,0,0,'Données projet'!$E$9+1,1))-AVERAGE(OFFSET($H$3,0,0,'Données projet'!$E$9+1,1))</f>
        <v>503.64055031157477</v>
      </c>
      <c r="T88" s="60">
        <f t="shared" si="88"/>
        <v>266.76572540460842</v>
      </c>
      <c r="U88" s="16">
        <f>IF(ISNA(VLOOKUP(A88,'Données projet'!$A$35:$I$55,3,0)),0,VLOOKUP(A88,'Données projet'!$A$35:$I$55,3,0))</f>
        <v>7</v>
      </c>
      <c r="V88" s="16">
        <f>IF(ISNA(VLOOKUP(A88,'Données projet'!$A$35:$I$55,4,0)),0,VLOOKUP(A88,'Données projet'!$A$35:$I$55,4,0))</f>
        <v>42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66.300285030097569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290</v>
      </c>
      <c r="AG88" s="13">
        <f>VLOOKUP(A88,'Données projet'!$A$61:$I$81,9,0)</f>
        <v>5.8</v>
      </c>
      <c r="AH88" s="13">
        <f t="array" ref="AH88">INDEX(AG:AG,MIN(IF(ISNUMBER(AG88:AG284),ROW(AG88:AG284),"")))</f>
        <v>5.8</v>
      </c>
      <c r="AI88" s="14">
        <f>IF('Données projet'!$A$62&gt;35,AI87+AH88-AQ87,IF(A88&lt;'Données projet'!$A$62,$AF$205^A88,IF(A88='Données projet'!$A$62,'Données projet'!$B$62,AI87+AH88-AQ87)))</f>
        <v>289.99999999999994</v>
      </c>
      <c r="AJ88" s="14">
        <f>AI88*VLOOKUP('Données projet'!$B$10,Paramètres!$A$1:$I$89,3,0)*VLOOKUP('Données projet'!$B$10,Paramètres!$A$1:$I$89,5,0)</f>
        <v>262.39199999999994</v>
      </c>
      <c r="AK88" s="14">
        <f t="shared" si="89"/>
        <v>63.231983614474942</v>
      </c>
      <c r="AL88" s="22">
        <f t="shared" si="58"/>
        <v>567.12843812854373</v>
      </c>
      <c r="AM88" s="60">
        <f t="shared" si="59"/>
        <v>846.89614990556811</v>
      </c>
      <c r="AN88" s="60">
        <f ca="1">AVERAGE(OFFSET($AM$3,0,0,'Données projet'!$E$10+1,1))-AVERAGE(OFFSET($H$3,0,0,'Données projet'!$E$10+1,1))</f>
        <v>456.86058467343139</v>
      </c>
      <c r="AO88" s="60">
        <f t="shared" si="90"/>
        <v>243.88495931574937</v>
      </c>
      <c r="AP88" s="16">
        <f>IF(ISNA(VLOOKUP(A88,'Données projet'!$A$61:$I$81,3,0)),0,VLOOKUP(A88,'Données projet'!$A$61:$I$81,3,0))</f>
        <v>7</v>
      </c>
      <c r="AQ88" s="16">
        <f>IF(ISNA(VLOOKUP(A88,'Données projet'!$A$61:$I$81,4,0)),0,VLOOKUP(A88,'Données projet'!$A$61:$I$81,4,0))</f>
        <v>42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66.300285030097569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276.92307692307691</v>
      </c>
      <c r="BB88" s="13">
        <f>VLOOKUP(A88,'Données projet'!$A$87:$I$107,9,0)</f>
        <v>3.9743589743589722</v>
      </c>
      <c r="BC88" s="13">
        <f t="array" ref="BC88">INDEX(BB:BB,MIN(IF(ISNUMBER(BB88:BB284),ROW(BB88:BB284),"")))</f>
        <v>3.9743589743589722</v>
      </c>
      <c r="BD88" s="13">
        <f>IF('Données projet'!$A$88&gt;35,BD87+BC88-BL87,IF(A88&lt;'Données projet'!$A$88,$BA$205^A88,IF(A88='Données projet'!$A$88,'Données projet'!$B$88,BD87+BC88-BL87)))</f>
        <v>276.92307692307662</v>
      </c>
      <c r="BE88" s="14">
        <f>BD88*VLOOKUP('Données projet'!$B$11,Paramètres!$A$1:$I$89,3,0)*VLOOKUP('Données projet'!$B$11,Paramètres!$A$1:$I$89,5,0)</f>
        <v>289.43999999999971</v>
      </c>
      <c r="BF88" s="14">
        <f t="shared" si="91"/>
        <v>68.958086081193898</v>
      </c>
      <c r="BG88" s="22">
        <f t="shared" si="61"/>
        <v>624.20999992474549</v>
      </c>
      <c r="BH88" s="60">
        <f t="shared" si="62"/>
        <v>903.97771170176998</v>
      </c>
      <c r="BI88" s="60">
        <f ca="1">AVERAGE(OFFSET($BH$3,0,0,'Données projet'!$E$11+1,1))-AVERAGE(OFFSET($H$3,0,0,'Données projet'!$E$11+1,1))</f>
        <v>518.47226207416952</v>
      </c>
      <c r="BJ88" s="60">
        <f t="shared" si="92"/>
        <v>314.6379787306804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66.300285030097569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290</v>
      </c>
      <c r="BW88" s="13">
        <f>VLOOKUP(A88,'Données projet'!$A$113:$I$133,9,0)</f>
        <v>5.8</v>
      </c>
      <c r="BX88" s="13">
        <f t="array" ref="BX88">INDEX(BW:BW,MIN(IF(ISNUMBER(BW88:BW284),ROW(BW88:BW284),"")))</f>
        <v>5.8</v>
      </c>
      <c r="BY88" s="13">
        <f>IF('Données projet'!$A$114&gt;35,BY87+BX88-CG87,IF(A88&lt;'Données projet'!$A$114,$BV$205^A88,IF(A88='Données projet'!$A$114,'Données projet'!$B$114,BY87+BX88-CG87)))</f>
        <v>289.99999999999994</v>
      </c>
      <c r="BZ88" s="14">
        <f>BY88*VLOOKUP('Données projet'!$B$12,Paramètres!$A$1:$I$89,3,0)*VLOOKUP('Données projet'!$B$12,Paramètres!$A$1:$I$89,5,0)</f>
        <v>312.15599999999989</v>
      </c>
      <c r="CA88" s="14">
        <f t="shared" si="93"/>
        <v>73.718907001002492</v>
      </c>
      <c r="CB88" s="22">
        <f t="shared" si="64"/>
        <v>672.06546302674576</v>
      </c>
      <c r="CC88" s="60">
        <f t="shared" si="65"/>
        <v>951.83317480377013</v>
      </c>
      <c r="CD88" s="60">
        <f ca="1">AVERAGE(OFFSET($CC$3,0,0,'Données projet'!$E$12+1,1))-AVERAGE(OFFSET($H$3,0,0,'Données projet'!$E$12+1,1))</f>
        <v>530.32456073177104</v>
      </c>
      <c r="CE88" s="60">
        <f t="shared" si="94"/>
        <v>279.81519428470625</v>
      </c>
      <c r="CF88" s="16">
        <f>IF(ISNA(VLOOKUP(A88,'Données projet'!$A$113:$I$133,3,0)),0,VLOOKUP(A88,'Données projet'!$A$113:$I$133,3,0))</f>
        <v>7</v>
      </c>
      <c r="CG88" s="16">
        <f>IF(ISNA(VLOOKUP(A88,'Données projet'!$A$113:$I$133,4,0)),0,VLOOKUP(A88,'Données projet'!$A$113:$I$133,4,0))</f>
        <v>42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66.300285030097569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3.4106051316484809E-13</v>
      </c>
      <c r="CU88" s="18">
        <f>CT88*VLOOKUP('Données projet'!$B$13,Paramètres!$A$1:$I$89,3,0)*VLOOKUP('Données projet'!$B$13,Paramètres!$A$1:$I$89,5,0)</f>
        <v>2.9795046430081134E-13</v>
      </c>
      <c r="CV88" s="14">
        <f t="shared" si="95"/>
        <v>3.9419014464513778E-12</v>
      </c>
      <c r="CW88" s="22">
        <f t="shared" si="67"/>
        <v>7.384408744560063E-12</v>
      </c>
      <c r="CX88" s="60">
        <f t="shared" si="68"/>
        <v>279.76771177703182</v>
      </c>
      <c r="CY88" s="60">
        <f ca="1">AVERAGE(OFFSET($CX$3,0,0,'Données projet'!$E$13+1,1))-AVERAGE(OFFSET($H$3,0,0,'Données projet'!$E$13+1,1))</f>
        <v>355.03862261578701</v>
      </c>
      <c r="CZ88" s="60">
        <f t="shared" si="96"/>
        <v>382.84441399266029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66.300285030097569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1.1368683772161603E-13</v>
      </c>
      <c r="DP88" s="18">
        <f>DO88*VLOOKUP('Données projet'!$B$14,Paramètres!$A$1:$I$89,3,0)*VLOOKUP('Données projet'!$B$14,Paramètres!$A$1:$I$89,5,0)</f>
        <v>8.8675733422860506E-14</v>
      </c>
      <c r="DQ88" s="14">
        <f t="shared" si="97"/>
        <v>1.3509285393066301E-12</v>
      </c>
      <c r="DR88" s="22">
        <f t="shared" si="70"/>
        <v>2.5073107750038623E-12</v>
      </c>
      <c r="DS88" s="60">
        <f t="shared" si="71"/>
        <v>279.76771177702693</v>
      </c>
      <c r="DT88" s="60">
        <f ca="1">AVERAGE(OFFSET($DS$3,0,0,'Données projet'!$E$14+1,1))-AVERAGE(OFFSET($H$3,0,0,'Données projet'!$E$14+1,1))</f>
        <v>305.68891030516761</v>
      </c>
      <c r="DU88" s="60">
        <f t="shared" si="98"/>
        <v>296.00275062228275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66.300285030097569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>
        <f>VLOOKUP(A88,'Données projet'!$A$191:$I$211,2,0)</f>
        <v>290</v>
      </c>
      <c r="EH88" s="13">
        <f>VLOOKUP(A88,'Données projet'!$A$191:$I$211,9,0)</f>
        <v>5.8</v>
      </c>
      <c r="EI88" s="13">
        <f t="array" ref="EI88">INDEX(EH:EH,MIN(IF(ISNUMBER(EH88:EH284),ROW(EH88:EH284),"")))</f>
        <v>5.8</v>
      </c>
      <c r="EJ88" s="13">
        <f>IF('Données projet'!$A$192&gt;35,EJ87+EI88-ER87,IF(A88&lt;'Données projet'!$A$192,$EG$205^A88,IF(A88='Données projet'!$A$192,'Données projet'!$B$192,EJ87+EI88-ER87)))</f>
        <v>289.99999999999994</v>
      </c>
      <c r="EK88" s="18">
        <f>EJ88*VLOOKUP('Données projet'!$B$15,Paramètres!$A$1:$I$89,3,0)*VLOOKUP('Données projet'!$B$15,Paramètres!$A$1:$I$89,5,0)</f>
        <v>280.48799999999994</v>
      </c>
      <c r="EL88" s="14">
        <f t="shared" si="99"/>
        <v>67.070126855467564</v>
      </c>
      <c r="EM88" s="22">
        <f t="shared" si="73"/>
        <v>605.33040427327262</v>
      </c>
      <c r="EN88" s="60">
        <f t="shared" si="74"/>
        <v>885.09811605029699</v>
      </c>
      <c r="EO88" s="60">
        <f ca="1">AVERAGE(OFFSET($EN$3,0,0,'Données projet'!$E$15+1,1))-AVERAGE(OFFSET($H$3,0,0,'Données projet'!$E$15+1,1))</f>
        <v>483.60545605360528</v>
      </c>
      <c r="EP88" s="60">
        <f t="shared" si="100"/>
        <v>256.96685577560345</v>
      </c>
      <c r="EQ88" s="16">
        <f>IF(ISNA(VLOOKUP(A88,'Données projet'!$A$191:$I$211,3,0)),0,VLOOKUP(A88,'Données projet'!$A$191:$I$211,3,0))</f>
        <v>7</v>
      </c>
      <c r="ER88" s="16">
        <f>IF(ISNA(VLOOKUP(A88,'Données projet'!$A$191:$I$211,4,0)),0,VLOOKUP(A88,'Données projet'!$A$191:$I$211,4,0))</f>
        <v>42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66.300285030097569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0" t="e">
        <f t="shared" si="77"/>
        <v>#N/A</v>
      </c>
      <c r="FJ88" s="60" t="e">
        <f ca="1">AVERAGE(OFFSET($FI$3,0,0,'Données projet'!$E$16+1,1))-AVERAGE(OFFSET($H$3,0,0,'Données projet'!$E$16+1,1))</f>
        <v>#N/A</v>
      </c>
      <c r="FK88" s="60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66.300285030097569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0" t="e">
        <f t="shared" si="80"/>
        <v>#N/A</v>
      </c>
      <c r="GE88" s="60" t="e">
        <f ca="1">AVERAGE(OFFSET($GD$3,0,0,'Données projet'!$E$17+1,1))-AVERAGE(OFFSET($H$3,0,0,'Données projet'!$E$17+1,1))</f>
        <v>#N/A</v>
      </c>
      <c r="GF88" s="60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66.300285030097569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4">
        <f>'Scénario référence'!$B$16*5+'Scénario référence'!$B$17*0+'Scénario référence'!$B$18*5</f>
        <v>3.2750000000000004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12.008333333333335</v>
      </c>
      <c r="H89" s="67">
        <f t="shared" si="56"/>
        <v>208.63333333333333</v>
      </c>
      <c r="I89" s="7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66.364466813501835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5.2</v>
      </c>
      <c r="N89" s="14">
        <f>IF('Données projet'!$A$36&gt;35,N88+M89-V88,IF(A89&lt;'Données projet'!$A$36,$K$205^A89,IF(A89='Données projet'!$A$36,'Données projet'!$B$36,N88+M89-V88)))</f>
        <v>253.19999999999993</v>
      </c>
      <c r="O89" s="14">
        <f>N89*VLOOKUP('Données projet'!$B$9,Paramètres!$A$1:$I$89,3,0)*VLOOKUP('Données projet'!$B$9,Paramètres!$A$1:$I$89,5,0)</f>
        <v>256.74479999999994</v>
      </c>
      <c r="P89" s="14">
        <f t="shared" si="87"/>
        <v>62.02799288712616</v>
      </c>
      <c r="Q89" s="22">
        <f t="shared" si="54"/>
        <v>555.1959476117446</v>
      </c>
      <c r="R89" s="60">
        <f t="shared" si="55"/>
        <v>835.19899259458475</v>
      </c>
      <c r="S89" s="60">
        <f ca="1">AVERAGE(OFFSET($R$3,0,0,'Données projet'!$E$9+1,1))-AVERAGE(OFFSET($H$3,0,0,'Données projet'!$E$9+1,1))</f>
        <v>503.64055031157477</v>
      </c>
      <c r="T89" s="60">
        <f t="shared" si="88"/>
        <v>266.76572540460842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66.364466813501835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5.2</v>
      </c>
      <c r="AI89" s="14">
        <f>IF('Données projet'!$A$62&gt;35,AI88+AH89-AQ88,IF(A89&lt;'Données projet'!$A$62,$AF$205^A89,IF(A89='Données projet'!$A$62,'Données projet'!$B$62,AI88+AH89-AQ88)))</f>
        <v>253.19999999999993</v>
      </c>
      <c r="AJ89" s="14">
        <f>AI89*VLOOKUP('Données projet'!$B$10,Paramètres!$A$1:$I$89,3,0)*VLOOKUP('Données projet'!$B$10,Paramètres!$A$1:$I$89,5,0)</f>
        <v>229.09535999999991</v>
      </c>
      <c r="AK89" s="14">
        <f t="shared" si="89"/>
        <v>56.087032370558362</v>
      </c>
      <c r="AL89" s="22">
        <f t="shared" si="58"/>
        <v>496.69266671205565</v>
      </c>
      <c r="AM89" s="60">
        <f t="shared" si="59"/>
        <v>776.69571169489575</v>
      </c>
      <c r="AN89" s="60">
        <f ca="1">AVERAGE(OFFSET($AM$3,0,0,'Données projet'!$E$10+1,1))-AVERAGE(OFFSET($H$3,0,0,'Données projet'!$E$10+1,1))</f>
        <v>456.86058467343139</v>
      </c>
      <c r="AO89" s="60">
        <f t="shared" si="90"/>
        <v>243.88495931574937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66.364466813501835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3.8461538461538454</v>
      </c>
      <c r="BD89" s="13">
        <f>IF('Données projet'!$A$88&gt;35,BD88+BC89-BL88,IF(A89&lt;'Données projet'!$A$88,$BA$205^A89,IF(A89='Données projet'!$A$88,'Données projet'!$B$88,BD88+BC89-BL88)))</f>
        <v>280.76923076923049</v>
      </c>
      <c r="BE89" s="14">
        <f>BD89*VLOOKUP('Données projet'!$B$11,Paramètres!$A$1:$I$89,3,0)*VLOOKUP('Données projet'!$B$11,Paramètres!$A$1:$I$89,5,0)</f>
        <v>293.45999999999975</v>
      </c>
      <c r="BF89" s="14">
        <f t="shared" si="91"/>
        <v>69.803674480051043</v>
      </c>
      <c r="BG89" s="22">
        <f t="shared" si="61"/>
        <v>632.68423305275508</v>
      </c>
      <c r="BH89" s="60">
        <f t="shared" si="62"/>
        <v>912.68727803559523</v>
      </c>
      <c r="BI89" s="60">
        <f ca="1">AVERAGE(OFFSET($BH$3,0,0,'Données projet'!$E$11+1,1))-AVERAGE(OFFSET($H$3,0,0,'Données projet'!$E$11+1,1))</f>
        <v>518.47226207416952</v>
      </c>
      <c r="BJ89" s="60">
        <f t="shared" si="92"/>
        <v>314.6379787306804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66.364466813501835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5.2</v>
      </c>
      <c r="BY89" s="13">
        <f>IF('Données projet'!$A$114&gt;35,BY88+BX89-CG88,IF(A89&lt;'Données projet'!$A$114,$BV$205^A89,IF(A89='Données projet'!$A$114,'Données projet'!$B$114,BY88+BX89-CG88)))</f>
        <v>253.19999999999993</v>
      </c>
      <c r="BZ89" s="14">
        <f>BY89*VLOOKUP('Données projet'!$B$12,Paramètres!$A$1:$I$89,3,0)*VLOOKUP('Données projet'!$B$12,Paramètres!$A$1:$I$89,5,0)</f>
        <v>272.54447999999991</v>
      </c>
      <c r="CA89" s="14">
        <f t="shared" si="93"/>
        <v>65.388977016702498</v>
      </c>
      <c r="CB89" s="22">
        <f t="shared" si="64"/>
        <v>588.56743763742327</v>
      </c>
      <c r="CC89" s="60">
        <f t="shared" si="65"/>
        <v>868.57048262026342</v>
      </c>
      <c r="CD89" s="60">
        <f ca="1">AVERAGE(OFFSET($CC$3,0,0,'Données projet'!$E$12+1,1))-AVERAGE(OFFSET($H$3,0,0,'Données projet'!$E$12+1,1))</f>
        <v>530.32456073177104</v>
      </c>
      <c r="CE89" s="60">
        <f t="shared" si="94"/>
        <v>279.81519428470625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66.364466813501835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3.4106051316484809E-13</v>
      </c>
      <c r="CU89" s="18">
        <f>CT89*VLOOKUP('Données projet'!$B$13,Paramètres!$A$1:$I$89,3,0)*VLOOKUP('Données projet'!$B$13,Paramètres!$A$1:$I$89,5,0)</f>
        <v>2.9795046430081134E-13</v>
      </c>
      <c r="CV89" s="14">
        <f t="shared" si="95"/>
        <v>3.9419014464513778E-12</v>
      </c>
      <c r="CW89" s="22">
        <f t="shared" si="67"/>
        <v>7.384408744560063E-12</v>
      </c>
      <c r="CX89" s="60">
        <f t="shared" si="68"/>
        <v>280.00304498284748</v>
      </c>
      <c r="CY89" s="60">
        <f ca="1">AVERAGE(OFFSET($CX$3,0,0,'Données projet'!$E$13+1,1))-AVERAGE(OFFSET($H$3,0,0,'Données projet'!$E$13+1,1))</f>
        <v>355.03862261578701</v>
      </c>
      <c r="CZ89" s="60">
        <f t="shared" si="96"/>
        <v>382.84441399266029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66.364466813501835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1.1368683772161603E-13</v>
      </c>
      <c r="DP89" s="18">
        <f>DO89*VLOOKUP('Données projet'!$B$14,Paramètres!$A$1:$I$89,3,0)*VLOOKUP('Données projet'!$B$14,Paramètres!$A$1:$I$89,5,0)</f>
        <v>8.8675733422860506E-14</v>
      </c>
      <c r="DQ89" s="14">
        <f t="shared" si="97"/>
        <v>1.3509285393066301E-12</v>
      </c>
      <c r="DR89" s="22">
        <f t="shared" si="70"/>
        <v>2.5073107750038623E-12</v>
      </c>
      <c r="DS89" s="60">
        <f t="shared" si="71"/>
        <v>280.0030449828426</v>
      </c>
      <c r="DT89" s="60">
        <f ca="1">AVERAGE(OFFSET($DS$3,0,0,'Données projet'!$E$14+1,1))-AVERAGE(OFFSET($H$3,0,0,'Données projet'!$E$14+1,1))</f>
        <v>305.68891030516761</v>
      </c>
      <c r="DU89" s="60">
        <f t="shared" si="98"/>
        <v>296.00275062228275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66.364466813501835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5.2</v>
      </c>
      <c r="EJ89" s="13">
        <f>IF('Données projet'!$A$192&gt;35,EJ88+EI89-ER88,IF(A89&lt;'Données projet'!$A$192,$EG$205^A89,IF(A89='Données projet'!$A$192,'Données projet'!$B$192,EJ88+EI89-ER88)))</f>
        <v>253.19999999999993</v>
      </c>
      <c r="EK89" s="18">
        <f>EJ89*VLOOKUP('Données projet'!$B$15,Paramètres!$A$1:$I$89,3,0)*VLOOKUP('Données projet'!$B$15,Paramètres!$A$1:$I$89,5,0)</f>
        <v>244.89503999999994</v>
      </c>
      <c r="EL89" s="14">
        <f t="shared" si="99"/>
        <v>59.491481383464382</v>
      </c>
      <c r="EM89" s="22">
        <f t="shared" si="73"/>
        <v>530.13985807620031</v>
      </c>
      <c r="EN89" s="60">
        <f t="shared" si="74"/>
        <v>810.14290305904046</v>
      </c>
      <c r="EO89" s="60">
        <f ca="1">AVERAGE(OFFSET($EN$3,0,0,'Données projet'!$E$15+1,1))-AVERAGE(OFFSET($H$3,0,0,'Données projet'!$E$15+1,1))</f>
        <v>483.60545605360528</v>
      </c>
      <c r="EP89" s="60">
        <f t="shared" si="100"/>
        <v>256.96685577560345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66.364466813501835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0" t="e">
        <f t="shared" si="77"/>
        <v>#N/A</v>
      </c>
      <c r="FJ89" s="60" t="e">
        <f ca="1">AVERAGE(OFFSET($FI$3,0,0,'Données projet'!$E$16+1,1))-AVERAGE(OFFSET($H$3,0,0,'Données projet'!$E$16+1,1))</f>
        <v>#N/A</v>
      </c>
      <c r="FK89" s="60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66.364466813501835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0" t="e">
        <f t="shared" si="80"/>
        <v>#N/A</v>
      </c>
      <c r="GE89" s="60" t="e">
        <f ca="1">AVERAGE(OFFSET($GD$3,0,0,'Données projet'!$E$17+1,1))-AVERAGE(OFFSET($H$3,0,0,'Données projet'!$E$17+1,1))</f>
        <v>#N/A</v>
      </c>
      <c r="GF89" s="60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66.364466813501835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4">
        <f>'Scénario référence'!$B$16*5+'Scénario référence'!$B$17*0+'Scénario référence'!$B$18*5</f>
        <v>3.2750000000000004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12.008333333333335</v>
      </c>
      <c r="H90" s="67">
        <f t="shared" si="56"/>
        <v>208.63333333333333</v>
      </c>
      <c r="I90" s="7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66.427535186452999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5.2</v>
      </c>
      <c r="N90" s="14">
        <f>IF('Données projet'!$A$36&gt;35,N89+M90-V89,IF(A90&lt;'Données projet'!$A$36,$K$205^A90,IF(A90='Données projet'!$A$36,'Données projet'!$B$36,N89+M90-V89)))</f>
        <v>258.39999999999992</v>
      </c>
      <c r="O90" s="14">
        <f>N90*VLOOKUP('Données projet'!$B$9,Paramètres!$A$1:$I$89,3,0)*VLOOKUP('Données projet'!$B$9,Paramètres!$A$1:$I$89,5,0)</f>
        <v>262.01759999999996</v>
      </c>
      <c r="P90" s="14">
        <f t="shared" si="87"/>
        <v>63.15225506797816</v>
      </c>
      <c r="Q90" s="22">
        <f t="shared" si="54"/>
        <v>566.33749757672854</v>
      </c>
      <c r="R90" s="60">
        <f t="shared" si="55"/>
        <v>846.57179326038954</v>
      </c>
      <c r="S90" s="60">
        <f ca="1">AVERAGE(OFFSET($R$3,0,0,'Données projet'!$E$9+1,1))-AVERAGE(OFFSET($H$3,0,0,'Données projet'!$E$9+1,1))</f>
        <v>503.64055031157477</v>
      </c>
      <c r="T90" s="60">
        <f t="shared" si="88"/>
        <v>266.76572540460842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66.427535186452999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5.2</v>
      </c>
      <c r="AI90" s="14">
        <f>IF('Données projet'!$A$62&gt;35,AI89+AH90-AQ89,IF(A90&lt;'Données projet'!$A$62,$AF$205^A90,IF(A90='Données projet'!$A$62,'Données projet'!$B$62,AI89+AH90-AQ89)))</f>
        <v>258.39999999999992</v>
      </c>
      <c r="AJ90" s="14">
        <f>AI90*VLOOKUP('Données projet'!$B$10,Paramètres!$A$1:$I$89,3,0)*VLOOKUP('Données projet'!$B$10,Paramètres!$A$1:$I$89,5,0)</f>
        <v>233.80031999999994</v>
      </c>
      <c r="AK90" s="14">
        <f t="shared" si="89"/>
        <v>57.103614181373779</v>
      </c>
      <c r="AL90" s="22">
        <f t="shared" si="58"/>
        <v>506.65768536589252</v>
      </c>
      <c r="AM90" s="60">
        <f t="shared" si="59"/>
        <v>786.89198104955358</v>
      </c>
      <c r="AN90" s="60">
        <f ca="1">AVERAGE(OFFSET($AM$3,0,0,'Données projet'!$E$10+1,1))-AVERAGE(OFFSET($H$3,0,0,'Données projet'!$E$10+1,1))</f>
        <v>456.86058467343139</v>
      </c>
      <c r="AO90" s="60">
        <f t="shared" si="90"/>
        <v>243.88495931574937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66.427535186452999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3.8461538461538454</v>
      </c>
      <c r="BD90" s="13">
        <f>IF('Données projet'!$A$88&gt;35,BD89+BC90-BL89,IF(A90&lt;'Données projet'!$A$88,$BA$205^A90,IF(A90='Données projet'!$A$88,'Données projet'!$B$88,BD89+BC90-BL89)))</f>
        <v>284.61538461538436</v>
      </c>
      <c r="BE90" s="14">
        <f>BD90*VLOOKUP('Données projet'!$B$11,Paramètres!$A$1:$I$89,3,0)*VLOOKUP('Données projet'!$B$11,Paramètres!$A$1:$I$89,5,0)</f>
        <v>297.47999999999979</v>
      </c>
      <c r="BF90" s="14">
        <f t="shared" si="91"/>
        <v>70.647915600656845</v>
      </c>
      <c r="BG90" s="22">
        <f t="shared" si="61"/>
        <v>641.15611967114364</v>
      </c>
      <c r="BH90" s="60">
        <f t="shared" si="62"/>
        <v>921.39041535480465</v>
      </c>
      <c r="BI90" s="60">
        <f ca="1">AVERAGE(OFFSET($BH$3,0,0,'Données projet'!$E$11+1,1))-AVERAGE(OFFSET($H$3,0,0,'Données projet'!$E$11+1,1))</f>
        <v>518.47226207416952</v>
      </c>
      <c r="BJ90" s="60">
        <f t="shared" si="92"/>
        <v>314.6379787306804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66.427535186452999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5.2</v>
      </c>
      <c r="BY90" s="13">
        <f>IF('Données projet'!$A$114&gt;35,BY89+BX90-CG89,IF(A90&lt;'Données projet'!$A$114,$BV$205^A90,IF(A90='Données projet'!$A$114,'Données projet'!$B$114,BY89+BX90-CG89)))</f>
        <v>258.39999999999992</v>
      </c>
      <c r="BZ90" s="14">
        <f>BY90*VLOOKUP('Données projet'!$B$12,Paramètres!$A$1:$I$89,3,0)*VLOOKUP('Données projet'!$B$12,Paramètres!$A$1:$I$89,5,0)</f>
        <v>278.14175999999992</v>
      </c>
      <c r="CA90" s="14">
        <f t="shared" si="93"/>
        <v>66.574157295520351</v>
      </c>
      <c r="CB90" s="22">
        <f t="shared" si="64"/>
        <v>600.38022262303105</v>
      </c>
      <c r="CC90" s="60">
        <f t="shared" si="65"/>
        <v>880.61451830669205</v>
      </c>
      <c r="CD90" s="60">
        <f ca="1">AVERAGE(OFFSET($CC$3,0,0,'Données projet'!$E$12+1,1))-AVERAGE(OFFSET($H$3,0,0,'Données projet'!$E$12+1,1))</f>
        <v>530.32456073177104</v>
      </c>
      <c r="CE90" s="60">
        <f t="shared" si="94"/>
        <v>279.81519428470625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66.427535186452999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3.4106051316484809E-13</v>
      </c>
      <c r="CU90" s="18">
        <f>CT90*VLOOKUP('Données projet'!$B$13,Paramètres!$A$1:$I$89,3,0)*VLOOKUP('Données projet'!$B$13,Paramètres!$A$1:$I$89,5,0)</f>
        <v>2.9795046430081134E-13</v>
      </c>
      <c r="CV90" s="14">
        <f t="shared" si="95"/>
        <v>3.9419014464513778E-12</v>
      </c>
      <c r="CW90" s="22">
        <f t="shared" si="67"/>
        <v>7.384408744560063E-12</v>
      </c>
      <c r="CX90" s="60">
        <f t="shared" si="68"/>
        <v>280.23429568366839</v>
      </c>
      <c r="CY90" s="60">
        <f ca="1">AVERAGE(OFFSET($CX$3,0,0,'Données projet'!$E$13+1,1))-AVERAGE(OFFSET($H$3,0,0,'Données projet'!$E$13+1,1))</f>
        <v>355.03862261578701</v>
      </c>
      <c r="CZ90" s="60">
        <f t="shared" si="96"/>
        <v>382.84441399266029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66.427535186452999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1.1368683772161603E-13</v>
      </c>
      <c r="DP90" s="18">
        <f>DO90*VLOOKUP('Données projet'!$B$14,Paramètres!$A$1:$I$89,3,0)*VLOOKUP('Données projet'!$B$14,Paramètres!$A$1:$I$89,5,0)</f>
        <v>8.8675733422860506E-14</v>
      </c>
      <c r="DQ90" s="14">
        <f t="shared" si="97"/>
        <v>1.3509285393066301E-12</v>
      </c>
      <c r="DR90" s="22">
        <f t="shared" si="70"/>
        <v>2.5073107750038623E-12</v>
      </c>
      <c r="DS90" s="60">
        <f t="shared" si="71"/>
        <v>280.2342956836635</v>
      </c>
      <c r="DT90" s="60">
        <f ca="1">AVERAGE(OFFSET($DS$3,0,0,'Données projet'!$E$14+1,1))-AVERAGE(OFFSET($H$3,0,0,'Données projet'!$E$14+1,1))</f>
        <v>305.68891030516761</v>
      </c>
      <c r="DU90" s="60">
        <f t="shared" si="98"/>
        <v>296.00275062228275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66.427535186452999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5.2</v>
      </c>
      <c r="EJ90" s="13">
        <f>IF('Données projet'!$A$192&gt;35,EJ89+EI90-ER89,IF(A90&lt;'Données projet'!$A$192,$EG$205^A90,IF(A90='Données projet'!$A$192,'Données projet'!$B$192,EJ89+EI90-ER89)))</f>
        <v>258.39999999999992</v>
      </c>
      <c r="EK90" s="18">
        <f>EJ90*VLOOKUP('Données projet'!$B$15,Paramètres!$A$1:$I$89,3,0)*VLOOKUP('Données projet'!$B$15,Paramètres!$A$1:$I$89,5,0)</f>
        <v>249.92447999999993</v>
      </c>
      <c r="EL90" s="14">
        <f t="shared" si="99"/>
        <v>60.569769096626466</v>
      </c>
      <c r="EM90" s="22">
        <f t="shared" si="73"/>
        <v>540.77748384329095</v>
      </c>
      <c r="EN90" s="60">
        <f t="shared" si="74"/>
        <v>821.01177952695195</v>
      </c>
      <c r="EO90" s="60">
        <f ca="1">AVERAGE(OFFSET($EN$3,0,0,'Données projet'!$E$15+1,1))-AVERAGE(OFFSET($H$3,0,0,'Données projet'!$E$15+1,1))</f>
        <v>483.60545605360528</v>
      </c>
      <c r="EP90" s="60">
        <f t="shared" si="100"/>
        <v>256.96685577560345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66.427535186452999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0" t="e">
        <f t="shared" si="77"/>
        <v>#N/A</v>
      </c>
      <c r="FJ90" s="60" t="e">
        <f ca="1">AVERAGE(OFFSET($FI$3,0,0,'Données projet'!$E$16+1,1))-AVERAGE(OFFSET($H$3,0,0,'Données projet'!$E$16+1,1))</f>
        <v>#N/A</v>
      </c>
      <c r="FK90" s="60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66.427535186452999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0" t="e">
        <f t="shared" si="80"/>
        <v>#N/A</v>
      </c>
      <c r="GE90" s="60" t="e">
        <f ca="1">AVERAGE(OFFSET($GD$3,0,0,'Données projet'!$E$17+1,1))-AVERAGE(OFFSET($H$3,0,0,'Données projet'!$E$17+1,1))</f>
        <v>#N/A</v>
      </c>
      <c r="GF90" s="60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66.427535186452999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4">
        <f>'Scénario référence'!$B$16*5+'Scénario référence'!$B$17*0+'Scénario référence'!$B$18*5</f>
        <v>3.2750000000000004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12.008333333333335</v>
      </c>
      <c r="H91" s="67">
        <f t="shared" si="56"/>
        <v>208.63333333333333</v>
      </c>
      <c r="I91" s="7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66.489509464133249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5.2</v>
      </c>
      <c r="N91" s="14">
        <f>IF('Données projet'!$A$36&gt;35,N90+M91-V90,IF(A91&lt;'Données projet'!$A$36,$K$205^A91,IF(A91='Données projet'!$A$36,'Données projet'!$B$36,N90+M91-V90)))</f>
        <v>263.59999999999991</v>
      </c>
      <c r="O91" s="14">
        <f>N91*VLOOKUP('Données projet'!$B$9,Paramètres!$A$1:$I$89,3,0)*VLOOKUP('Données projet'!$B$9,Paramètres!$A$1:$I$89,5,0)</f>
        <v>267.29039999999992</v>
      </c>
      <c r="P91" s="14">
        <f t="shared" si="87"/>
        <v>64.273886654661325</v>
      </c>
      <c r="Q91" s="22">
        <f t="shared" si="54"/>
        <v>577.47446592353504</v>
      </c>
      <c r="R91" s="60">
        <f t="shared" si="55"/>
        <v>857.93600062535688</v>
      </c>
      <c r="S91" s="60">
        <f ca="1">AVERAGE(OFFSET($R$3,0,0,'Données projet'!$E$9+1,1))-AVERAGE(OFFSET($H$3,0,0,'Données projet'!$E$9+1,1))</f>
        <v>503.64055031157477</v>
      </c>
      <c r="T91" s="60">
        <f t="shared" si="88"/>
        <v>266.76572540460842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66.489509464133249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5.2</v>
      </c>
      <c r="AI91" s="14">
        <f>IF('Données projet'!$A$62&gt;35,AI90+AH91-AQ90,IF(A91&lt;'Données projet'!$A$62,$AF$205^A91,IF(A91='Données projet'!$A$62,'Données projet'!$B$62,AI90+AH91-AQ90)))</f>
        <v>263.59999999999991</v>
      </c>
      <c r="AJ91" s="14">
        <f>AI91*VLOOKUP('Données projet'!$B$10,Paramètres!$A$1:$I$89,3,0)*VLOOKUP('Données projet'!$B$10,Paramètres!$A$1:$I$89,5,0)</f>
        <v>238.50527999999991</v>
      </c>
      <c r="AK91" s="14">
        <f t="shared" si="89"/>
        <v>58.117817352909881</v>
      </c>
      <c r="AL91" s="22">
        <f t="shared" si="58"/>
        <v>516.61856122298445</v>
      </c>
      <c r="AM91" s="60">
        <f t="shared" si="59"/>
        <v>797.0800959248063</v>
      </c>
      <c r="AN91" s="60">
        <f ca="1">AVERAGE(OFFSET($AM$3,0,0,'Données projet'!$E$10+1,1))-AVERAGE(OFFSET($H$3,0,0,'Données projet'!$E$10+1,1))</f>
        <v>456.86058467343139</v>
      </c>
      <c r="AO91" s="60">
        <f t="shared" si="90"/>
        <v>243.88495931574937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66.489509464133249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3.8461538461538454</v>
      </c>
      <c r="BD91" s="13">
        <f>IF('Données projet'!$A$88&gt;35,BD90+BC91-BL90,IF(A91&lt;'Données projet'!$A$88,$BA$205^A91,IF(A91='Données projet'!$A$88,'Données projet'!$B$88,BD90+BC91-BL90)))</f>
        <v>288.46153846153823</v>
      </c>
      <c r="BE91" s="14">
        <f>BD91*VLOOKUP('Données projet'!$B$11,Paramètres!$A$1:$I$89,3,0)*VLOOKUP('Données projet'!$B$11,Paramètres!$A$1:$I$89,5,0)</f>
        <v>301.49999999999977</v>
      </c>
      <c r="BF91" s="14">
        <f t="shared" si="91"/>
        <v>71.490829753972974</v>
      </c>
      <c r="BG91" s="22">
        <f t="shared" si="61"/>
        <v>649.62569515483597</v>
      </c>
      <c r="BH91" s="60">
        <f t="shared" si="62"/>
        <v>930.08722985665781</v>
      </c>
      <c r="BI91" s="60">
        <f ca="1">AVERAGE(OFFSET($BH$3,0,0,'Données projet'!$E$11+1,1))-AVERAGE(OFFSET($H$3,0,0,'Données projet'!$E$11+1,1))</f>
        <v>518.47226207416952</v>
      </c>
      <c r="BJ91" s="60">
        <f t="shared" si="92"/>
        <v>314.6379787306804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66.489509464133249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5.2</v>
      </c>
      <c r="BY91" s="13">
        <f>IF('Données projet'!$A$114&gt;35,BY90+BX91-CG90,IF(A91&lt;'Données projet'!$A$114,$BV$205^A91,IF(A91='Données projet'!$A$114,'Données projet'!$B$114,BY90+BX91-CG90)))</f>
        <v>263.59999999999991</v>
      </c>
      <c r="BZ91" s="14">
        <f>BY91*VLOOKUP('Données projet'!$B$12,Paramètres!$A$1:$I$89,3,0)*VLOOKUP('Données projet'!$B$12,Paramètres!$A$1:$I$89,5,0)</f>
        <v>283.73903999999987</v>
      </c>
      <c r="CA91" s="14">
        <f t="shared" si="93"/>
        <v>67.756564441537463</v>
      </c>
      <c r="CB91" s="22">
        <f t="shared" si="64"/>
        <v>612.18817773567753</v>
      </c>
      <c r="CC91" s="60">
        <f t="shared" si="65"/>
        <v>892.64971243749937</v>
      </c>
      <c r="CD91" s="60">
        <f ca="1">AVERAGE(OFFSET($CC$3,0,0,'Données projet'!$E$12+1,1))-AVERAGE(OFFSET($H$3,0,0,'Données projet'!$E$12+1,1))</f>
        <v>530.32456073177104</v>
      </c>
      <c r="CE91" s="60">
        <f t="shared" si="94"/>
        <v>279.81519428470625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66.489509464133249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3.4106051316484809E-13</v>
      </c>
      <c r="CU91" s="18">
        <f>CT91*VLOOKUP('Données projet'!$B$13,Paramètres!$A$1:$I$89,3,0)*VLOOKUP('Données projet'!$B$13,Paramètres!$A$1:$I$89,5,0)</f>
        <v>2.9795046430081134E-13</v>
      </c>
      <c r="CV91" s="14">
        <f t="shared" si="95"/>
        <v>3.9419014464513778E-12</v>
      </c>
      <c r="CW91" s="22">
        <f t="shared" si="67"/>
        <v>7.384408744560063E-12</v>
      </c>
      <c r="CX91" s="60">
        <f t="shared" si="68"/>
        <v>280.46153470182929</v>
      </c>
      <c r="CY91" s="60">
        <f ca="1">AVERAGE(OFFSET($CX$3,0,0,'Données projet'!$E$13+1,1))-AVERAGE(OFFSET($H$3,0,0,'Données projet'!$E$13+1,1))</f>
        <v>355.03862261578701</v>
      </c>
      <c r="CZ91" s="60">
        <f t="shared" si="96"/>
        <v>382.84441399266029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66.489509464133249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1.1368683772161603E-13</v>
      </c>
      <c r="DP91" s="18">
        <f>DO91*VLOOKUP('Données projet'!$B$14,Paramètres!$A$1:$I$89,3,0)*VLOOKUP('Données projet'!$B$14,Paramètres!$A$1:$I$89,5,0)</f>
        <v>8.8675733422860506E-14</v>
      </c>
      <c r="DQ91" s="14">
        <f t="shared" si="97"/>
        <v>1.3509285393066301E-12</v>
      </c>
      <c r="DR91" s="22">
        <f t="shared" si="70"/>
        <v>2.5073107750038623E-12</v>
      </c>
      <c r="DS91" s="60">
        <f t="shared" si="71"/>
        <v>280.46153470182441</v>
      </c>
      <c r="DT91" s="60">
        <f ca="1">AVERAGE(OFFSET($DS$3,0,0,'Données projet'!$E$14+1,1))-AVERAGE(OFFSET($H$3,0,0,'Données projet'!$E$14+1,1))</f>
        <v>305.68891030516761</v>
      </c>
      <c r="DU91" s="60">
        <f t="shared" si="98"/>
        <v>296.00275062228275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66.489509464133249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5.2</v>
      </c>
      <c r="EJ91" s="13">
        <f>IF('Données projet'!$A$192&gt;35,EJ90+EI91-ER90,IF(A91&lt;'Données projet'!$A$192,$EG$205^A91,IF(A91='Données projet'!$A$192,'Données projet'!$B$192,EJ90+EI91-ER90)))</f>
        <v>263.59999999999991</v>
      </c>
      <c r="EK91" s="18">
        <f>EJ91*VLOOKUP('Données projet'!$B$15,Paramètres!$A$1:$I$89,3,0)*VLOOKUP('Données projet'!$B$15,Paramètres!$A$1:$I$89,5,0)</f>
        <v>254.9539199999999</v>
      </c>
      <c r="EL91" s="14">
        <f t="shared" si="99"/>
        <v>61.645533788540526</v>
      </c>
      <c r="EM91" s="22">
        <f t="shared" si="73"/>
        <v>551.41071534837454</v>
      </c>
      <c r="EN91" s="60">
        <f t="shared" si="74"/>
        <v>831.8722500501965</v>
      </c>
      <c r="EO91" s="60">
        <f ca="1">AVERAGE(OFFSET($EN$3,0,0,'Données projet'!$E$15+1,1))-AVERAGE(OFFSET($H$3,0,0,'Données projet'!$E$15+1,1))</f>
        <v>483.60545605360528</v>
      </c>
      <c r="EP91" s="60">
        <f t="shared" si="100"/>
        <v>256.96685577560345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66.489509464133249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0" t="e">
        <f t="shared" si="77"/>
        <v>#N/A</v>
      </c>
      <c r="FJ91" s="60" t="e">
        <f ca="1">AVERAGE(OFFSET($FI$3,0,0,'Données projet'!$E$16+1,1))-AVERAGE(OFFSET($H$3,0,0,'Données projet'!$E$16+1,1))</f>
        <v>#N/A</v>
      </c>
      <c r="FK91" s="60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66.489509464133249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0" t="e">
        <f t="shared" si="80"/>
        <v>#N/A</v>
      </c>
      <c r="GE91" s="60" t="e">
        <f ca="1">AVERAGE(OFFSET($GD$3,0,0,'Données projet'!$E$17+1,1))-AVERAGE(OFFSET($H$3,0,0,'Données projet'!$E$17+1,1))</f>
        <v>#N/A</v>
      </c>
      <c r="GF91" s="60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66.489509464133249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4">
        <f>'Scénario référence'!$B$16*5+'Scénario référence'!$B$17*0+'Scénario référence'!$B$18*5</f>
        <v>3.2750000000000004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12.008333333333335</v>
      </c>
      <c r="H92" s="67">
        <f t="shared" si="56"/>
        <v>208.63333333333333</v>
      </c>
      <c r="I92" s="7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66.550408626649443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5.2</v>
      </c>
      <c r="N92" s="14">
        <f>IF('Données projet'!$A$36&gt;35,N91+M92-V91,IF(A92&lt;'Données projet'!$A$36,$K$205^A92,IF(A92='Données projet'!$A$36,'Données projet'!$B$36,N91+M92-V91)))</f>
        <v>268.7999999999999</v>
      </c>
      <c r="O92" s="14">
        <f>N92*VLOOKUP('Données projet'!$B$9,Paramètres!$A$1:$I$89,3,0)*VLOOKUP('Données projet'!$B$9,Paramètres!$A$1:$I$89,5,0)</f>
        <v>272.56319999999994</v>
      </c>
      <c r="P92" s="14">
        <f t="shared" si="87"/>
        <v>65.392945522034609</v>
      </c>
      <c r="Q92" s="22">
        <f t="shared" si="54"/>
        <v>588.60695345087686</v>
      </c>
      <c r="R92" s="60">
        <f t="shared" si="55"/>
        <v>869.2917850819249</v>
      </c>
      <c r="S92" s="60">
        <f ca="1">AVERAGE(OFFSET($R$3,0,0,'Données projet'!$E$9+1,1))-AVERAGE(OFFSET($H$3,0,0,'Données projet'!$E$9+1,1))</f>
        <v>503.64055031157477</v>
      </c>
      <c r="T92" s="60">
        <f t="shared" si="88"/>
        <v>266.76572540460842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66.550408626649443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5.2</v>
      </c>
      <c r="AI92" s="14">
        <f>IF('Données projet'!$A$62&gt;35,AI91+AH92-AQ91,IF(A92&lt;'Données projet'!$A$62,$AF$205^A92,IF(A92='Données projet'!$A$62,'Données projet'!$B$62,AI91+AH92-AQ91)))</f>
        <v>268.7999999999999</v>
      </c>
      <c r="AJ92" s="14">
        <f>AI92*VLOOKUP('Données projet'!$B$10,Paramètres!$A$1:$I$89,3,0)*VLOOKUP('Données projet'!$B$10,Paramètres!$A$1:$I$89,5,0)</f>
        <v>243.21023999999991</v>
      </c>
      <c r="AK92" s="14">
        <f t="shared" si="89"/>
        <v>59.129694216846737</v>
      </c>
      <c r="AL92" s="22">
        <f t="shared" si="58"/>
        <v>526.57538542767463</v>
      </c>
      <c r="AM92" s="60">
        <f t="shared" si="59"/>
        <v>807.26021705872267</v>
      </c>
      <c r="AN92" s="60">
        <f ca="1">AVERAGE(OFFSET($AM$3,0,0,'Données projet'!$E$10+1,1))-AVERAGE(OFFSET($H$3,0,0,'Données projet'!$E$10+1,1))</f>
        <v>456.86058467343139</v>
      </c>
      <c r="AO92" s="60">
        <f t="shared" si="90"/>
        <v>243.88495931574937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66.550408626649443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3.8461538461538454</v>
      </c>
      <c r="BD92" s="13">
        <f>IF('Données projet'!$A$88&gt;35,BD91+BC92-BL91,IF(A92&lt;'Données projet'!$A$88,$BA$205^A92,IF(A92='Données projet'!$A$88,'Données projet'!$B$88,BD91+BC92-BL91)))</f>
        <v>292.30769230769209</v>
      </c>
      <c r="BE92" s="14">
        <f>BD92*VLOOKUP('Données projet'!$B$11,Paramètres!$A$1:$I$89,3,0)*VLOOKUP('Données projet'!$B$11,Paramètres!$A$1:$I$89,5,0)</f>
        <v>305.51999999999981</v>
      </c>
      <c r="BF92" s="14">
        <f t="shared" si="91"/>
        <v>72.332436678206648</v>
      </c>
      <c r="BG92" s="22">
        <f t="shared" si="61"/>
        <v>658.09299388120962</v>
      </c>
      <c r="BH92" s="60">
        <f t="shared" si="62"/>
        <v>938.77782551225755</v>
      </c>
      <c r="BI92" s="60">
        <f ca="1">AVERAGE(OFFSET($BH$3,0,0,'Données projet'!$E$11+1,1))-AVERAGE(OFFSET($H$3,0,0,'Données projet'!$E$11+1,1))</f>
        <v>518.47226207416952</v>
      </c>
      <c r="BJ92" s="60">
        <f t="shared" si="92"/>
        <v>314.6379787306804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66.550408626649443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5.2</v>
      </c>
      <c r="BY92" s="13">
        <f>IF('Données projet'!$A$114&gt;35,BY91+BX92-CG91,IF(A92&lt;'Données projet'!$A$114,$BV$205^A92,IF(A92='Données projet'!$A$114,'Données projet'!$B$114,BY91+BX92-CG91)))</f>
        <v>268.7999999999999</v>
      </c>
      <c r="BZ92" s="14">
        <f>BY92*VLOOKUP('Données projet'!$B$12,Paramètres!$A$1:$I$89,3,0)*VLOOKUP('Données projet'!$B$12,Paramètres!$A$1:$I$89,5,0)</f>
        <v>289.33631999999989</v>
      </c>
      <c r="CA92" s="14">
        <f t="shared" si="93"/>
        <v>68.936259465559303</v>
      </c>
      <c r="CB92" s="22">
        <f t="shared" si="64"/>
        <v>623.99140923584889</v>
      </c>
      <c r="CC92" s="60">
        <f t="shared" si="65"/>
        <v>904.67624086689693</v>
      </c>
      <c r="CD92" s="60">
        <f ca="1">AVERAGE(OFFSET($CC$3,0,0,'Données projet'!$E$12+1,1))-AVERAGE(OFFSET($H$3,0,0,'Données projet'!$E$12+1,1))</f>
        <v>530.32456073177104</v>
      </c>
      <c r="CE92" s="60">
        <f t="shared" si="94"/>
        <v>279.81519428470625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66.550408626649443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3.4106051316484809E-13</v>
      </c>
      <c r="CU92" s="18">
        <f>CT92*VLOOKUP('Données projet'!$B$13,Paramètres!$A$1:$I$89,3,0)*VLOOKUP('Données projet'!$B$13,Paramètres!$A$1:$I$89,5,0)</f>
        <v>2.9795046430081134E-13</v>
      </c>
      <c r="CV92" s="14">
        <f t="shared" si="95"/>
        <v>3.9419014464513778E-12</v>
      </c>
      <c r="CW92" s="22">
        <f t="shared" si="67"/>
        <v>7.384408744560063E-12</v>
      </c>
      <c r="CX92" s="60">
        <f t="shared" si="68"/>
        <v>280.68483163105537</v>
      </c>
      <c r="CY92" s="60">
        <f ca="1">AVERAGE(OFFSET($CX$3,0,0,'Données projet'!$E$13+1,1))-AVERAGE(OFFSET($H$3,0,0,'Données projet'!$E$13+1,1))</f>
        <v>355.03862261578701</v>
      </c>
      <c r="CZ92" s="60">
        <f t="shared" si="96"/>
        <v>382.84441399266029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66.550408626649443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1.1368683772161603E-13</v>
      </c>
      <c r="DP92" s="18">
        <f>DO92*VLOOKUP('Données projet'!$B$14,Paramètres!$A$1:$I$89,3,0)*VLOOKUP('Données projet'!$B$14,Paramètres!$A$1:$I$89,5,0)</f>
        <v>8.8675733422860506E-14</v>
      </c>
      <c r="DQ92" s="14">
        <f t="shared" si="97"/>
        <v>1.3509285393066301E-12</v>
      </c>
      <c r="DR92" s="22">
        <f t="shared" si="70"/>
        <v>2.5073107750038623E-12</v>
      </c>
      <c r="DS92" s="60">
        <f t="shared" si="71"/>
        <v>280.68483163105049</v>
      </c>
      <c r="DT92" s="60">
        <f ca="1">AVERAGE(OFFSET($DS$3,0,0,'Données projet'!$E$14+1,1))-AVERAGE(OFFSET($H$3,0,0,'Données projet'!$E$14+1,1))</f>
        <v>305.68891030516761</v>
      </c>
      <c r="DU92" s="60">
        <f t="shared" si="98"/>
        <v>296.00275062228275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66.550408626649443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5.2</v>
      </c>
      <c r="EJ92" s="13">
        <f>IF('Données projet'!$A$192&gt;35,EJ91+EI92-ER91,IF(A92&lt;'Données projet'!$A$192,$EG$205^A92,IF(A92='Données projet'!$A$192,'Données projet'!$B$192,EJ91+EI92-ER91)))</f>
        <v>268.7999999999999</v>
      </c>
      <c r="EK92" s="18">
        <f>EJ92*VLOOKUP('Données projet'!$B$15,Paramètres!$A$1:$I$89,3,0)*VLOOKUP('Données projet'!$B$15,Paramètres!$A$1:$I$89,5,0)</f>
        <v>259.98335999999995</v>
      </c>
      <c r="EL92" s="14">
        <f t="shared" si="99"/>
        <v>62.718830967388243</v>
      </c>
      <c r="EM92" s="22">
        <f t="shared" si="73"/>
        <v>562.03964926820106</v>
      </c>
      <c r="EN92" s="60">
        <f t="shared" si="74"/>
        <v>842.7244808992491</v>
      </c>
      <c r="EO92" s="60">
        <f ca="1">AVERAGE(OFFSET($EN$3,0,0,'Données projet'!$E$15+1,1))-AVERAGE(OFFSET($H$3,0,0,'Données projet'!$E$15+1,1))</f>
        <v>483.60545605360528</v>
      </c>
      <c r="EP92" s="60">
        <f t="shared" si="100"/>
        <v>256.96685577560345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66.550408626649443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0" t="e">
        <f t="shared" si="77"/>
        <v>#N/A</v>
      </c>
      <c r="FJ92" s="60" t="e">
        <f ca="1">AVERAGE(OFFSET($FI$3,0,0,'Données projet'!$E$16+1,1))-AVERAGE(OFFSET($H$3,0,0,'Données projet'!$E$16+1,1))</f>
        <v>#N/A</v>
      </c>
      <c r="FK92" s="60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66.550408626649443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0" t="e">
        <f t="shared" si="80"/>
        <v>#N/A</v>
      </c>
      <c r="GE92" s="60" t="e">
        <f ca="1">AVERAGE(OFFSET($GD$3,0,0,'Données projet'!$E$17+1,1))-AVERAGE(OFFSET($H$3,0,0,'Données projet'!$E$17+1,1))</f>
        <v>#N/A</v>
      </c>
      <c r="GF92" s="60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66.550408626649443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4">
        <f>'Scénario référence'!$B$16*5+'Scénario référence'!$B$17*0+'Scénario référence'!$B$18*5</f>
        <v>3.2750000000000004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12.008333333333335</v>
      </c>
      <c r="H93" s="67">
        <f t="shared" si="56"/>
        <v>208.63333333333333</v>
      </c>
      <c r="I93" s="7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66.610251324846132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5.2</v>
      </c>
      <c r="N93" s="14">
        <f>IF('Données projet'!$A$36&gt;35,N92+M93-V92,IF(A93&lt;'Données projet'!$A$36,$K$205^A93,IF(A93='Données projet'!$A$36,'Données projet'!$B$36,N92+M93-V92)))</f>
        <v>273.99999999999989</v>
      </c>
      <c r="O93" s="14">
        <f>N93*VLOOKUP('Données projet'!$B$9,Paramètres!$A$1:$I$89,3,0)*VLOOKUP('Données projet'!$B$9,Paramètres!$A$1:$I$89,5,0)</f>
        <v>277.8359999999999</v>
      </c>
      <c r="P93" s="14">
        <f t="shared" si="87"/>
        <v>66.509487177652318</v>
      </c>
      <c r="Q93" s="22">
        <f t="shared" si="54"/>
        <v>599.73505683441101</v>
      </c>
      <c r="R93" s="60">
        <f t="shared" si="55"/>
        <v>880.63931169218017</v>
      </c>
      <c r="S93" s="60">
        <f ca="1">AVERAGE(OFFSET($R$3,0,0,'Données projet'!$E$9+1,1))-AVERAGE(OFFSET($H$3,0,0,'Données projet'!$E$9+1,1))</f>
        <v>503.64055031157477</v>
      </c>
      <c r="T93" s="60">
        <f t="shared" si="88"/>
        <v>266.76572540460842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66.610251324846132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5.2</v>
      </c>
      <c r="AI93" s="14">
        <f>IF('Données projet'!$A$62&gt;35,AI92+AH93-AQ92,IF(A93&lt;'Données projet'!$A$62,$AF$205^A93,IF(A93='Données projet'!$A$62,'Données projet'!$B$62,AI92+AH93-AQ92)))</f>
        <v>273.99999999999989</v>
      </c>
      <c r="AJ93" s="14">
        <f>AI93*VLOOKUP('Données projet'!$B$10,Paramètres!$A$1:$I$89,3,0)*VLOOKUP('Données projet'!$B$10,Paramètres!$A$1:$I$89,5,0)</f>
        <v>247.91519999999991</v>
      </c>
      <c r="AK93" s="14">
        <f t="shared" si="89"/>
        <v>60.139294964297406</v>
      </c>
      <c r="AL93" s="22">
        <f t="shared" si="58"/>
        <v>536.52824539615108</v>
      </c>
      <c r="AM93" s="60">
        <f t="shared" si="59"/>
        <v>817.43250025392024</v>
      </c>
      <c r="AN93" s="60">
        <f ca="1">AVERAGE(OFFSET($AM$3,0,0,'Données projet'!$E$10+1,1))-AVERAGE(OFFSET($H$3,0,0,'Données projet'!$E$10+1,1))</f>
        <v>456.86058467343139</v>
      </c>
      <c r="AO93" s="60">
        <f t="shared" si="90"/>
        <v>243.88495931574937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66.610251324846132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296.15384615384613</v>
      </c>
      <c r="BB93" s="13">
        <f>VLOOKUP(A93,'Données projet'!$A$87:$I$107,9,0)</f>
        <v>3.8461538461538454</v>
      </c>
      <c r="BC93" s="13">
        <f t="array" ref="BC93">INDEX(BB:BB,MIN(IF(ISNUMBER(BB93:BB289),ROW(BB93:BB289),"")))</f>
        <v>3.8461538461538454</v>
      </c>
      <c r="BD93" s="13">
        <f>IF('Données projet'!$A$88&gt;35,BD92+BC93-BL92,IF(A93&lt;'Données projet'!$A$88,$BA$205^A93,IF(A93='Données projet'!$A$88,'Données projet'!$B$88,BD92+BC93-BL92)))</f>
        <v>296.15384615384596</v>
      </c>
      <c r="BE93" s="14">
        <f>BD93*VLOOKUP('Données projet'!$B$11,Paramètres!$A$1:$I$89,3,0)*VLOOKUP('Données projet'!$B$11,Paramètres!$A$1:$I$89,5,0)</f>
        <v>309.53999999999979</v>
      </c>
      <c r="BF93" s="14">
        <f t="shared" si="91"/>
        <v>73.172755562281282</v>
      </c>
      <c r="BG93" s="22">
        <f t="shared" si="61"/>
        <v>666.5580492709729</v>
      </c>
      <c r="BH93" s="60">
        <f t="shared" si="62"/>
        <v>947.46230412874206</v>
      </c>
      <c r="BI93" s="60">
        <f ca="1">AVERAGE(OFFSET($BH$3,0,0,'Données projet'!$E$11+1,1))-AVERAGE(OFFSET($H$3,0,0,'Données projet'!$E$11+1,1))</f>
        <v>518.47226207416952</v>
      </c>
      <c r="BJ93" s="60">
        <f t="shared" si="92"/>
        <v>314.6379787306804</v>
      </c>
      <c r="BK93" s="16">
        <f>IF(ISNA(VLOOKUP(A93,'Données projet'!$A$87:$I$107,3,0)),0,VLOOKUP(A93,'Données projet'!$A$87:$I$107,3,0))</f>
        <v>8</v>
      </c>
      <c r="BL93" s="16">
        <f>IF(ISNA(VLOOKUP(A93,'Données projet'!$A$87:$I$107,4,0)),0,VLOOKUP(A93,'Données projet'!$A$87:$I$107,4,0))</f>
        <v>21.153846153846153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66.610251324846132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5.2</v>
      </c>
      <c r="BY93" s="13">
        <f>IF('Données projet'!$A$114&gt;35,BY92+BX93-CG92,IF(A93&lt;'Données projet'!$A$114,$BV$205^A93,IF(A93='Données projet'!$A$114,'Données projet'!$B$114,BY92+BX93-CG92)))</f>
        <v>273.99999999999989</v>
      </c>
      <c r="BZ93" s="14">
        <f>BY93*VLOOKUP('Données projet'!$B$12,Paramètres!$A$1:$I$89,3,0)*VLOOKUP('Données projet'!$B$12,Paramètres!$A$1:$I$89,5,0)</f>
        <v>294.9335999999999</v>
      </c>
      <c r="CA93" s="14">
        <f t="shared" si="93"/>
        <v>70.113300882814869</v>
      </c>
      <c r="CB93" s="22">
        <f t="shared" si="64"/>
        <v>635.79001903756898</v>
      </c>
      <c r="CC93" s="60">
        <f t="shared" si="65"/>
        <v>916.69427389533814</v>
      </c>
      <c r="CD93" s="60">
        <f ca="1">AVERAGE(OFFSET($CC$3,0,0,'Données projet'!$E$12+1,1))-AVERAGE(OFFSET($H$3,0,0,'Données projet'!$E$12+1,1))</f>
        <v>530.32456073177104</v>
      </c>
      <c r="CE93" s="60">
        <f t="shared" si="94"/>
        <v>279.81519428470625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66.610251324846132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3.4106051316484809E-13</v>
      </c>
      <c r="CU93" s="18">
        <f>CT93*VLOOKUP('Données projet'!$B$13,Paramètres!$A$1:$I$89,3,0)*VLOOKUP('Données projet'!$B$13,Paramètres!$A$1:$I$89,5,0)</f>
        <v>2.9795046430081134E-13</v>
      </c>
      <c r="CV93" s="14">
        <f t="shared" si="95"/>
        <v>3.9419014464513778E-12</v>
      </c>
      <c r="CW93" s="22">
        <f t="shared" si="67"/>
        <v>7.384408744560063E-12</v>
      </c>
      <c r="CX93" s="60">
        <f t="shared" si="68"/>
        <v>280.90425485777655</v>
      </c>
      <c r="CY93" s="60">
        <f ca="1">AVERAGE(OFFSET($CX$3,0,0,'Données projet'!$E$13+1,1))-AVERAGE(OFFSET($H$3,0,0,'Données projet'!$E$13+1,1))</f>
        <v>355.03862261578701</v>
      </c>
      <c r="CZ93" s="60">
        <f t="shared" si="96"/>
        <v>382.84441399266029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66.610251324846132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1.1368683772161603E-13</v>
      </c>
      <c r="DP93" s="18">
        <f>DO93*VLOOKUP('Données projet'!$B$14,Paramètres!$A$1:$I$89,3,0)*VLOOKUP('Données projet'!$B$14,Paramètres!$A$1:$I$89,5,0)</f>
        <v>8.8675733422860506E-14</v>
      </c>
      <c r="DQ93" s="14">
        <f t="shared" si="97"/>
        <v>1.3509285393066301E-12</v>
      </c>
      <c r="DR93" s="22">
        <f t="shared" si="70"/>
        <v>2.5073107750038623E-12</v>
      </c>
      <c r="DS93" s="60">
        <f t="shared" si="71"/>
        <v>280.90425485777166</v>
      </c>
      <c r="DT93" s="60">
        <f ca="1">AVERAGE(OFFSET($DS$3,0,0,'Données projet'!$E$14+1,1))-AVERAGE(OFFSET($H$3,0,0,'Données projet'!$E$14+1,1))</f>
        <v>305.68891030516761</v>
      </c>
      <c r="DU93" s="60">
        <f t="shared" si="98"/>
        <v>296.00275062228275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66.610251324846132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5.2</v>
      </c>
      <c r="EJ93" s="13">
        <f>IF('Données projet'!$A$192&gt;35,EJ92+EI93-ER92,IF(A93&lt;'Données projet'!$A$192,$EG$205^A93,IF(A93='Données projet'!$A$192,'Données projet'!$B$192,EJ92+EI93-ER92)))</f>
        <v>273.99999999999989</v>
      </c>
      <c r="EK93" s="18">
        <f>EJ93*VLOOKUP('Données projet'!$B$15,Paramètres!$A$1:$I$89,3,0)*VLOOKUP('Données projet'!$B$15,Paramètres!$A$1:$I$89,5,0)</f>
        <v>265.01279999999991</v>
      </c>
      <c r="EL93" s="14">
        <f t="shared" si="99"/>
        <v>63.789713870852729</v>
      </c>
      <c r="EM93" s="22">
        <f t="shared" si="73"/>
        <v>572.66437832506824</v>
      </c>
      <c r="EN93" s="60">
        <f t="shared" si="74"/>
        <v>853.5686331828374</v>
      </c>
      <c r="EO93" s="60">
        <f ca="1">AVERAGE(OFFSET($EN$3,0,0,'Données projet'!$E$15+1,1))-AVERAGE(OFFSET($H$3,0,0,'Données projet'!$E$15+1,1))</f>
        <v>483.60545605360528</v>
      </c>
      <c r="EP93" s="60">
        <f t="shared" si="100"/>
        <v>256.96685577560345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66.610251324846132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0" t="e">
        <f t="shared" si="77"/>
        <v>#N/A</v>
      </c>
      <c r="FJ93" s="60" t="e">
        <f ca="1">AVERAGE(OFFSET($FI$3,0,0,'Données projet'!$E$16+1,1))-AVERAGE(OFFSET($H$3,0,0,'Données projet'!$E$16+1,1))</f>
        <v>#N/A</v>
      </c>
      <c r="FK93" s="60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66.610251324846132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0" t="e">
        <f t="shared" si="80"/>
        <v>#N/A</v>
      </c>
      <c r="GE93" s="60" t="e">
        <f ca="1">AVERAGE(OFFSET($GD$3,0,0,'Données projet'!$E$17+1,1))-AVERAGE(OFFSET($H$3,0,0,'Données projet'!$E$17+1,1))</f>
        <v>#N/A</v>
      </c>
      <c r="GF93" s="60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66.610251324846132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4">
        <f>'Scénario référence'!$B$16*5+'Scénario référence'!$B$17*0+'Scénario référence'!$B$18*5</f>
        <v>3.2750000000000004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12.008333333333335</v>
      </c>
      <c r="H94" s="67">
        <f t="shared" si="56"/>
        <v>208.63333333333333</v>
      </c>
      <c r="I94" s="7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66.669055886017333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5.2</v>
      </c>
      <c r="N94" s="14">
        <f>IF('Données projet'!$A$36&gt;35,N93+M94-V93,IF(A94&lt;'Données projet'!$A$36,$K$205^A94,IF(A94='Données projet'!$A$36,'Données projet'!$B$36,N93+M94-V93)))</f>
        <v>279.19999999999987</v>
      </c>
      <c r="O94" s="14">
        <f>N94*VLOOKUP('Données projet'!$B$9,Paramètres!$A$1:$I$89,3,0)*VLOOKUP('Données projet'!$B$9,Paramètres!$A$1:$I$89,5,0)</f>
        <v>283.10879999999992</v>
      </c>
      <c r="P94" s="14">
        <f t="shared" si="87"/>
        <v>67.623564901653808</v>
      </c>
      <c r="Q94" s="22">
        <f t="shared" si="54"/>
        <v>610.85886887038021</v>
      </c>
      <c r="R94" s="60">
        <f t="shared" si="55"/>
        <v>891.97874045244384</v>
      </c>
      <c r="S94" s="60">
        <f ca="1">AVERAGE(OFFSET($R$3,0,0,'Données projet'!$E$9+1,1))-AVERAGE(OFFSET($H$3,0,0,'Données projet'!$E$9+1,1))</f>
        <v>503.64055031157477</v>
      </c>
      <c r="T94" s="60">
        <f t="shared" si="88"/>
        <v>266.76572540460842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66.669055886017333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5.2</v>
      </c>
      <c r="AI94" s="14">
        <f>IF('Données projet'!$A$62&gt;35,AI93+AH94-AQ93,IF(A94&lt;'Données projet'!$A$62,$AF$205^A94,IF(A94='Données projet'!$A$62,'Données projet'!$B$62,AI93+AH94-AQ93)))</f>
        <v>279.19999999999987</v>
      </c>
      <c r="AJ94" s="14">
        <f>AI94*VLOOKUP('Données projet'!$B$10,Paramètres!$A$1:$I$89,3,0)*VLOOKUP('Données projet'!$B$10,Paramètres!$A$1:$I$89,5,0)</f>
        <v>252.62015999999988</v>
      </c>
      <c r="AK94" s="14">
        <f t="shared" si="89"/>
        <v>61.14666777229877</v>
      </c>
      <c r="AL94" s="22">
        <f t="shared" si="58"/>
        <v>546.47722503675345</v>
      </c>
      <c r="AM94" s="60">
        <f t="shared" si="59"/>
        <v>827.59709661881698</v>
      </c>
      <c r="AN94" s="60">
        <f ca="1">AVERAGE(OFFSET($AM$3,0,0,'Données projet'!$E$10+1,1))-AVERAGE(OFFSET($H$3,0,0,'Données projet'!$E$10+1,1))</f>
        <v>456.86058467343139</v>
      </c>
      <c r="AO94" s="60">
        <f t="shared" si="90"/>
        <v>243.88495931574937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66.669055886017333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3.5897435897435912</v>
      </c>
      <c r="BD94" s="13">
        <f>IF('Données projet'!$A$88&gt;35,BD93+BC94-BL93,IF(A94&lt;'Données projet'!$A$88,$BA$205^A94,IF(A94='Données projet'!$A$88,'Données projet'!$B$88,BD93+BC94-BL93)))</f>
        <v>278.58974358974342</v>
      </c>
      <c r="BE94" s="14">
        <f>BD94*VLOOKUP('Données projet'!$B$11,Paramètres!$A$1:$I$89,3,0)*VLOOKUP('Données projet'!$B$11,Paramètres!$A$1:$I$89,5,0)</f>
        <v>291.18199999999985</v>
      </c>
      <c r="BF94" s="14">
        <f t="shared" si="91"/>
        <v>69.324674463094695</v>
      </c>
      <c r="BG94" s="22">
        <f t="shared" si="61"/>
        <v>627.88245802322297</v>
      </c>
      <c r="BH94" s="60">
        <f t="shared" si="62"/>
        <v>909.0023296052866</v>
      </c>
      <c r="BI94" s="60">
        <f ca="1">AVERAGE(OFFSET($BH$3,0,0,'Données projet'!$E$11+1,1))-AVERAGE(OFFSET($H$3,0,0,'Données projet'!$E$11+1,1))</f>
        <v>518.47226207416952</v>
      </c>
      <c r="BJ94" s="60">
        <f t="shared" si="92"/>
        <v>314.6379787306804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66.669055886017333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5.2</v>
      </c>
      <c r="BY94" s="13">
        <f>IF('Données projet'!$A$114&gt;35,BY93+BX94-CG93,IF(A94&lt;'Données projet'!$A$114,$BV$205^A94,IF(A94='Données projet'!$A$114,'Données projet'!$B$114,BY93+BX94-CG93)))</f>
        <v>279.19999999999987</v>
      </c>
      <c r="BZ94" s="14">
        <f>BY94*VLOOKUP('Données projet'!$B$12,Paramètres!$A$1:$I$89,3,0)*VLOOKUP('Données projet'!$B$12,Paramètres!$A$1:$I$89,5,0)</f>
        <v>300.53087999999985</v>
      </c>
      <c r="CA94" s="14">
        <f t="shared" si="93"/>
        <v>71.287744860425391</v>
      </c>
      <c r="CB94" s="22">
        <f t="shared" si="64"/>
        <v>647.58410496524061</v>
      </c>
      <c r="CC94" s="60">
        <f t="shared" si="65"/>
        <v>928.70397654730414</v>
      </c>
      <c r="CD94" s="60">
        <f ca="1">AVERAGE(OFFSET($CC$3,0,0,'Données projet'!$E$12+1,1))-AVERAGE(OFFSET($H$3,0,0,'Données projet'!$E$12+1,1))</f>
        <v>530.32456073177104</v>
      </c>
      <c r="CE94" s="60">
        <f t="shared" si="94"/>
        <v>279.81519428470625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66.669055886017333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3.4106051316484809E-13</v>
      </c>
      <c r="CU94" s="18">
        <f>CT94*VLOOKUP('Données projet'!$B$13,Paramètres!$A$1:$I$89,3,0)*VLOOKUP('Données projet'!$B$13,Paramètres!$A$1:$I$89,5,0)</f>
        <v>2.9795046430081134E-13</v>
      </c>
      <c r="CV94" s="14">
        <f t="shared" si="95"/>
        <v>3.9419014464513778E-12</v>
      </c>
      <c r="CW94" s="22">
        <f t="shared" si="67"/>
        <v>7.384408744560063E-12</v>
      </c>
      <c r="CX94" s="60">
        <f t="shared" si="68"/>
        <v>281.11987158207097</v>
      </c>
      <c r="CY94" s="60">
        <f ca="1">AVERAGE(OFFSET($CX$3,0,0,'Données projet'!$E$13+1,1))-AVERAGE(OFFSET($H$3,0,0,'Données projet'!$E$13+1,1))</f>
        <v>355.03862261578701</v>
      </c>
      <c r="CZ94" s="60">
        <f t="shared" si="96"/>
        <v>382.84441399266029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66.669055886017333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1.1368683772161603E-13</v>
      </c>
      <c r="DP94" s="18">
        <f>DO94*VLOOKUP('Données projet'!$B$14,Paramètres!$A$1:$I$89,3,0)*VLOOKUP('Données projet'!$B$14,Paramètres!$A$1:$I$89,5,0)</f>
        <v>8.8675733422860506E-14</v>
      </c>
      <c r="DQ94" s="14">
        <f t="shared" si="97"/>
        <v>1.3509285393066301E-12</v>
      </c>
      <c r="DR94" s="22">
        <f t="shared" si="70"/>
        <v>2.5073107750038623E-12</v>
      </c>
      <c r="DS94" s="60">
        <f t="shared" si="71"/>
        <v>281.11987158206608</v>
      </c>
      <c r="DT94" s="60">
        <f ca="1">AVERAGE(OFFSET($DS$3,0,0,'Données projet'!$E$14+1,1))-AVERAGE(OFFSET($H$3,0,0,'Données projet'!$E$14+1,1))</f>
        <v>305.68891030516761</v>
      </c>
      <c r="DU94" s="60">
        <f t="shared" si="98"/>
        <v>296.00275062228275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66.669055886017333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5.2</v>
      </c>
      <c r="EJ94" s="13">
        <f>IF('Données projet'!$A$192&gt;35,EJ93+EI94-ER93,IF(A94&lt;'Données projet'!$A$192,$EG$205^A94,IF(A94='Données projet'!$A$192,'Données projet'!$B$192,EJ93+EI94-ER93)))</f>
        <v>279.19999999999987</v>
      </c>
      <c r="EK94" s="18">
        <f>EJ94*VLOOKUP('Données projet'!$B$15,Paramètres!$A$1:$I$89,3,0)*VLOOKUP('Données projet'!$B$15,Paramètres!$A$1:$I$89,5,0)</f>
        <v>270.04223999999988</v>
      </c>
      <c r="EL94" s="14">
        <f t="shared" si="99"/>
        <v>64.858233600288088</v>
      </c>
      <c r="EM94" s="22">
        <f t="shared" si="73"/>
        <v>583.28499152050153</v>
      </c>
      <c r="EN94" s="60">
        <f t="shared" si="74"/>
        <v>864.40486310256506</v>
      </c>
      <c r="EO94" s="60">
        <f ca="1">AVERAGE(OFFSET($EN$3,0,0,'Données projet'!$E$15+1,1))-AVERAGE(OFFSET($H$3,0,0,'Données projet'!$E$15+1,1))</f>
        <v>483.60545605360528</v>
      </c>
      <c r="EP94" s="60">
        <f t="shared" si="100"/>
        <v>256.96685577560345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66.669055886017333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0" t="e">
        <f t="shared" si="77"/>
        <v>#N/A</v>
      </c>
      <c r="FJ94" s="60" t="e">
        <f ca="1">AVERAGE(OFFSET($FI$3,0,0,'Données projet'!$E$16+1,1))-AVERAGE(OFFSET($H$3,0,0,'Données projet'!$E$16+1,1))</f>
        <v>#N/A</v>
      </c>
      <c r="FK94" s="60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66.669055886017333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0" t="e">
        <f t="shared" si="80"/>
        <v>#N/A</v>
      </c>
      <c r="GE94" s="60" t="e">
        <f ca="1">AVERAGE(OFFSET($GD$3,0,0,'Données projet'!$E$17+1,1))-AVERAGE(OFFSET($H$3,0,0,'Données projet'!$E$17+1,1))</f>
        <v>#N/A</v>
      </c>
      <c r="GF94" s="60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66.669055886017333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4">
        <f>'Scénario référence'!$B$16*5+'Scénario référence'!$B$17*0+'Scénario référence'!$B$18*5</f>
        <v>3.2750000000000004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12.008333333333335</v>
      </c>
      <c r="H95" s="67">
        <f t="shared" si="56"/>
        <v>208.63333333333333</v>
      </c>
      <c r="I95" s="7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66.726840319519511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5.2</v>
      </c>
      <c r="N95" s="14">
        <f>IF('Données projet'!$A$36&gt;35,N94+M95-V94,IF(A95&lt;'Données projet'!$A$36,$K$205^A95,IF(A95='Données projet'!$A$36,'Données projet'!$B$36,N94+M95-V94)))</f>
        <v>284.39999999999986</v>
      </c>
      <c r="O95" s="14">
        <f>N95*VLOOKUP('Données projet'!$B$9,Paramètres!$A$1:$I$89,3,0)*VLOOKUP('Données projet'!$B$9,Paramètres!$A$1:$I$89,5,0)</f>
        <v>288.38159999999988</v>
      </c>
      <c r="P95" s="14">
        <f t="shared" si="87"/>
        <v>68.735229875936611</v>
      </c>
      <c r="Q95" s="22">
        <f t="shared" si="54"/>
        <v>621.97847870058933</v>
      </c>
      <c r="R95" s="60">
        <f t="shared" si="55"/>
        <v>903.31022653882746</v>
      </c>
      <c r="S95" s="60">
        <f ca="1">AVERAGE(OFFSET($R$3,0,0,'Données projet'!$E$9+1,1))-AVERAGE(OFFSET($H$3,0,0,'Données projet'!$E$9+1,1))</f>
        <v>503.64055031157477</v>
      </c>
      <c r="T95" s="60">
        <f t="shared" si="88"/>
        <v>266.76572540460842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66.726840319519511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5.2</v>
      </c>
      <c r="AI95" s="14">
        <f>IF('Données projet'!$A$62&gt;35,AI94+AH95-AQ94,IF(A95&lt;'Données projet'!$A$62,$AF$205^A95,IF(A95='Données projet'!$A$62,'Données projet'!$B$62,AI94+AH95-AQ94)))</f>
        <v>284.39999999999986</v>
      </c>
      <c r="AJ95" s="14">
        <f>AI95*VLOOKUP('Données projet'!$B$10,Paramètres!$A$1:$I$89,3,0)*VLOOKUP('Données projet'!$B$10,Paramètres!$A$1:$I$89,5,0)</f>
        <v>257.32511999999986</v>
      </c>
      <c r="AK95" s="14">
        <f t="shared" si="89"/>
        <v>62.151858920612646</v>
      </c>
      <c r="AL95" s="22">
        <f t="shared" si="58"/>
        <v>556.42240495340013</v>
      </c>
      <c r="AM95" s="60">
        <f t="shared" si="59"/>
        <v>837.75415279163826</v>
      </c>
      <c r="AN95" s="60">
        <f ca="1">AVERAGE(OFFSET($AM$3,0,0,'Données projet'!$E$10+1,1))-AVERAGE(OFFSET($H$3,0,0,'Données projet'!$E$10+1,1))</f>
        <v>456.86058467343139</v>
      </c>
      <c r="AO95" s="60">
        <f t="shared" si="90"/>
        <v>243.88495931574937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66.726840319519511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3.5897435897435912</v>
      </c>
      <c r="BD95" s="13">
        <f>IF('Données projet'!$A$88&gt;35,BD94+BC95-BL94,IF(A95&lt;'Données projet'!$A$88,$BA$205^A95,IF(A95='Données projet'!$A$88,'Données projet'!$B$88,BD94+BC95-BL94)))</f>
        <v>282.17948717948701</v>
      </c>
      <c r="BE95" s="14">
        <f>BD95*VLOOKUP('Données projet'!$B$11,Paramètres!$A$1:$I$89,3,0)*VLOOKUP('Données projet'!$B$11,Paramètres!$A$1:$I$89,5,0)</f>
        <v>294.93399999999986</v>
      </c>
      <c r="BF95" s="14">
        <f t="shared" si="91"/>
        <v>70.113384904584791</v>
      </c>
      <c r="BG95" s="22">
        <f t="shared" si="61"/>
        <v>635.79086204215162</v>
      </c>
      <c r="BH95" s="60">
        <f t="shared" si="62"/>
        <v>917.12260988038975</v>
      </c>
      <c r="BI95" s="60">
        <f ca="1">AVERAGE(OFFSET($BH$3,0,0,'Données projet'!$E$11+1,1))-AVERAGE(OFFSET($H$3,0,0,'Données projet'!$E$11+1,1))</f>
        <v>518.47226207416952</v>
      </c>
      <c r="BJ95" s="60">
        <f t="shared" si="92"/>
        <v>314.6379787306804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66.726840319519511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5.2</v>
      </c>
      <c r="BY95" s="13">
        <f>IF('Données projet'!$A$114&gt;35,BY94+BX95-CG94,IF(A95&lt;'Données projet'!$A$114,$BV$205^A95,IF(A95='Données projet'!$A$114,'Données projet'!$B$114,BY94+BX95-CG94)))</f>
        <v>284.39999999999986</v>
      </c>
      <c r="BZ95" s="14">
        <f>BY95*VLOOKUP('Données projet'!$B$12,Paramètres!$A$1:$I$89,3,0)*VLOOKUP('Données projet'!$B$12,Paramètres!$A$1:$I$89,5,0)</f>
        <v>306.12815999999987</v>
      </c>
      <c r="CA95" s="14">
        <f t="shared" si="93"/>
        <v>72.459645353577386</v>
      </c>
      <c r="CB95" s="22">
        <f t="shared" si="64"/>
        <v>659.37376099081382</v>
      </c>
      <c r="CC95" s="60">
        <f t="shared" si="65"/>
        <v>940.70550882905195</v>
      </c>
      <c r="CD95" s="60">
        <f ca="1">AVERAGE(OFFSET($CC$3,0,0,'Données projet'!$E$12+1,1))-AVERAGE(OFFSET($H$3,0,0,'Données projet'!$E$12+1,1))</f>
        <v>530.32456073177104</v>
      </c>
      <c r="CE95" s="60">
        <f t="shared" si="94"/>
        <v>279.81519428470625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66.726840319519511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3.4106051316484809E-13</v>
      </c>
      <c r="CU95" s="18">
        <f>CT95*VLOOKUP('Données projet'!$B$13,Paramètres!$A$1:$I$89,3,0)*VLOOKUP('Données projet'!$B$13,Paramètres!$A$1:$I$89,5,0)</f>
        <v>2.9795046430081134E-13</v>
      </c>
      <c r="CV95" s="14">
        <f t="shared" si="95"/>
        <v>3.9419014464513778E-12</v>
      </c>
      <c r="CW95" s="22">
        <f t="shared" si="67"/>
        <v>7.384408744560063E-12</v>
      </c>
      <c r="CX95" s="60">
        <f t="shared" si="68"/>
        <v>281.33174783824558</v>
      </c>
      <c r="CY95" s="60">
        <f ca="1">AVERAGE(OFFSET($CX$3,0,0,'Données projet'!$E$13+1,1))-AVERAGE(OFFSET($H$3,0,0,'Données projet'!$E$13+1,1))</f>
        <v>355.03862261578701</v>
      </c>
      <c r="CZ95" s="60">
        <f t="shared" si="96"/>
        <v>382.84441399266029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66.726840319519511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1.1368683772161603E-13</v>
      </c>
      <c r="DP95" s="18">
        <f>DO95*VLOOKUP('Données projet'!$B$14,Paramètres!$A$1:$I$89,3,0)*VLOOKUP('Données projet'!$B$14,Paramètres!$A$1:$I$89,5,0)</f>
        <v>8.8675733422860506E-14</v>
      </c>
      <c r="DQ95" s="14">
        <f t="shared" si="97"/>
        <v>1.3509285393066301E-12</v>
      </c>
      <c r="DR95" s="22">
        <f t="shared" si="70"/>
        <v>2.5073107750038623E-12</v>
      </c>
      <c r="DS95" s="60">
        <f t="shared" si="71"/>
        <v>281.33174783824069</v>
      </c>
      <c r="DT95" s="60">
        <f ca="1">AVERAGE(OFFSET($DS$3,0,0,'Données projet'!$E$14+1,1))-AVERAGE(OFFSET($H$3,0,0,'Données projet'!$E$14+1,1))</f>
        <v>305.68891030516761</v>
      </c>
      <c r="DU95" s="60">
        <f t="shared" si="98"/>
        <v>296.00275062228275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66.726840319519511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5.2</v>
      </c>
      <c r="EJ95" s="13">
        <f>IF('Données projet'!$A$192&gt;35,EJ94+EI95-ER94,IF(A95&lt;'Données projet'!$A$192,$EG$205^A95,IF(A95='Données projet'!$A$192,'Données projet'!$B$192,EJ94+EI95-ER94)))</f>
        <v>284.39999999999986</v>
      </c>
      <c r="EK95" s="18">
        <f>EJ95*VLOOKUP('Données projet'!$B$15,Paramètres!$A$1:$I$89,3,0)*VLOOKUP('Données projet'!$B$15,Paramètres!$A$1:$I$89,5,0)</f>
        <v>275.0716799999999</v>
      </c>
      <c r="EL95" s="14">
        <f t="shared" si="99"/>
        <v>65.924439244609701</v>
      </c>
      <c r="EM95" s="22">
        <f t="shared" si="73"/>
        <v>593.90157435102833</v>
      </c>
      <c r="EN95" s="60">
        <f t="shared" si="74"/>
        <v>875.23332218926657</v>
      </c>
      <c r="EO95" s="60">
        <f ca="1">AVERAGE(OFFSET($EN$3,0,0,'Données projet'!$E$15+1,1))-AVERAGE(OFFSET($H$3,0,0,'Données projet'!$E$15+1,1))</f>
        <v>483.60545605360528</v>
      </c>
      <c r="EP95" s="60">
        <f t="shared" si="100"/>
        <v>256.96685577560345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66.726840319519511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0" t="e">
        <f t="shared" si="77"/>
        <v>#N/A</v>
      </c>
      <c r="FJ95" s="60" t="e">
        <f ca="1">AVERAGE(OFFSET($FI$3,0,0,'Données projet'!$E$16+1,1))-AVERAGE(OFFSET($H$3,0,0,'Données projet'!$E$16+1,1))</f>
        <v>#N/A</v>
      </c>
      <c r="FK95" s="60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66.726840319519511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0" t="e">
        <f t="shared" si="80"/>
        <v>#N/A</v>
      </c>
      <c r="GE95" s="60" t="e">
        <f ca="1">AVERAGE(OFFSET($GD$3,0,0,'Données projet'!$E$17+1,1))-AVERAGE(OFFSET($H$3,0,0,'Données projet'!$E$17+1,1))</f>
        <v>#N/A</v>
      </c>
      <c r="GF95" s="60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66.726840319519511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4">
        <f>'Scénario référence'!$B$16*5+'Scénario référence'!$B$17*0+'Scénario référence'!$B$18*5</f>
        <v>3.2750000000000004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12.008333333333335</v>
      </c>
      <c r="H96" s="67">
        <f t="shared" si="56"/>
        <v>208.63333333333333</v>
      </c>
      <c r="I96" s="7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66.783622322287073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5.2</v>
      </c>
      <c r="N96" s="14">
        <f>IF('Données projet'!$A$36&gt;35,N95+M96-V95,IF(A96&lt;'Données projet'!$A$36,$K$205^A96,IF(A96='Données projet'!$A$36,'Données projet'!$B$36,N95+M96-V95)))</f>
        <v>289.59999999999985</v>
      </c>
      <c r="O96" s="14">
        <f>N96*VLOOKUP('Données projet'!$B$9,Paramètres!$A$1:$I$89,3,0)*VLOOKUP('Données projet'!$B$9,Paramètres!$A$1:$I$89,5,0)</f>
        <v>293.6543999999999</v>
      </c>
      <c r="P96" s="14">
        <f t="shared" si="87"/>
        <v>69.844531303614474</v>
      </c>
      <c r="Q96" s="22">
        <f t="shared" si="54"/>
        <v>633.09397202046159</v>
      </c>
      <c r="R96" s="60">
        <f t="shared" si="55"/>
        <v>914.63392053551411</v>
      </c>
      <c r="S96" s="60">
        <f ca="1">AVERAGE(OFFSET($R$3,0,0,'Données projet'!$E$9+1,1))-AVERAGE(OFFSET($H$3,0,0,'Données projet'!$E$9+1,1))</f>
        <v>503.64055031157477</v>
      </c>
      <c r="T96" s="60">
        <f t="shared" si="88"/>
        <v>266.76572540460842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66.783622322287073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5.2</v>
      </c>
      <c r="AI96" s="14">
        <f>IF('Données projet'!$A$62&gt;35,AI95+AH96-AQ95,IF(A96&lt;'Données projet'!$A$62,$AF$205^A96,IF(A96='Données projet'!$A$62,'Données projet'!$B$62,AI95+AH96-AQ95)))</f>
        <v>289.59999999999985</v>
      </c>
      <c r="AJ96" s="14">
        <f>AI96*VLOOKUP('Données projet'!$B$10,Paramètres!$A$1:$I$89,3,0)*VLOOKUP('Données projet'!$B$10,Paramètres!$A$1:$I$89,5,0)</f>
        <v>262.03007999999988</v>
      </c>
      <c r="AK96" s="14">
        <f t="shared" si="89"/>
        <v>63.154912899742584</v>
      </c>
      <c r="AL96" s="22">
        <f t="shared" si="58"/>
        <v>566.3638626337181</v>
      </c>
      <c r="AM96" s="60">
        <f t="shared" si="59"/>
        <v>847.90381114877073</v>
      </c>
      <c r="AN96" s="60">
        <f ca="1">AVERAGE(OFFSET($AM$3,0,0,'Données projet'!$E$10+1,1))-AVERAGE(OFFSET($H$3,0,0,'Données projet'!$E$10+1,1))</f>
        <v>456.86058467343139</v>
      </c>
      <c r="AO96" s="60">
        <f t="shared" si="90"/>
        <v>243.88495931574937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66.783622322287073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3.5897435897435912</v>
      </c>
      <c r="BD96" s="13">
        <f>IF('Données projet'!$A$88&gt;35,BD95+BC96-BL95,IF(A96&lt;'Données projet'!$A$88,$BA$205^A96,IF(A96='Données projet'!$A$88,'Données projet'!$B$88,BD95+BC96-BL95)))</f>
        <v>285.7692307692306</v>
      </c>
      <c r="BE96" s="14">
        <f>BD96*VLOOKUP('Données projet'!$B$11,Paramètres!$A$1:$I$89,3,0)*VLOOKUP('Données projet'!$B$11,Paramètres!$A$1:$I$89,5,0)</f>
        <v>298.68599999999986</v>
      </c>
      <c r="BF96" s="14">
        <f t="shared" si="91"/>
        <v>70.900928269267055</v>
      </c>
      <c r="BG96" s="22">
        <f t="shared" si="61"/>
        <v>643.69723340230655</v>
      </c>
      <c r="BH96" s="60">
        <f t="shared" si="62"/>
        <v>925.23718191735907</v>
      </c>
      <c r="BI96" s="60">
        <f ca="1">AVERAGE(OFFSET($BH$3,0,0,'Données projet'!$E$11+1,1))-AVERAGE(OFFSET($H$3,0,0,'Données projet'!$E$11+1,1))</f>
        <v>518.47226207416952</v>
      </c>
      <c r="BJ96" s="60">
        <f t="shared" si="92"/>
        <v>314.6379787306804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66.783622322287073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5.2</v>
      </c>
      <c r="BY96" s="13">
        <f>IF('Données projet'!$A$114&gt;35,BY95+BX96-CG95,IF(A96&lt;'Données projet'!$A$114,$BV$205^A96,IF(A96='Données projet'!$A$114,'Données projet'!$B$114,BY95+BX96-CG95)))</f>
        <v>289.59999999999985</v>
      </c>
      <c r="BZ96" s="14">
        <f>BY96*VLOOKUP('Données projet'!$B$12,Paramètres!$A$1:$I$89,3,0)*VLOOKUP('Données projet'!$B$12,Paramètres!$A$1:$I$89,5,0)</f>
        <v>311.72543999999982</v>
      </c>
      <c r="CA96" s="14">
        <f t="shared" si="93"/>
        <v>73.629054231453196</v>
      </c>
      <c r="CB96" s="22">
        <f t="shared" si="64"/>
        <v>671.15907745311404</v>
      </c>
      <c r="CC96" s="60">
        <f t="shared" si="65"/>
        <v>952.69902596816655</v>
      </c>
      <c r="CD96" s="60">
        <f ca="1">AVERAGE(OFFSET($CC$3,0,0,'Données projet'!$E$12+1,1))-AVERAGE(OFFSET($H$3,0,0,'Données projet'!$E$12+1,1))</f>
        <v>530.32456073177104</v>
      </c>
      <c r="CE96" s="60">
        <f t="shared" si="94"/>
        <v>279.81519428470625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66.783622322287073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3.4106051316484809E-13</v>
      </c>
      <c r="CU96" s="18">
        <f>CT96*VLOOKUP('Données projet'!$B$13,Paramètres!$A$1:$I$89,3,0)*VLOOKUP('Données projet'!$B$13,Paramètres!$A$1:$I$89,5,0)</f>
        <v>2.9795046430081134E-13</v>
      </c>
      <c r="CV96" s="14">
        <f t="shared" si="95"/>
        <v>3.9419014464513778E-12</v>
      </c>
      <c r="CW96" s="22">
        <f t="shared" si="67"/>
        <v>7.384408744560063E-12</v>
      </c>
      <c r="CX96" s="60">
        <f t="shared" si="68"/>
        <v>281.53994851505996</v>
      </c>
      <c r="CY96" s="60">
        <f ca="1">AVERAGE(OFFSET($CX$3,0,0,'Données projet'!$E$13+1,1))-AVERAGE(OFFSET($H$3,0,0,'Données projet'!$E$13+1,1))</f>
        <v>355.03862261578701</v>
      </c>
      <c r="CZ96" s="60">
        <f t="shared" si="96"/>
        <v>382.84441399266029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66.783622322287073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1.1368683772161603E-13</v>
      </c>
      <c r="DP96" s="18">
        <f>DO96*VLOOKUP('Données projet'!$B$14,Paramètres!$A$1:$I$89,3,0)*VLOOKUP('Données projet'!$B$14,Paramètres!$A$1:$I$89,5,0)</f>
        <v>8.8675733422860506E-14</v>
      </c>
      <c r="DQ96" s="14">
        <f t="shared" si="97"/>
        <v>1.3509285393066301E-12</v>
      </c>
      <c r="DR96" s="22">
        <f t="shared" si="70"/>
        <v>2.5073107750038623E-12</v>
      </c>
      <c r="DS96" s="60">
        <f t="shared" si="71"/>
        <v>281.53994851505507</v>
      </c>
      <c r="DT96" s="60">
        <f ca="1">AVERAGE(OFFSET($DS$3,0,0,'Données projet'!$E$14+1,1))-AVERAGE(OFFSET($H$3,0,0,'Données projet'!$E$14+1,1))</f>
        <v>305.68891030516761</v>
      </c>
      <c r="DU96" s="60">
        <f t="shared" si="98"/>
        <v>296.00275062228275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66.783622322287073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5.2</v>
      </c>
      <c r="EJ96" s="13">
        <f>IF('Données projet'!$A$192&gt;35,EJ95+EI96-ER95,IF(A96&lt;'Données projet'!$A$192,$EG$205^A96,IF(A96='Données projet'!$A$192,'Données projet'!$B$192,EJ95+EI96-ER95)))</f>
        <v>289.59999999999985</v>
      </c>
      <c r="EK96" s="18">
        <f>EJ96*VLOOKUP('Données projet'!$B$15,Paramètres!$A$1:$I$89,3,0)*VLOOKUP('Données projet'!$B$15,Paramètres!$A$1:$I$89,5,0)</f>
        <v>280.10111999999987</v>
      </c>
      <c r="EL96" s="14">
        <f t="shared" si="99"/>
        <v>66.988377994867818</v>
      </c>
      <c r="EM96" s="22">
        <f t="shared" si="73"/>
        <v>604.5142090077278</v>
      </c>
      <c r="EN96" s="60">
        <f t="shared" si="74"/>
        <v>886.05415752278032</v>
      </c>
      <c r="EO96" s="60">
        <f ca="1">AVERAGE(OFFSET($EN$3,0,0,'Données projet'!$E$15+1,1))-AVERAGE(OFFSET($H$3,0,0,'Données projet'!$E$15+1,1))</f>
        <v>483.60545605360528</v>
      </c>
      <c r="EP96" s="60">
        <f t="shared" si="100"/>
        <v>256.96685577560345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66.783622322287073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0" t="e">
        <f t="shared" si="77"/>
        <v>#N/A</v>
      </c>
      <c r="FJ96" s="60" t="e">
        <f ca="1">AVERAGE(OFFSET($FI$3,0,0,'Données projet'!$E$16+1,1))-AVERAGE(OFFSET($H$3,0,0,'Données projet'!$E$16+1,1))</f>
        <v>#N/A</v>
      </c>
      <c r="FK96" s="60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66.783622322287073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0" t="e">
        <f t="shared" si="80"/>
        <v>#N/A</v>
      </c>
      <c r="GE96" s="60" t="e">
        <f ca="1">AVERAGE(OFFSET($GD$3,0,0,'Données projet'!$E$17+1,1))-AVERAGE(OFFSET($H$3,0,0,'Données projet'!$E$17+1,1))</f>
        <v>#N/A</v>
      </c>
      <c r="GF96" s="60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66.783622322287073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4">
        <f>'Scénario référence'!$B$16*5+'Scénario référence'!$B$17*0+'Scénario référence'!$B$18*5</f>
        <v>3.2750000000000004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12.008333333333335</v>
      </c>
      <c r="H97" s="67">
        <f t="shared" si="56"/>
        <v>208.63333333333333</v>
      </c>
      <c r="I97" s="7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66.839419284252159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5.2</v>
      </c>
      <c r="N97" s="14">
        <f>IF('Données projet'!$A$36&gt;35,N96+M97-V96,IF(A97&lt;'Données projet'!$A$36,$K$205^A97,IF(A97='Données projet'!$A$36,'Données projet'!$B$36,N96+M97-V96)))</f>
        <v>294.79999999999984</v>
      </c>
      <c r="O97" s="14">
        <f>N97*VLOOKUP('Données projet'!$B$9,Paramètres!$A$1:$I$89,3,0)*VLOOKUP('Données projet'!$B$9,Paramètres!$A$1:$I$89,5,0)</f>
        <v>298.92719999999986</v>
      </c>
      <c r="P97" s="14">
        <f t="shared" si="87"/>
        <v>70.95151651965358</v>
      </c>
      <c r="Q97" s="22">
        <f t="shared" si="54"/>
        <v>644.20543127172971</v>
      </c>
      <c r="R97" s="60">
        <f t="shared" si="55"/>
        <v>925.94996864732093</v>
      </c>
      <c r="S97" s="60">
        <f ca="1">AVERAGE(OFFSET($R$3,0,0,'Données projet'!$E$9+1,1))-AVERAGE(OFFSET($H$3,0,0,'Données projet'!$E$9+1,1))</f>
        <v>503.64055031157477</v>
      </c>
      <c r="T97" s="60">
        <f t="shared" si="88"/>
        <v>266.76572540460842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66.839419284252159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5.2</v>
      </c>
      <c r="AI97" s="14">
        <f>IF('Données projet'!$A$62&gt;35,AI96+AH97-AQ96,IF(A97&lt;'Données projet'!$A$62,$AF$205^A97,IF(A97='Données projet'!$A$62,'Données projet'!$B$62,AI96+AH97-AQ96)))</f>
        <v>294.79999999999984</v>
      </c>
      <c r="AJ97" s="14">
        <f>AI97*VLOOKUP('Données projet'!$B$10,Paramètres!$A$1:$I$89,3,0)*VLOOKUP('Données projet'!$B$10,Paramètres!$A$1:$I$89,5,0)</f>
        <v>266.73503999999986</v>
      </c>
      <c r="AK97" s="14">
        <f t="shared" si="89"/>
        <v>64.155872510973225</v>
      </c>
      <c r="AL97" s="22">
        <f t="shared" si="58"/>
        <v>576.30167262327802</v>
      </c>
      <c r="AM97" s="60">
        <f t="shared" si="59"/>
        <v>858.04620999886924</v>
      </c>
      <c r="AN97" s="60">
        <f ca="1">AVERAGE(OFFSET($AM$3,0,0,'Données projet'!$E$10+1,1))-AVERAGE(OFFSET($H$3,0,0,'Données projet'!$E$10+1,1))</f>
        <v>456.86058467343139</v>
      </c>
      <c r="AO97" s="60">
        <f t="shared" si="90"/>
        <v>243.88495931574937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66.839419284252159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3.5897435897435912</v>
      </c>
      <c r="BD97" s="13">
        <f>IF('Données projet'!$A$88&gt;35,BD96+BC97-BL96,IF(A97&lt;'Données projet'!$A$88,$BA$205^A97,IF(A97='Données projet'!$A$88,'Données projet'!$B$88,BD96+BC97-BL96)))</f>
        <v>289.35897435897419</v>
      </c>
      <c r="BE97" s="14">
        <f>BD97*VLOOKUP('Données projet'!$B$11,Paramètres!$A$1:$I$89,3,0)*VLOOKUP('Données projet'!$B$11,Paramètres!$A$1:$I$89,5,0)</f>
        <v>302.43799999999987</v>
      </c>
      <c r="BF97" s="14">
        <f t="shared" si="91"/>
        <v>71.687320912976816</v>
      </c>
      <c r="BG97" s="22">
        <f t="shared" si="61"/>
        <v>651.60160059010093</v>
      </c>
      <c r="BH97" s="60">
        <f t="shared" si="62"/>
        <v>933.34613796569215</v>
      </c>
      <c r="BI97" s="60">
        <f ca="1">AVERAGE(OFFSET($BH$3,0,0,'Données projet'!$E$11+1,1))-AVERAGE(OFFSET($H$3,0,0,'Données projet'!$E$11+1,1))</f>
        <v>518.47226207416952</v>
      </c>
      <c r="BJ97" s="60">
        <f t="shared" si="92"/>
        <v>314.6379787306804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66.839419284252159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5.2</v>
      </c>
      <c r="BY97" s="13">
        <f>IF('Données projet'!$A$114&gt;35,BY96+BX97-CG96,IF(A97&lt;'Données projet'!$A$114,$BV$205^A97,IF(A97='Données projet'!$A$114,'Données projet'!$B$114,BY96+BX97-CG96)))</f>
        <v>294.79999999999984</v>
      </c>
      <c r="BZ97" s="14">
        <f>BY97*VLOOKUP('Données projet'!$B$12,Paramètres!$A$1:$I$89,3,0)*VLOOKUP('Données projet'!$B$12,Paramètres!$A$1:$I$89,5,0)</f>
        <v>317.32271999999978</v>
      </c>
      <c r="CA97" s="14">
        <f t="shared" si="93"/>
        <v>74.796021393862119</v>
      </c>
      <c r="CB97" s="22">
        <f t="shared" si="64"/>
        <v>682.94014126097602</v>
      </c>
      <c r="CC97" s="60">
        <f t="shared" si="65"/>
        <v>964.68467863656724</v>
      </c>
      <c r="CD97" s="60">
        <f ca="1">AVERAGE(OFFSET($CC$3,0,0,'Données projet'!$E$12+1,1))-AVERAGE(OFFSET($H$3,0,0,'Données projet'!$E$12+1,1))</f>
        <v>530.32456073177104</v>
      </c>
      <c r="CE97" s="60">
        <f t="shared" si="94"/>
        <v>279.81519428470625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66.839419284252159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3.4106051316484809E-13</v>
      </c>
      <c r="CU97" s="18">
        <f>CT97*VLOOKUP('Données projet'!$B$13,Paramètres!$A$1:$I$89,3,0)*VLOOKUP('Données projet'!$B$13,Paramètres!$A$1:$I$89,5,0)</f>
        <v>2.9795046430081134E-13</v>
      </c>
      <c r="CV97" s="14">
        <f t="shared" si="95"/>
        <v>3.9419014464513778E-12</v>
      </c>
      <c r="CW97" s="22">
        <f t="shared" si="67"/>
        <v>7.384408744560063E-12</v>
      </c>
      <c r="CX97" s="60">
        <f t="shared" si="68"/>
        <v>281.74453737559867</v>
      </c>
      <c r="CY97" s="60">
        <f ca="1">AVERAGE(OFFSET($CX$3,0,0,'Données projet'!$E$13+1,1))-AVERAGE(OFFSET($H$3,0,0,'Données projet'!$E$13+1,1))</f>
        <v>355.03862261578701</v>
      </c>
      <c r="CZ97" s="60">
        <f t="shared" si="96"/>
        <v>382.84441399266029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66.839419284252159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1.1368683772161603E-13</v>
      </c>
      <c r="DP97" s="18">
        <f>DO97*VLOOKUP('Données projet'!$B$14,Paramètres!$A$1:$I$89,3,0)*VLOOKUP('Données projet'!$B$14,Paramètres!$A$1:$I$89,5,0)</f>
        <v>8.8675733422860506E-14</v>
      </c>
      <c r="DQ97" s="14">
        <f t="shared" si="97"/>
        <v>1.3509285393066301E-12</v>
      </c>
      <c r="DR97" s="22">
        <f t="shared" si="70"/>
        <v>2.5073107750038623E-12</v>
      </c>
      <c r="DS97" s="60">
        <f t="shared" si="71"/>
        <v>281.74453737559378</v>
      </c>
      <c r="DT97" s="60">
        <f ca="1">AVERAGE(OFFSET($DS$3,0,0,'Données projet'!$E$14+1,1))-AVERAGE(OFFSET($H$3,0,0,'Données projet'!$E$14+1,1))</f>
        <v>305.68891030516761</v>
      </c>
      <c r="DU97" s="60">
        <f t="shared" si="98"/>
        <v>296.00275062228275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66.839419284252159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5.2</v>
      </c>
      <c r="EJ97" s="13">
        <f>IF('Données projet'!$A$192&gt;35,EJ96+EI97-ER96,IF(A97&lt;'Données projet'!$A$192,$EG$205^A97,IF(A97='Données projet'!$A$192,'Données projet'!$B$192,EJ96+EI97-ER96)))</f>
        <v>294.79999999999984</v>
      </c>
      <c r="EK97" s="18">
        <f>EJ97*VLOOKUP('Données projet'!$B$15,Paramètres!$A$1:$I$89,3,0)*VLOOKUP('Données projet'!$B$15,Paramètres!$A$1:$I$89,5,0)</f>
        <v>285.13055999999983</v>
      </c>
      <c r="EL97" s="14">
        <f t="shared" si="99"/>
        <v>68.050095250359178</v>
      </c>
      <c r="EM97" s="22">
        <f t="shared" si="73"/>
        <v>615.12297456104193</v>
      </c>
      <c r="EN97" s="60">
        <f t="shared" si="74"/>
        <v>896.86751193663326</v>
      </c>
      <c r="EO97" s="60">
        <f ca="1">AVERAGE(OFFSET($EN$3,0,0,'Données projet'!$E$15+1,1))-AVERAGE(OFFSET($H$3,0,0,'Données projet'!$E$15+1,1))</f>
        <v>483.60545605360528</v>
      </c>
      <c r="EP97" s="60">
        <f t="shared" si="100"/>
        <v>256.96685577560345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66.839419284252159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0" t="e">
        <f t="shared" si="77"/>
        <v>#N/A</v>
      </c>
      <c r="FJ97" s="60" t="e">
        <f ca="1">AVERAGE(OFFSET($FI$3,0,0,'Données projet'!$E$16+1,1))-AVERAGE(OFFSET($H$3,0,0,'Données projet'!$E$16+1,1))</f>
        <v>#N/A</v>
      </c>
      <c r="FK97" s="60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66.839419284252159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0" t="e">
        <f t="shared" si="80"/>
        <v>#N/A</v>
      </c>
      <c r="GE97" s="60" t="e">
        <f ca="1">AVERAGE(OFFSET($GD$3,0,0,'Données projet'!$E$17+1,1))-AVERAGE(OFFSET($H$3,0,0,'Données projet'!$E$17+1,1))</f>
        <v>#N/A</v>
      </c>
      <c r="GF97" s="60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66.839419284252159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4">
        <f>'Scénario référence'!$B$16*5+'Scénario référence'!$B$17*0+'Scénario référence'!$B$18*5</f>
        <v>3.2750000000000004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12.008333333333335</v>
      </c>
      <c r="H98" s="67">
        <f t="shared" si="56"/>
        <v>208.63333333333333</v>
      </c>
      <c r="I98" s="7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66.894248293670458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300</v>
      </c>
      <c r="L98" s="13">
        <f>VLOOKUP(A98,'Données projet'!$A$35:$I$55,9,0)</f>
        <v>5.2</v>
      </c>
      <c r="M98" s="13">
        <f t="array" ref="M98">INDEX(L:L,MIN(IF(ISNUMBER(L98:L294),ROW(L98:L294),"")))</f>
        <v>5.2</v>
      </c>
      <c r="N98" s="14">
        <f>IF('Données projet'!$A$36&gt;35,N97+M98-V97,IF(A98&lt;'Données projet'!$A$36,$K$205^A98,IF(A98='Données projet'!$A$36,'Données projet'!$B$36,N97+M98-V97)))</f>
        <v>299.99999999999983</v>
      </c>
      <c r="O98" s="14">
        <f>N98*VLOOKUP('Données projet'!$B$9,Paramètres!$A$1:$I$89,3,0)*VLOOKUP('Données projet'!$B$9,Paramètres!$A$1:$I$89,5,0)</f>
        <v>304.19999999999982</v>
      </c>
      <c r="P98" s="14">
        <f t="shared" si="87"/>
        <v>72.056231093481074</v>
      </c>
      <c r="Q98" s="22">
        <f t="shared" si="54"/>
        <v>655.31293582114586</v>
      </c>
      <c r="R98" s="60">
        <f t="shared" si="55"/>
        <v>937.25851289793752</v>
      </c>
      <c r="S98" s="60">
        <f ca="1">AVERAGE(OFFSET($R$3,0,0,'Données projet'!$E$9+1,1))-AVERAGE(OFFSET($H$3,0,0,'Données projet'!$E$9+1,1))</f>
        <v>503.64055031157477</v>
      </c>
      <c r="T98" s="60">
        <f t="shared" si="88"/>
        <v>266.76572540460842</v>
      </c>
      <c r="U98" s="16">
        <f>IF(ISNA(VLOOKUP(A98,'Données projet'!$A$35:$I$55,3,0)),0,VLOOKUP(A98,'Données projet'!$A$35:$I$55,3,0))</f>
        <v>8</v>
      </c>
      <c r="V98" s="16">
        <f>IF(ISNA(VLOOKUP(A98,'Données projet'!$A$35:$I$55,4,0)),0,VLOOKUP(A98,'Données projet'!$A$35:$I$55,4,0))</f>
        <v>42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66.894248293670458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300</v>
      </c>
      <c r="AG98" s="13">
        <f>VLOOKUP(A98,'Données projet'!$A$61:$I$81,9,0)</f>
        <v>5.2</v>
      </c>
      <c r="AH98" s="13">
        <f t="array" ref="AH98">INDEX(AG:AG,MIN(IF(ISNUMBER(AG98:AG294),ROW(AG98:AG294),"")))</f>
        <v>5.2</v>
      </c>
      <c r="AI98" s="14">
        <f>IF('Données projet'!$A$62&gt;35,AI97+AH98-AQ97,IF(A98&lt;'Données projet'!$A$62,$AF$205^A98,IF(A98='Données projet'!$A$62,'Données projet'!$B$62,AI97+AH98-AQ97)))</f>
        <v>299.99999999999983</v>
      </c>
      <c r="AJ98" s="14">
        <f>AI98*VLOOKUP('Données projet'!$B$10,Paramètres!$A$1:$I$89,3,0)*VLOOKUP('Données projet'!$B$10,Paramètres!$A$1:$I$89,5,0)</f>
        <v>271.43999999999983</v>
      </c>
      <c r="AK98" s="14">
        <f t="shared" si="89"/>
        <v>65.154778959151173</v>
      </c>
      <c r="AL98" s="22">
        <f t="shared" si="58"/>
        <v>586.23590668718793</v>
      </c>
      <c r="AM98" s="60">
        <f t="shared" si="59"/>
        <v>868.1814837639796</v>
      </c>
      <c r="AN98" s="60">
        <f ca="1">AVERAGE(OFFSET($AM$3,0,0,'Données projet'!$E$10+1,1))-AVERAGE(OFFSET($H$3,0,0,'Données projet'!$E$10+1,1))</f>
        <v>456.86058467343139</v>
      </c>
      <c r="AO98" s="60">
        <f t="shared" si="90"/>
        <v>243.88495931574937</v>
      </c>
      <c r="AP98" s="16">
        <f>IF(ISNA(VLOOKUP(A98,'Données projet'!$A$61:$I$81,3,0)),0,VLOOKUP(A98,'Données projet'!$A$61:$I$81,3,0))</f>
        <v>8</v>
      </c>
      <c r="AQ98" s="16">
        <f>IF(ISNA(VLOOKUP(A98,'Données projet'!$A$61:$I$81,4,0)),0,VLOOKUP(A98,'Données projet'!$A$61:$I$81,4,0))</f>
        <v>42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66.894248293670458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292.94871794871796</v>
      </c>
      <c r="BB98" s="13">
        <f>VLOOKUP(A98,'Données projet'!$A$87:$I$107,9,0)</f>
        <v>3.5897435897435912</v>
      </c>
      <c r="BC98" s="13">
        <f t="array" ref="BC98">INDEX(BB:BB,MIN(IF(ISNUMBER(BB98:BB294),ROW(BB98:BB294),"")))</f>
        <v>3.5897435897435912</v>
      </c>
      <c r="BD98" s="13">
        <f>IF('Données projet'!$A$88&gt;35,BD97+BC98-BL97,IF(A98&lt;'Données projet'!$A$88,$BA$205^A98,IF(A98='Données projet'!$A$88,'Données projet'!$B$88,BD97+BC98-BL97)))</f>
        <v>292.94871794871779</v>
      </c>
      <c r="BE98" s="14">
        <f>BD98*VLOOKUP('Données projet'!$B$11,Paramètres!$A$1:$I$89,3,0)*VLOOKUP('Données projet'!$B$11,Paramètres!$A$1:$I$89,5,0)</f>
        <v>306.18999999999988</v>
      </c>
      <c r="BF98" s="14">
        <f t="shared" si="91"/>
        <v>72.472578762392175</v>
      </c>
      <c r="BG98" s="22">
        <f t="shared" si="61"/>
        <v>659.50399134449947</v>
      </c>
      <c r="BH98" s="60">
        <f t="shared" si="62"/>
        <v>941.44956842129113</v>
      </c>
      <c r="BI98" s="60">
        <f ca="1">AVERAGE(OFFSET($BH$3,0,0,'Données projet'!$E$11+1,1))-AVERAGE(OFFSET($H$3,0,0,'Données projet'!$E$11+1,1))</f>
        <v>518.47226207416952</v>
      </c>
      <c r="BJ98" s="60">
        <f t="shared" si="92"/>
        <v>314.6379787306804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66.894248293670458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300</v>
      </c>
      <c r="BW98" s="13">
        <f>VLOOKUP(A98,'Données projet'!$A$113:$I$133,9,0)</f>
        <v>5.2</v>
      </c>
      <c r="BX98" s="13">
        <f t="array" ref="BX98">INDEX(BW:BW,MIN(IF(ISNUMBER(BW98:BW294),ROW(BW98:BW294),"")))</f>
        <v>5.2</v>
      </c>
      <c r="BY98" s="13">
        <f>IF('Données projet'!$A$114&gt;35,BY97+BX98-CG97,IF(A98&lt;'Données projet'!$A$114,$BV$205^A98,IF(A98='Données projet'!$A$114,'Données projet'!$B$114,BY97+BX98-CG97)))</f>
        <v>299.99999999999983</v>
      </c>
      <c r="BZ98" s="14">
        <f>BY98*VLOOKUP('Données projet'!$B$12,Paramètres!$A$1:$I$89,3,0)*VLOOKUP('Données projet'!$B$12,Paramètres!$A$1:$I$89,5,0)</f>
        <v>322.91999999999979</v>
      </c>
      <c r="CA98" s="14">
        <f t="shared" si="93"/>
        <v>75.960594879408688</v>
      </c>
      <c r="CB98" s="22">
        <f t="shared" si="64"/>
        <v>694.71703608163637</v>
      </c>
      <c r="CC98" s="60">
        <f t="shared" si="65"/>
        <v>976.66261315842803</v>
      </c>
      <c r="CD98" s="60">
        <f ca="1">AVERAGE(OFFSET($CC$3,0,0,'Données projet'!$E$12+1,1))-AVERAGE(OFFSET($H$3,0,0,'Données projet'!$E$12+1,1))</f>
        <v>530.32456073177104</v>
      </c>
      <c r="CE98" s="60">
        <f t="shared" si="94"/>
        <v>279.81519428470625</v>
      </c>
      <c r="CF98" s="16">
        <f>IF(ISNA(VLOOKUP(A98,'Données projet'!$A$113:$I$133,3,0)),0,VLOOKUP(A98,'Données projet'!$A$113:$I$133,3,0))</f>
        <v>8</v>
      </c>
      <c r="CG98" s="16">
        <f>IF(ISNA(VLOOKUP(A98,'Données projet'!$A$113:$I$133,4,0)),0,VLOOKUP(A98,'Données projet'!$A$113:$I$133,4,0))</f>
        <v>42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66.894248293670458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3.4106051316484809E-13</v>
      </c>
      <c r="CU98" s="18">
        <f>CT98*VLOOKUP('Données projet'!$B$13,Paramètres!$A$1:$I$89,3,0)*VLOOKUP('Données projet'!$B$13,Paramètres!$A$1:$I$89,5,0)</f>
        <v>2.9795046430081134E-13</v>
      </c>
      <c r="CV98" s="14">
        <f t="shared" si="95"/>
        <v>3.9419014464513778E-12</v>
      </c>
      <c r="CW98" s="22">
        <f t="shared" si="67"/>
        <v>7.384408744560063E-12</v>
      </c>
      <c r="CX98" s="60">
        <f t="shared" si="68"/>
        <v>281.94557707679905</v>
      </c>
      <c r="CY98" s="60">
        <f ca="1">AVERAGE(OFFSET($CX$3,0,0,'Données projet'!$E$13+1,1))-AVERAGE(OFFSET($H$3,0,0,'Données projet'!$E$13+1,1))</f>
        <v>355.03862261578701</v>
      </c>
      <c r="CZ98" s="60">
        <f t="shared" si="96"/>
        <v>382.84441399266029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66.894248293670458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1.1368683772161603E-13</v>
      </c>
      <c r="DP98" s="18">
        <f>DO98*VLOOKUP('Données projet'!$B$14,Paramètres!$A$1:$I$89,3,0)*VLOOKUP('Données projet'!$B$14,Paramètres!$A$1:$I$89,5,0)</f>
        <v>8.8675733422860506E-14</v>
      </c>
      <c r="DQ98" s="14">
        <f t="shared" si="97"/>
        <v>1.3509285393066301E-12</v>
      </c>
      <c r="DR98" s="22">
        <f t="shared" si="70"/>
        <v>2.5073107750038623E-12</v>
      </c>
      <c r="DS98" s="60">
        <f t="shared" si="71"/>
        <v>281.94557707679417</v>
      </c>
      <c r="DT98" s="60">
        <f ca="1">AVERAGE(OFFSET($DS$3,0,0,'Données projet'!$E$14+1,1))-AVERAGE(OFFSET($H$3,0,0,'Données projet'!$E$14+1,1))</f>
        <v>305.68891030516761</v>
      </c>
      <c r="DU98" s="60">
        <f t="shared" si="98"/>
        <v>296.00275062228275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66.894248293670458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>
        <f>VLOOKUP(A98,'Données projet'!$A$191:$I$211,2,0)</f>
        <v>300</v>
      </c>
      <c r="EH98" s="13">
        <f>VLOOKUP(A98,'Données projet'!$A$191:$I$211,9,0)</f>
        <v>5.2</v>
      </c>
      <c r="EI98" s="13">
        <f t="array" ref="EI98">INDEX(EH:EH,MIN(IF(ISNUMBER(EH98:EH294),ROW(EH98:EH294),"")))</f>
        <v>5.2</v>
      </c>
      <c r="EJ98" s="13">
        <f>IF('Données projet'!$A$192&gt;35,EJ97+EI98-ER97,IF(A98&lt;'Données projet'!$A$192,$EG$205^A98,IF(A98='Données projet'!$A$192,'Données projet'!$B$192,EJ97+EI98-ER97)))</f>
        <v>299.99999999999983</v>
      </c>
      <c r="EK98" s="18">
        <f>EJ98*VLOOKUP('Données projet'!$B$15,Paramètres!$A$1:$I$89,3,0)*VLOOKUP('Données projet'!$B$15,Paramètres!$A$1:$I$89,5,0)</f>
        <v>290.15999999999985</v>
      </c>
      <c r="EL98" s="14">
        <f t="shared" si="99"/>
        <v>69.109634717039867</v>
      </c>
      <c r="EM98" s="22">
        <f t="shared" si="73"/>
        <v>625.72794713217752</v>
      </c>
      <c r="EN98" s="60">
        <f t="shared" si="74"/>
        <v>907.67352420896918</v>
      </c>
      <c r="EO98" s="60">
        <f ca="1">AVERAGE(OFFSET($EN$3,0,0,'Données projet'!$E$15+1,1))-AVERAGE(OFFSET($H$3,0,0,'Données projet'!$E$15+1,1))</f>
        <v>483.60545605360528</v>
      </c>
      <c r="EP98" s="60">
        <f t="shared" si="100"/>
        <v>256.96685577560345</v>
      </c>
      <c r="EQ98" s="16">
        <f>IF(ISNA(VLOOKUP(A98,'Données projet'!$A$191:$I$211,3,0)),0,VLOOKUP(A98,'Données projet'!$A$191:$I$211,3,0))</f>
        <v>8</v>
      </c>
      <c r="ER98" s="16">
        <f>IF(ISNA(VLOOKUP(A98,'Données projet'!$A$191:$I$211,4,0)),0,VLOOKUP(A98,'Données projet'!$A$191:$I$211,4,0))</f>
        <v>42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66.894248293670458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0" t="e">
        <f t="shared" si="77"/>
        <v>#N/A</v>
      </c>
      <c r="FJ98" s="60" t="e">
        <f ca="1">AVERAGE(OFFSET($FI$3,0,0,'Données projet'!$E$16+1,1))-AVERAGE(OFFSET($H$3,0,0,'Données projet'!$E$16+1,1))</f>
        <v>#N/A</v>
      </c>
      <c r="FK98" s="60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66.894248293670458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0" t="e">
        <f t="shared" si="80"/>
        <v>#N/A</v>
      </c>
      <c r="GE98" s="60" t="e">
        <f ca="1">AVERAGE(OFFSET($GD$3,0,0,'Données projet'!$E$17+1,1))-AVERAGE(OFFSET($H$3,0,0,'Données projet'!$E$17+1,1))</f>
        <v>#N/A</v>
      </c>
      <c r="GF98" s="60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66.894248293670458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4">
        <f>'Scénario référence'!$B$16*5+'Scénario référence'!$B$17*0+'Scénario référence'!$B$18*5</f>
        <v>3.2750000000000004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12.008333333333335</v>
      </c>
      <c r="H99" s="67">
        <f t="shared" si="56"/>
        <v>208.63333333333333</v>
      </c>
      <c r="I99" s="7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66.948126142354653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4.7</v>
      </c>
      <c r="N99" s="14">
        <f>IF('Données projet'!$A$36&gt;35,N98+M99-V98,IF(A99&lt;'Données projet'!$A$36,$K$205^A99,IF(A99='Données projet'!$A$36,'Données projet'!$B$36,N98+M99-V98)))</f>
        <v>262.69999999999982</v>
      </c>
      <c r="O99" s="14">
        <f>N99*VLOOKUP('Données projet'!$B$9,Paramètres!$A$1:$I$89,3,0)*VLOOKUP('Données projet'!$B$9,Paramètres!$A$1:$I$89,5,0)</f>
        <v>266.37779999999981</v>
      </c>
      <c r="P99" s="14">
        <f t="shared" si="87"/>
        <v>64.079943804672666</v>
      </c>
      <c r="Q99" s="22">
        <f t="shared" ref="Q99:Q130" si="107">(O99+P99)*0.475*44/12</f>
        <v>575.54723712647126</v>
      </c>
      <c r="R99" s="60">
        <f t="shared" si="55"/>
        <v>857.69036631510494</v>
      </c>
      <c r="S99" s="60">
        <f ca="1">AVERAGE(OFFSET($R$3,0,0,'Données projet'!$E$9+1,1))-AVERAGE(OFFSET($H$3,0,0,'Données projet'!$E$9+1,1))</f>
        <v>503.64055031157477</v>
      </c>
      <c r="T99" s="60">
        <f t="shared" si="88"/>
        <v>266.76572540460842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66.948126142354653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4.7</v>
      </c>
      <c r="AI99" s="14">
        <f>IF('Données projet'!$A$62&gt;35,AI98+AH99-AQ98,IF(A99&lt;'Données projet'!$A$62,$AF$205^A99,IF(A99='Données projet'!$A$62,'Données projet'!$B$62,AI98+AH99-AQ98)))</f>
        <v>262.69999999999982</v>
      </c>
      <c r="AJ99" s="14">
        <f>AI99*VLOOKUP('Données projet'!$B$10,Paramètres!$A$1:$I$89,3,0)*VLOOKUP('Données projet'!$B$10,Paramètres!$A$1:$I$89,5,0)</f>
        <v>237.69095999999982</v>
      </c>
      <c r="AK99" s="14">
        <f t="shared" si="89"/>
        <v>57.942450096949393</v>
      </c>
      <c r="AL99" s="22">
        <f t="shared" si="58"/>
        <v>514.89485591885318</v>
      </c>
      <c r="AM99" s="60">
        <f t="shared" si="59"/>
        <v>797.03798510748697</v>
      </c>
      <c r="AN99" s="60">
        <f ca="1">AVERAGE(OFFSET($AM$3,0,0,'Données projet'!$E$10+1,1))-AVERAGE(OFFSET($H$3,0,0,'Données projet'!$E$10+1,1))</f>
        <v>456.86058467343139</v>
      </c>
      <c r="AO99" s="60">
        <f t="shared" si="90"/>
        <v>243.88495931574937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66.948126142354653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3.3333333333333259</v>
      </c>
      <c r="BD99" s="13">
        <f>IF('Données projet'!$A$88&gt;35,BD98+BC99-BL98,IF(A99&lt;'Données projet'!$A$88,$BA$205^A99,IF(A99='Données projet'!$A$88,'Données projet'!$B$88,BD98+BC99-BL98)))</f>
        <v>296.2820512820511</v>
      </c>
      <c r="BE99" s="14">
        <f>BD99*VLOOKUP('Données projet'!$B$11,Paramètres!$A$1:$I$89,3,0)*VLOOKUP('Données projet'!$B$11,Paramètres!$A$1:$I$89,5,0)</f>
        <v>309.67399999999986</v>
      </c>
      <c r="BF99" s="14">
        <f t="shared" si="91"/>
        <v>73.200744228123625</v>
      </c>
      <c r="BG99" s="22">
        <f t="shared" si="61"/>
        <v>666.84017953064847</v>
      </c>
      <c r="BH99" s="60">
        <f t="shared" si="62"/>
        <v>948.98330871928215</v>
      </c>
      <c r="BI99" s="60">
        <f ca="1">AVERAGE(OFFSET($BH$3,0,0,'Données projet'!$E$11+1,1))-AVERAGE(OFFSET($H$3,0,0,'Données projet'!$E$11+1,1))</f>
        <v>518.47226207416952</v>
      </c>
      <c r="BJ99" s="60">
        <f t="shared" si="92"/>
        <v>314.6379787306804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66.948126142354653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4.7</v>
      </c>
      <c r="BY99" s="13">
        <f>IF('Données projet'!$A$114&gt;35,BY98+BX99-CG98,IF(A99&lt;'Données projet'!$A$114,$BV$205^A99,IF(A99='Données projet'!$A$114,'Données projet'!$B$114,BY98+BX99-CG98)))</f>
        <v>262.69999999999982</v>
      </c>
      <c r="BZ99" s="14">
        <f>BY99*VLOOKUP('Données projet'!$B$12,Paramètres!$A$1:$I$89,3,0)*VLOOKUP('Données projet'!$B$12,Paramètres!$A$1:$I$89,5,0)</f>
        <v>282.77027999999979</v>
      </c>
      <c r="CA99" s="14">
        <f t="shared" si="93"/>
        <v>67.552112806554916</v>
      </c>
      <c r="CB99" s="22">
        <f t="shared" si="64"/>
        <v>610.14483413808273</v>
      </c>
      <c r="CC99" s="60">
        <f t="shared" si="65"/>
        <v>892.28796332671641</v>
      </c>
      <c r="CD99" s="60">
        <f ca="1">AVERAGE(OFFSET($CC$3,0,0,'Données projet'!$E$12+1,1))-AVERAGE(OFFSET($H$3,0,0,'Données projet'!$E$12+1,1))</f>
        <v>530.32456073177104</v>
      </c>
      <c r="CE99" s="60">
        <f t="shared" si="94"/>
        <v>279.81519428470625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66.948126142354653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3.4106051316484809E-13</v>
      </c>
      <c r="CU99" s="18">
        <f>CT99*VLOOKUP('Données projet'!$B$13,Paramètres!$A$1:$I$89,3,0)*VLOOKUP('Données projet'!$B$13,Paramètres!$A$1:$I$89,5,0)</f>
        <v>2.9795046430081134E-13</v>
      </c>
      <c r="CV99" s="14">
        <f t="shared" si="95"/>
        <v>3.9419014464513778E-12</v>
      </c>
      <c r="CW99" s="22">
        <f t="shared" si="67"/>
        <v>7.384408744560063E-12</v>
      </c>
      <c r="CX99" s="60">
        <f t="shared" si="68"/>
        <v>282.14312918864113</v>
      </c>
      <c r="CY99" s="60">
        <f ca="1">AVERAGE(OFFSET($CX$3,0,0,'Données projet'!$E$13+1,1))-AVERAGE(OFFSET($H$3,0,0,'Données projet'!$E$13+1,1))</f>
        <v>355.03862261578701</v>
      </c>
      <c r="CZ99" s="60">
        <f t="shared" si="96"/>
        <v>382.84441399266029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66.948126142354653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1.1368683772161603E-13</v>
      </c>
      <c r="DP99" s="18">
        <f>DO99*VLOOKUP('Données projet'!$B$14,Paramètres!$A$1:$I$89,3,0)*VLOOKUP('Données projet'!$B$14,Paramètres!$A$1:$I$89,5,0)</f>
        <v>8.8675733422860506E-14</v>
      </c>
      <c r="DQ99" s="14">
        <f t="shared" si="97"/>
        <v>1.3509285393066301E-12</v>
      </c>
      <c r="DR99" s="22">
        <f t="shared" si="70"/>
        <v>2.5073107750038623E-12</v>
      </c>
      <c r="DS99" s="60">
        <f t="shared" si="71"/>
        <v>282.14312918863624</v>
      </c>
      <c r="DT99" s="60">
        <f ca="1">AVERAGE(OFFSET($DS$3,0,0,'Données projet'!$E$14+1,1))-AVERAGE(OFFSET($H$3,0,0,'Données projet'!$E$14+1,1))</f>
        <v>305.68891030516761</v>
      </c>
      <c r="DU99" s="60">
        <f t="shared" si="98"/>
        <v>296.00275062228275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66.948126142354653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4.7</v>
      </c>
      <c r="EJ99" s="13">
        <f>IF('Données projet'!$A$192&gt;35,EJ98+EI99-ER98,IF(A99&lt;'Données projet'!$A$192,$EG$205^A99,IF(A99='Données projet'!$A$192,'Données projet'!$B$192,EJ98+EI99-ER98)))</f>
        <v>262.69999999999982</v>
      </c>
      <c r="EK99" s="18">
        <f>EJ99*VLOOKUP('Données projet'!$B$15,Paramètres!$A$1:$I$89,3,0)*VLOOKUP('Données projet'!$B$15,Paramètres!$A$1:$I$89,5,0)</f>
        <v>254.08343999999983</v>
      </c>
      <c r="EL99" s="14">
        <f t="shared" si="99"/>
        <v>61.459521845988199</v>
      </c>
      <c r="EM99" s="22">
        <f t="shared" si="73"/>
        <v>549.57065854842915</v>
      </c>
      <c r="EN99" s="60">
        <f t="shared" si="74"/>
        <v>831.71378773706283</v>
      </c>
      <c r="EO99" s="60">
        <f ca="1">AVERAGE(OFFSET($EN$3,0,0,'Données projet'!$E$15+1,1))-AVERAGE(OFFSET($H$3,0,0,'Données projet'!$E$15+1,1))</f>
        <v>483.60545605360528</v>
      </c>
      <c r="EP99" s="60">
        <f t="shared" si="100"/>
        <v>256.96685577560345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66.948126142354653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0" t="e">
        <f t="shared" si="77"/>
        <v>#N/A</v>
      </c>
      <c r="FJ99" s="60" t="e">
        <f ca="1">AVERAGE(OFFSET($FI$3,0,0,'Données projet'!$E$16+1,1))-AVERAGE(OFFSET($H$3,0,0,'Données projet'!$E$16+1,1))</f>
        <v>#N/A</v>
      </c>
      <c r="FK99" s="60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66.948126142354653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0" t="e">
        <f t="shared" si="80"/>
        <v>#N/A</v>
      </c>
      <c r="GE99" s="60" t="e">
        <f ca="1">AVERAGE(OFFSET($GD$3,0,0,'Données projet'!$E$17+1,1))-AVERAGE(OFFSET($H$3,0,0,'Données projet'!$E$17+1,1))</f>
        <v>#N/A</v>
      </c>
      <c r="GF99" s="60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66.948126142354653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4">
        <f>'Scénario référence'!$B$16*5+'Scénario référence'!$B$17*0+'Scénario référence'!$B$18*5</f>
        <v>3.2750000000000004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12.008333333333335</v>
      </c>
      <c r="H100" s="67">
        <f t="shared" si="56"/>
        <v>208.63333333333333</v>
      </c>
      <c r="I100" s="7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67.001069330817018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4.7</v>
      </c>
      <c r="N100" s="14">
        <f>IF('Données projet'!$A$36&gt;35,N99+M100-V99,IF(A100&lt;'Données projet'!$A$36,$K$205^A100,IF(A100='Données projet'!$A$36,'Données projet'!$B$36,N99+M100-V99)))</f>
        <v>267.39999999999981</v>
      </c>
      <c r="O100" s="14">
        <f>N100*VLOOKUP('Données projet'!$B$9,Paramètres!$A$1:$I$89,3,0)*VLOOKUP('Données projet'!$B$9,Paramètres!$A$1:$I$89,5,0)</f>
        <v>271.14359999999982</v>
      </c>
      <c r="P100" s="14">
        <f t="shared" si="87"/>
        <v>65.091910336447413</v>
      </c>
      <c r="Q100" s="22">
        <f t="shared" si="107"/>
        <v>585.61018050264568</v>
      </c>
      <c r="R100" s="60">
        <f t="shared" si="55"/>
        <v>867.94743471564141</v>
      </c>
      <c r="S100" s="60">
        <f ca="1">AVERAGE(OFFSET($R$3,0,0,'Données projet'!$E$9+1,1))-AVERAGE(OFFSET($H$3,0,0,'Données projet'!$E$9+1,1))</f>
        <v>503.64055031157477</v>
      </c>
      <c r="T100" s="60">
        <f t="shared" si="88"/>
        <v>266.76572540460842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67.001069330817018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4.7</v>
      </c>
      <c r="AI100" s="14">
        <f>IF('Données projet'!$A$62&gt;35,AI99+AH100-AQ99,IF(A100&lt;'Données projet'!$A$62,$AF$205^A100,IF(A100='Données projet'!$A$62,'Données projet'!$B$62,AI99+AH100-AQ99)))</f>
        <v>267.39999999999981</v>
      </c>
      <c r="AJ100" s="14">
        <f>AI100*VLOOKUP('Données projet'!$B$10,Paramètres!$A$1:$I$89,3,0)*VLOOKUP('Données projet'!$B$10,Paramètres!$A$1:$I$89,5,0)</f>
        <v>241.94351999999981</v>
      </c>
      <c r="AK100" s="14">
        <f t="shared" si="89"/>
        <v>58.857491789961337</v>
      </c>
      <c r="AL100" s="22">
        <f t="shared" si="58"/>
        <v>523.89509553418225</v>
      </c>
      <c r="AM100" s="60">
        <f t="shared" si="59"/>
        <v>806.23234974717798</v>
      </c>
      <c r="AN100" s="60">
        <f ca="1">AVERAGE(OFFSET($AM$3,0,0,'Données projet'!$E$10+1,1))-AVERAGE(OFFSET($H$3,0,0,'Données projet'!$E$10+1,1))</f>
        <v>456.86058467343139</v>
      </c>
      <c r="AO100" s="60">
        <f t="shared" si="90"/>
        <v>243.88495931574937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67.001069330817018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3.3333333333333259</v>
      </c>
      <c r="BD100" s="13">
        <f>IF('Données projet'!$A$88&gt;35,BD99+BC100-BL99,IF(A100&lt;'Données projet'!$A$88,$BA$205^A100,IF(A100='Données projet'!$A$88,'Données projet'!$B$88,BD99+BC100-BL99)))</f>
        <v>299.61538461538441</v>
      </c>
      <c r="BE100" s="14">
        <f>BD100*VLOOKUP('Données projet'!$B$11,Paramètres!$A$1:$I$89,3,0)*VLOOKUP('Données projet'!$B$11,Paramètres!$A$1:$I$89,5,0)</f>
        <v>313.15799999999984</v>
      </c>
      <c r="BF100" s="14">
        <f t="shared" si="91"/>
        <v>73.927956718185214</v>
      </c>
      <c r="BG100" s="22">
        <f t="shared" si="61"/>
        <v>674.17470795083898</v>
      </c>
      <c r="BH100" s="60">
        <f t="shared" si="62"/>
        <v>956.51196216383471</v>
      </c>
      <c r="BI100" s="60">
        <f ca="1">AVERAGE(OFFSET($BH$3,0,0,'Données projet'!$E$11+1,1))-AVERAGE(OFFSET($H$3,0,0,'Données projet'!$E$11+1,1))</f>
        <v>518.47226207416952</v>
      </c>
      <c r="BJ100" s="60">
        <f t="shared" si="92"/>
        <v>314.6379787306804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67.001069330817018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4.7</v>
      </c>
      <c r="BY100" s="13">
        <f>IF('Données projet'!$A$114&gt;35,BY99+BX100-CG99,IF(A100&lt;'Données projet'!$A$114,$BV$205^A100,IF(A100='Données projet'!$A$114,'Données projet'!$B$114,BY99+BX100-CG99)))</f>
        <v>267.39999999999981</v>
      </c>
      <c r="BZ100" s="14">
        <f>BY100*VLOOKUP('Données projet'!$B$12,Paramètres!$A$1:$I$89,3,0)*VLOOKUP('Données projet'!$B$12,Paramètres!$A$1:$I$89,5,0)</f>
        <v>287.82935999999978</v>
      </c>
      <c r="CA100" s="14">
        <f t="shared" si="93"/>
        <v>68.61891270137501</v>
      </c>
      <c r="CB100" s="22">
        <f t="shared" si="64"/>
        <v>620.81407495489441</v>
      </c>
      <c r="CC100" s="60">
        <f t="shared" si="65"/>
        <v>903.15132916789014</v>
      </c>
      <c r="CD100" s="60">
        <f ca="1">AVERAGE(OFFSET($CC$3,0,0,'Données projet'!$E$12+1,1))-AVERAGE(OFFSET($H$3,0,0,'Données projet'!$E$12+1,1))</f>
        <v>530.32456073177104</v>
      </c>
      <c r="CE100" s="60">
        <f t="shared" si="94"/>
        <v>279.81519428470625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67.001069330817018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3.4106051316484809E-13</v>
      </c>
      <c r="CU100" s="18">
        <f>CT100*VLOOKUP('Données projet'!$B$13,Paramètres!$A$1:$I$89,3,0)*VLOOKUP('Données projet'!$B$13,Paramètres!$A$1:$I$89,5,0)</f>
        <v>2.9795046430081134E-13</v>
      </c>
      <c r="CV100" s="14">
        <f t="shared" si="95"/>
        <v>3.9419014464513778E-12</v>
      </c>
      <c r="CW100" s="22">
        <f t="shared" si="67"/>
        <v>7.384408744560063E-12</v>
      </c>
      <c r="CX100" s="60">
        <f t="shared" si="68"/>
        <v>282.33725421300312</v>
      </c>
      <c r="CY100" s="60">
        <f ca="1">AVERAGE(OFFSET($CX$3,0,0,'Données projet'!$E$13+1,1))-AVERAGE(OFFSET($H$3,0,0,'Données projet'!$E$13+1,1))</f>
        <v>355.03862261578701</v>
      </c>
      <c r="CZ100" s="60">
        <f t="shared" si="96"/>
        <v>382.84441399266029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67.001069330817018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1.1368683772161603E-13</v>
      </c>
      <c r="DP100" s="18">
        <f>DO100*VLOOKUP('Données projet'!$B$14,Paramètres!$A$1:$I$89,3,0)*VLOOKUP('Données projet'!$B$14,Paramètres!$A$1:$I$89,5,0)</f>
        <v>8.8675733422860506E-14</v>
      </c>
      <c r="DQ100" s="14">
        <f t="shared" si="97"/>
        <v>1.3509285393066301E-12</v>
      </c>
      <c r="DR100" s="22">
        <f t="shared" si="70"/>
        <v>2.5073107750038623E-12</v>
      </c>
      <c r="DS100" s="60">
        <f t="shared" si="71"/>
        <v>282.33725421299823</v>
      </c>
      <c r="DT100" s="60">
        <f ca="1">AVERAGE(OFFSET($DS$3,0,0,'Données projet'!$E$14+1,1))-AVERAGE(OFFSET($H$3,0,0,'Données projet'!$E$14+1,1))</f>
        <v>305.68891030516761</v>
      </c>
      <c r="DU100" s="60">
        <f t="shared" si="98"/>
        <v>296.00275062228275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67.001069330817018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4.7</v>
      </c>
      <c r="EJ100" s="13">
        <f>IF('Données projet'!$A$192&gt;35,EJ99+EI100-ER99,IF(A100&lt;'Données projet'!$A$192,$EG$205^A100,IF(A100='Données projet'!$A$192,'Données projet'!$B$192,EJ99+EI100-ER99)))</f>
        <v>267.39999999999981</v>
      </c>
      <c r="EK100" s="18">
        <f>EJ100*VLOOKUP('Données projet'!$B$15,Paramètres!$A$1:$I$89,3,0)*VLOOKUP('Données projet'!$B$15,Paramètres!$A$1:$I$89,5,0)</f>
        <v>258.62927999999982</v>
      </c>
      <c r="EL100" s="14">
        <f t="shared" si="99"/>
        <v>62.430106017481869</v>
      </c>
      <c r="EM100" s="22">
        <f t="shared" si="73"/>
        <v>559.17843064711394</v>
      </c>
      <c r="EN100" s="60">
        <f t="shared" si="74"/>
        <v>841.51568486010967</v>
      </c>
      <c r="EO100" s="60">
        <f ca="1">AVERAGE(OFFSET($EN$3,0,0,'Données projet'!$E$15+1,1))-AVERAGE(OFFSET($H$3,0,0,'Données projet'!$E$15+1,1))</f>
        <v>483.60545605360528</v>
      </c>
      <c r="EP100" s="60">
        <f t="shared" si="100"/>
        <v>256.96685577560345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67.001069330817018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0" t="e">
        <f t="shared" si="77"/>
        <v>#N/A</v>
      </c>
      <c r="FJ100" s="60" t="e">
        <f ca="1">AVERAGE(OFFSET($FI$3,0,0,'Données projet'!$E$16+1,1))-AVERAGE(OFFSET($H$3,0,0,'Données projet'!$E$16+1,1))</f>
        <v>#N/A</v>
      </c>
      <c r="FK100" s="60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67.001069330817018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0" t="e">
        <f t="shared" si="80"/>
        <v>#N/A</v>
      </c>
      <c r="GE100" s="60" t="e">
        <f ca="1">AVERAGE(OFFSET($GD$3,0,0,'Données projet'!$E$17+1,1))-AVERAGE(OFFSET($H$3,0,0,'Données projet'!$E$17+1,1))</f>
        <v>#N/A</v>
      </c>
      <c r="GF100" s="60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67.001069330817018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4">
        <f>'Scénario référence'!$B$16*5+'Scénario référence'!$B$17*0+'Scénario référence'!$B$18*5</f>
        <v>3.2750000000000004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12.008333333333335</v>
      </c>
      <c r="H101" s="67">
        <f t="shared" si="56"/>
        <v>208.63333333333333</v>
      </c>
      <c r="I101" s="7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67.053094073322796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4.7</v>
      </c>
      <c r="N101" s="14">
        <f>IF('Données projet'!$A$36&gt;35,N100+M101-V100,IF(A101&lt;'Données projet'!$A$36,$K$205^A101,IF(A101='Données projet'!$A$36,'Données projet'!$B$36,N100+M101-V100)))</f>
        <v>272.0999999999998</v>
      </c>
      <c r="O101" s="14">
        <f>N101*VLOOKUP('Données projet'!$B$9,Paramètres!$A$1:$I$89,3,0)*VLOOKUP('Données projet'!$B$9,Paramètres!$A$1:$I$89,5,0)</f>
        <v>275.90939999999978</v>
      </c>
      <c r="P101" s="14">
        <f t="shared" si="87"/>
        <v>66.101808465811018</v>
      </c>
      <c r="Q101" s="22">
        <f t="shared" si="107"/>
        <v>595.66952141128706</v>
      </c>
      <c r="R101" s="60">
        <f t="shared" si="55"/>
        <v>878.19753301347066</v>
      </c>
      <c r="S101" s="60">
        <f ca="1">AVERAGE(OFFSET($R$3,0,0,'Données projet'!$E$9+1,1))-AVERAGE(OFFSET($H$3,0,0,'Données projet'!$E$9+1,1))</f>
        <v>503.64055031157477</v>
      </c>
      <c r="T101" s="60">
        <f t="shared" si="88"/>
        <v>266.76572540460842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67.053094073322796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4.7</v>
      </c>
      <c r="AI101" s="14">
        <f>IF('Données projet'!$A$62&gt;35,AI100+AH101-AQ100,IF(A101&lt;'Données projet'!$A$62,$AF$205^A101,IF(A101='Données projet'!$A$62,'Données projet'!$B$62,AI100+AH101-AQ100)))</f>
        <v>272.0999999999998</v>
      </c>
      <c r="AJ101" s="14">
        <f>AI101*VLOOKUP('Données projet'!$B$10,Paramètres!$A$1:$I$89,3,0)*VLOOKUP('Données projet'!$B$10,Paramètres!$A$1:$I$89,5,0)</f>
        <v>246.1960799999998</v>
      </c>
      <c r="AK101" s="14">
        <f t="shared" si="89"/>
        <v>59.770663189456066</v>
      </c>
      <c r="AL101" s="22">
        <f t="shared" si="58"/>
        <v>532.8920777216357</v>
      </c>
      <c r="AM101" s="60">
        <f t="shared" si="59"/>
        <v>815.4200893238193</v>
      </c>
      <c r="AN101" s="60">
        <f ca="1">AVERAGE(OFFSET($AM$3,0,0,'Données projet'!$E$10+1,1))-AVERAGE(OFFSET($H$3,0,0,'Données projet'!$E$10+1,1))</f>
        <v>456.86058467343139</v>
      </c>
      <c r="AO101" s="60">
        <f t="shared" si="90"/>
        <v>243.88495931574937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67.053094073322796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3.3333333333333259</v>
      </c>
      <c r="BD101" s="13">
        <f>IF('Données projet'!$A$88&gt;35,BD100+BC101-BL100,IF(A101&lt;'Données projet'!$A$88,$BA$205^A101,IF(A101='Données projet'!$A$88,'Données projet'!$B$88,BD100+BC101-BL100)))</f>
        <v>302.94871794871773</v>
      </c>
      <c r="BE101" s="14">
        <f>BD101*VLOOKUP('Données projet'!$B$11,Paramètres!$A$1:$I$89,3,0)*VLOOKUP('Données projet'!$B$11,Paramètres!$A$1:$I$89,5,0)</f>
        <v>316.64199999999983</v>
      </c>
      <c r="BF101" s="14">
        <f t="shared" si="91"/>
        <v>74.654228061715216</v>
      </c>
      <c r="BG101" s="22">
        <f t="shared" si="61"/>
        <v>681.50759720748704</v>
      </c>
      <c r="BH101" s="60">
        <f t="shared" si="62"/>
        <v>964.03560880967063</v>
      </c>
      <c r="BI101" s="60">
        <f ca="1">AVERAGE(OFFSET($BH$3,0,0,'Données projet'!$E$11+1,1))-AVERAGE(OFFSET($H$3,0,0,'Données projet'!$E$11+1,1))</f>
        <v>518.47226207416952</v>
      </c>
      <c r="BJ101" s="60">
        <f t="shared" si="92"/>
        <v>314.6379787306804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67.053094073322796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4.7</v>
      </c>
      <c r="BY101" s="13">
        <f>IF('Données projet'!$A$114&gt;35,BY100+BX101-CG100,IF(A101&lt;'Données projet'!$A$114,$BV$205^A101,IF(A101='Données projet'!$A$114,'Données projet'!$B$114,BY100+BX101-CG100)))</f>
        <v>272.0999999999998</v>
      </c>
      <c r="BZ101" s="14">
        <f>BY101*VLOOKUP('Données projet'!$B$12,Paramètres!$A$1:$I$89,3,0)*VLOOKUP('Données projet'!$B$12,Paramètres!$A$1:$I$89,5,0)</f>
        <v>292.88843999999978</v>
      </c>
      <c r="CA101" s="14">
        <f t="shared" si="93"/>
        <v>69.683532117488227</v>
      </c>
      <c r="CB101" s="22">
        <f t="shared" si="64"/>
        <v>631.47951810462496</v>
      </c>
      <c r="CC101" s="60">
        <f t="shared" si="65"/>
        <v>914.00752970680855</v>
      </c>
      <c r="CD101" s="60">
        <f ca="1">AVERAGE(OFFSET($CC$3,0,0,'Données projet'!$E$12+1,1))-AVERAGE(OFFSET($H$3,0,0,'Données projet'!$E$12+1,1))</f>
        <v>530.32456073177104</v>
      </c>
      <c r="CE101" s="60">
        <f t="shared" si="94"/>
        <v>279.81519428470625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67.053094073322796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3.4106051316484809E-13</v>
      </c>
      <c r="CU101" s="18">
        <f>CT101*VLOOKUP('Données projet'!$B$13,Paramètres!$A$1:$I$89,3,0)*VLOOKUP('Données projet'!$B$13,Paramètres!$A$1:$I$89,5,0)</f>
        <v>2.9795046430081134E-13</v>
      </c>
      <c r="CV101" s="14">
        <f t="shared" si="95"/>
        <v>3.9419014464513778E-12</v>
      </c>
      <c r="CW101" s="22">
        <f t="shared" si="67"/>
        <v>7.384408744560063E-12</v>
      </c>
      <c r="CX101" s="60">
        <f t="shared" si="68"/>
        <v>282.52801160219099</v>
      </c>
      <c r="CY101" s="60">
        <f ca="1">AVERAGE(OFFSET($CX$3,0,0,'Données projet'!$E$13+1,1))-AVERAGE(OFFSET($H$3,0,0,'Données projet'!$E$13+1,1))</f>
        <v>355.03862261578701</v>
      </c>
      <c r="CZ101" s="60">
        <f t="shared" si="96"/>
        <v>382.84441399266029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67.053094073322796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1.1368683772161603E-13</v>
      </c>
      <c r="DP101" s="18">
        <f>DO101*VLOOKUP('Données projet'!$B$14,Paramètres!$A$1:$I$89,3,0)*VLOOKUP('Données projet'!$B$14,Paramètres!$A$1:$I$89,5,0)</f>
        <v>8.8675733422860506E-14</v>
      </c>
      <c r="DQ101" s="14">
        <f t="shared" si="97"/>
        <v>1.3509285393066301E-12</v>
      </c>
      <c r="DR101" s="22">
        <f t="shared" si="70"/>
        <v>2.5073107750038623E-12</v>
      </c>
      <c r="DS101" s="60">
        <f t="shared" si="71"/>
        <v>282.5280116021861</v>
      </c>
      <c r="DT101" s="60">
        <f ca="1">AVERAGE(OFFSET($DS$3,0,0,'Données projet'!$E$14+1,1))-AVERAGE(OFFSET($H$3,0,0,'Données projet'!$E$14+1,1))</f>
        <v>305.68891030516761</v>
      </c>
      <c r="DU101" s="60">
        <f t="shared" si="98"/>
        <v>296.00275062228275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67.053094073322796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4.7</v>
      </c>
      <c r="EJ101" s="13">
        <f>IF('Données projet'!$A$192&gt;35,EJ100+EI101-ER100,IF(A101&lt;'Données projet'!$A$192,$EG$205^A101,IF(A101='Données projet'!$A$192,'Données projet'!$B$192,EJ100+EI101-ER100)))</f>
        <v>272.0999999999998</v>
      </c>
      <c r="EK101" s="18">
        <f>EJ101*VLOOKUP('Données projet'!$B$15,Paramètres!$A$1:$I$89,3,0)*VLOOKUP('Données projet'!$B$15,Paramètres!$A$1:$I$89,5,0)</f>
        <v>263.17511999999982</v>
      </c>
      <c r="EL101" s="14">
        <f t="shared" si="99"/>
        <v>63.398706369770494</v>
      </c>
      <c r="EM101" s="22">
        <f t="shared" si="73"/>
        <v>568.78274759401654</v>
      </c>
      <c r="EN101" s="60">
        <f t="shared" si="74"/>
        <v>851.31075919620014</v>
      </c>
      <c r="EO101" s="60">
        <f ca="1">AVERAGE(OFFSET($EN$3,0,0,'Données projet'!$E$15+1,1))-AVERAGE(OFFSET($H$3,0,0,'Données projet'!$E$15+1,1))</f>
        <v>483.60545605360528</v>
      </c>
      <c r="EP101" s="60">
        <f t="shared" si="100"/>
        <v>256.96685577560345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67.053094073322796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0" t="e">
        <f t="shared" si="77"/>
        <v>#N/A</v>
      </c>
      <c r="FJ101" s="60" t="e">
        <f ca="1">AVERAGE(OFFSET($FI$3,0,0,'Données projet'!$E$16+1,1))-AVERAGE(OFFSET($H$3,0,0,'Données projet'!$E$16+1,1))</f>
        <v>#N/A</v>
      </c>
      <c r="FK101" s="60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67.053094073322796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0" t="e">
        <f t="shared" si="80"/>
        <v>#N/A</v>
      </c>
      <c r="GE101" s="60" t="e">
        <f ca="1">AVERAGE(OFFSET($GD$3,0,0,'Données projet'!$E$17+1,1))-AVERAGE(OFFSET($H$3,0,0,'Données projet'!$E$17+1,1))</f>
        <v>#N/A</v>
      </c>
      <c r="GF101" s="60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67.053094073322796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4">
        <f>'Scénario référence'!$B$16*5+'Scénario référence'!$B$17*0+'Scénario référence'!$B$18*5</f>
        <v>3.2750000000000004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12.008333333333335</v>
      </c>
      <c r="H102" s="67">
        <f t="shared" si="56"/>
        <v>208.63333333333333</v>
      </c>
      <c r="I102" s="7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67.104216302855988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4.7</v>
      </c>
      <c r="N102" s="14">
        <f>IF('Données projet'!$A$36&gt;35,N101+M102-V101,IF(A102&lt;'Données projet'!$A$36,$K$205^A102,IF(A102='Données projet'!$A$36,'Données projet'!$B$36,N101+M102-V101)))</f>
        <v>276.79999999999978</v>
      </c>
      <c r="O102" s="14">
        <f>N102*VLOOKUP('Données projet'!$B$9,Paramètres!$A$1:$I$89,3,0)*VLOOKUP('Données projet'!$B$9,Paramètres!$A$1:$I$89,5,0)</f>
        <v>280.67519999999979</v>
      </c>
      <c r="P102" s="14">
        <f t="shared" si="87"/>
        <v>67.109678043026435</v>
      </c>
      <c r="Q102" s="22">
        <f t="shared" si="107"/>
        <v>605.72532925827056</v>
      </c>
      <c r="R102" s="60">
        <f t="shared" si="55"/>
        <v>888.44078903540913</v>
      </c>
      <c r="S102" s="60">
        <f ca="1">AVERAGE(OFFSET($R$3,0,0,'Données projet'!$E$9+1,1))-AVERAGE(OFFSET($H$3,0,0,'Données projet'!$E$9+1,1))</f>
        <v>503.64055031157477</v>
      </c>
      <c r="T102" s="60">
        <f t="shared" si="88"/>
        <v>266.76572540460842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67.104216302855988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4.7</v>
      </c>
      <c r="AI102" s="14">
        <f>IF('Données projet'!$A$62&gt;35,AI101+AH102-AQ101,IF(A102&lt;'Données projet'!$A$62,$AF$205^A102,IF(A102='Données projet'!$A$62,'Données projet'!$B$62,AI101+AH102-AQ101)))</f>
        <v>276.79999999999978</v>
      </c>
      <c r="AJ102" s="14">
        <f>AI102*VLOOKUP('Données projet'!$B$10,Paramètres!$A$1:$I$89,3,0)*VLOOKUP('Données projet'!$B$10,Paramètres!$A$1:$I$89,5,0)</f>
        <v>250.44863999999981</v>
      </c>
      <c r="AK102" s="14">
        <f t="shared" si="89"/>
        <v>60.682000328889998</v>
      </c>
      <c r="AL102" s="22">
        <f t="shared" si="58"/>
        <v>541.885865239483</v>
      </c>
      <c r="AM102" s="60">
        <f t="shared" si="59"/>
        <v>824.60132501662156</v>
      </c>
      <c r="AN102" s="60">
        <f ca="1">AVERAGE(OFFSET($AM$3,0,0,'Données projet'!$E$10+1,1))-AVERAGE(OFFSET($H$3,0,0,'Données projet'!$E$10+1,1))</f>
        <v>456.86058467343139</v>
      </c>
      <c r="AO102" s="60">
        <f t="shared" si="90"/>
        <v>243.88495931574937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67.104216302855988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3.3333333333333259</v>
      </c>
      <c r="BD102" s="13">
        <f>IF('Données projet'!$A$88&gt;35,BD101+BC102-BL101,IF(A102&lt;'Données projet'!$A$88,$BA$205^A102,IF(A102='Données projet'!$A$88,'Données projet'!$B$88,BD101+BC102-BL101)))</f>
        <v>306.28205128205104</v>
      </c>
      <c r="BE102" s="14">
        <f>BD102*VLOOKUP('Données projet'!$B$11,Paramètres!$A$1:$I$89,3,0)*VLOOKUP('Données projet'!$B$11,Paramètres!$A$1:$I$89,5,0)</f>
        <v>320.12599999999981</v>
      </c>
      <c r="BF102" s="14">
        <f t="shared" si="91"/>
        <v>75.379569812550514</v>
      </c>
      <c r="BG102" s="22">
        <f t="shared" si="61"/>
        <v>688.83886742352513</v>
      </c>
      <c r="BH102" s="60">
        <f t="shared" si="62"/>
        <v>971.55432720066369</v>
      </c>
      <c r="BI102" s="60">
        <f ca="1">AVERAGE(OFFSET($BH$3,0,0,'Données projet'!$E$11+1,1))-AVERAGE(OFFSET($H$3,0,0,'Données projet'!$E$11+1,1))</f>
        <v>518.47226207416952</v>
      </c>
      <c r="BJ102" s="60">
        <f t="shared" si="92"/>
        <v>314.6379787306804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67.104216302855988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4.7</v>
      </c>
      <c r="BY102" s="13">
        <f>IF('Données projet'!$A$114&gt;35,BY101+BX102-CG101,IF(A102&lt;'Données projet'!$A$114,$BV$205^A102,IF(A102='Données projet'!$A$114,'Données projet'!$B$114,BY101+BX102-CG101)))</f>
        <v>276.79999999999978</v>
      </c>
      <c r="BZ102" s="14">
        <f>BY102*VLOOKUP('Données projet'!$B$12,Paramètres!$A$1:$I$89,3,0)*VLOOKUP('Données projet'!$B$12,Paramètres!$A$1:$I$89,5,0)</f>
        <v>297.94751999999977</v>
      </c>
      <c r="CA102" s="14">
        <f t="shared" si="93"/>
        <v>70.74601306444228</v>
      </c>
      <c r="CB102" s="22">
        <f t="shared" si="64"/>
        <v>642.14123675390317</v>
      </c>
      <c r="CC102" s="60">
        <f t="shared" si="65"/>
        <v>924.85669653104173</v>
      </c>
      <c r="CD102" s="60">
        <f ca="1">AVERAGE(OFFSET($CC$3,0,0,'Données projet'!$E$12+1,1))-AVERAGE(OFFSET($H$3,0,0,'Données projet'!$E$12+1,1))</f>
        <v>530.32456073177104</v>
      </c>
      <c r="CE102" s="60">
        <f t="shared" si="94"/>
        <v>279.81519428470625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67.104216302855988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3.4106051316484809E-13</v>
      </c>
      <c r="CU102" s="18">
        <f>CT102*VLOOKUP('Données projet'!$B$13,Paramètres!$A$1:$I$89,3,0)*VLOOKUP('Données projet'!$B$13,Paramètres!$A$1:$I$89,5,0)</f>
        <v>2.9795046430081134E-13</v>
      </c>
      <c r="CV102" s="14">
        <f t="shared" si="95"/>
        <v>3.9419014464513778E-12</v>
      </c>
      <c r="CW102" s="22">
        <f t="shared" si="67"/>
        <v>7.384408744560063E-12</v>
      </c>
      <c r="CX102" s="60">
        <f t="shared" si="68"/>
        <v>282.71545977714601</v>
      </c>
      <c r="CY102" s="60">
        <f ca="1">AVERAGE(OFFSET($CX$3,0,0,'Données projet'!$E$13+1,1))-AVERAGE(OFFSET($H$3,0,0,'Données projet'!$E$13+1,1))</f>
        <v>355.03862261578701</v>
      </c>
      <c r="CZ102" s="60">
        <f t="shared" si="96"/>
        <v>382.84441399266029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67.104216302855988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1.1368683772161603E-13</v>
      </c>
      <c r="DP102" s="18">
        <f>DO102*VLOOKUP('Données projet'!$B$14,Paramètres!$A$1:$I$89,3,0)*VLOOKUP('Données projet'!$B$14,Paramètres!$A$1:$I$89,5,0)</f>
        <v>8.8675733422860506E-14</v>
      </c>
      <c r="DQ102" s="14">
        <f t="shared" si="97"/>
        <v>1.3509285393066301E-12</v>
      </c>
      <c r="DR102" s="22">
        <f t="shared" si="70"/>
        <v>2.5073107750038623E-12</v>
      </c>
      <c r="DS102" s="60">
        <f t="shared" si="71"/>
        <v>282.71545977714112</v>
      </c>
      <c r="DT102" s="60">
        <f ca="1">AVERAGE(OFFSET($DS$3,0,0,'Données projet'!$E$14+1,1))-AVERAGE(OFFSET($H$3,0,0,'Données projet'!$E$14+1,1))</f>
        <v>305.68891030516761</v>
      </c>
      <c r="DU102" s="60">
        <f t="shared" si="98"/>
        <v>296.00275062228275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67.104216302855988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4.7</v>
      </c>
      <c r="EJ102" s="13">
        <f>IF('Données projet'!$A$192&gt;35,EJ101+EI102-ER101,IF(A102&lt;'Données projet'!$A$192,$EG$205^A102,IF(A102='Données projet'!$A$192,'Données projet'!$B$192,EJ101+EI102-ER101)))</f>
        <v>276.79999999999978</v>
      </c>
      <c r="EK102" s="18">
        <f>EJ102*VLOOKUP('Données projet'!$B$15,Paramètres!$A$1:$I$89,3,0)*VLOOKUP('Données projet'!$B$15,Paramètres!$A$1:$I$89,5,0)</f>
        <v>267.72095999999982</v>
      </c>
      <c r="EL102" s="14">
        <f t="shared" si="99"/>
        <v>64.365361123519946</v>
      </c>
      <c r="EM102" s="22">
        <f t="shared" si="73"/>
        <v>578.38367595679699</v>
      </c>
      <c r="EN102" s="60">
        <f t="shared" si="74"/>
        <v>861.09913573393555</v>
      </c>
      <c r="EO102" s="60">
        <f ca="1">AVERAGE(OFFSET($EN$3,0,0,'Données projet'!$E$15+1,1))-AVERAGE(OFFSET($H$3,0,0,'Données projet'!$E$15+1,1))</f>
        <v>483.60545605360528</v>
      </c>
      <c r="EP102" s="60">
        <f t="shared" si="100"/>
        <v>256.96685577560345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67.104216302855988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0" t="e">
        <f t="shared" si="77"/>
        <v>#N/A</v>
      </c>
      <c r="FJ102" s="60" t="e">
        <f ca="1">AVERAGE(OFFSET($FI$3,0,0,'Données projet'!$E$16+1,1))-AVERAGE(OFFSET($H$3,0,0,'Données projet'!$E$16+1,1))</f>
        <v>#N/A</v>
      </c>
      <c r="FK102" s="60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67.104216302855988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0" t="e">
        <f t="shared" si="80"/>
        <v>#N/A</v>
      </c>
      <c r="GE102" s="60" t="e">
        <f ca="1">AVERAGE(OFFSET($GD$3,0,0,'Données projet'!$E$17+1,1))-AVERAGE(OFFSET($H$3,0,0,'Données projet'!$E$17+1,1))</f>
        <v>#N/A</v>
      </c>
      <c r="GF102" s="60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67.104216302855988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4">
        <f>'Scénario référence'!$B$16*5+'Scénario référence'!$B$17*0+'Scénario référence'!$B$18*5</f>
        <v>3.2750000000000004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12.008333333333335</v>
      </c>
      <c r="H103" s="67">
        <f t="shared" si="56"/>
        <v>208.63333333333333</v>
      </c>
      <c r="I103" s="7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67.154451675998956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4.7</v>
      </c>
      <c r="N103" s="14">
        <f>IF('Données projet'!$A$36&gt;35,N102+M103-V102,IF(A103&lt;'Données projet'!$A$36,$K$205^A103,IF(A103='Données projet'!$A$36,'Données projet'!$B$36,N102+M103-V102)))</f>
        <v>281.49999999999977</v>
      </c>
      <c r="O103" s="14">
        <f>N103*VLOOKUP('Données projet'!$B$9,Paramètres!$A$1:$I$89,3,0)*VLOOKUP('Données projet'!$B$9,Paramètres!$A$1:$I$89,5,0)</f>
        <v>285.4409999999998</v>
      </c>
      <c r="P103" s="14">
        <f t="shared" si="87"/>
        <v>68.115557487507104</v>
      </c>
      <c r="Q103" s="22">
        <f t="shared" si="107"/>
        <v>615.77767095740785</v>
      </c>
      <c r="R103" s="60">
        <f t="shared" si="55"/>
        <v>898.67732710273731</v>
      </c>
      <c r="S103" s="60">
        <f ca="1">AVERAGE(OFFSET($R$3,0,0,'Données projet'!$E$9+1,1))-AVERAGE(OFFSET($H$3,0,0,'Données projet'!$E$9+1,1))</f>
        <v>503.64055031157477</v>
      </c>
      <c r="T103" s="60">
        <f t="shared" si="88"/>
        <v>266.76572540460842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67.154451675998956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4.7</v>
      </c>
      <c r="AI103" s="14">
        <f>IF('Données projet'!$A$62&gt;35,AI102+AH103-AQ102,IF(A103&lt;'Données projet'!$A$62,$AF$205^A103,IF(A103='Données projet'!$A$62,'Données projet'!$B$62,AI102+AH103-AQ102)))</f>
        <v>281.49999999999977</v>
      </c>
      <c r="AJ103" s="14">
        <f>AI103*VLOOKUP('Données projet'!$B$10,Paramètres!$A$1:$I$89,3,0)*VLOOKUP('Données projet'!$B$10,Paramètres!$A$1:$I$89,5,0)</f>
        <v>254.7011999999998</v>
      </c>
      <c r="AK103" s="14">
        <f t="shared" si="89"/>
        <v>61.591537947915171</v>
      </c>
      <c r="AL103" s="22">
        <f t="shared" si="58"/>
        <v>550.87651859261859</v>
      </c>
      <c r="AM103" s="60">
        <f t="shared" si="59"/>
        <v>833.77617473794817</v>
      </c>
      <c r="AN103" s="60">
        <f ca="1">AVERAGE(OFFSET($AM$3,0,0,'Données projet'!$E$10+1,1))-AVERAGE(OFFSET($H$3,0,0,'Données projet'!$E$10+1,1))</f>
        <v>456.86058467343139</v>
      </c>
      <c r="AO103" s="60">
        <f t="shared" si="90"/>
        <v>243.88495931574937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67.154451675998956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309.61538461538458</v>
      </c>
      <c r="BB103" s="13">
        <f>VLOOKUP(A103,'Données projet'!$A$87:$I$107,9,0)</f>
        <v>3.3333333333333259</v>
      </c>
      <c r="BC103" s="13">
        <f t="array" ref="BC103">INDEX(BB:BB,MIN(IF(ISNUMBER(BB103:BB299),ROW(BB103:BB299),"")))</f>
        <v>3.3333333333333259</v>
      </c>
      <c r="BD103" s="13">
        <f>IF('Données projet'!$A$88&gt;35,BD102+BC103-BL102,IF(A103&lt;'Données projet'!$A$88,$BA$205^A103,IF(A103='Données projet'!$A$88,'Données projet'!$B$88,BD102+BC103-BL102)))</f>
        <v>309.61538461538436</v>
      </c>
      <c r="BE103" s="14">
        <f>BD103*VLOOKUP('Données projet'!$B$11,Paramètres!$A$1:$I$89,3,0)*VLOOKUP('Données projet'!$B$11,Paramètres!$A$1:$I$89,5,0)</f>
        <v>323.60999999999979</v>
      </c>
      <c r="BF103" s="14">
        <f t="shared" si="91"/>
        <v>76.103993258558603</v>
      </c>
      <c r="BG103" s="22">
        <f t="shared" si="61"/>
        <v>696.16853825865599</v>
      </c>
      <c r="BH103" s="60">
        <f t="shared" si="62"/>
        <v>979.06819440398544</v>
      </c>
      <c r="BI103" s="60">
        <f ca="1">AVERAGE(OFFSET($BH$3,0,0,'Données projet'!$E$11+1,1))-AVERAGE(OFFSET($H$3,0,0,'Données projet'!$E$11+1,1))</f>
        <v>518.47226207416952</v>
      </c>
      <c r="BJ103" s="60">
        <f t="shared" si="92"/>
        <v>314.6379787306804</v>
      </c>
      <c r="BK103" s="16">
        <f>IF(ISNA(VLOOKUP(A103,'Données projet'!$A$87:$I$107,3,0)),0,VLOOKUP(A103,'Données projet'!$A$87:$I$107,3,0))</f>
        <v>9</v>
      </c>
      <c r="BL103" s="16">
        <f>IF(ISNA(VLOOKUP(A103,'Données projet'!$A$87:$I$107,4,0)),0,VLOOKUP(A103,'Données projet'!$A$87:$I$107,4,0))</f>
        <v>20.512820512820511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67.154451675998956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4.7</v>
      </c>
      <c r="BY103" s="13">
        <f>IF('Données projet'!$A$114&gt;35,BY102+BX103-CG102,IF(A103&lt;'Données projet'!$A$114,$BV$205^A103,IF(A103='Données projet'!$A$114,'Données projet'!$B$114,BY102+BX103-CG102)))</f>
        <v>281.49999999999977</v>
      </c>
      <c r="BZ103" s="14">
        <f>BY103*VLOOKUP('Données projet'!$B$12,Paramètres!$A$1:$I$89,3,0)*VLOOKUP('Données projet'!$B$12,Paramètres!$A$1:$I$89,5,0)</f>
        <v>303.00659999999971</v>
      </c>
      <c r="CA103" s="14">
        <f t="shared" si="93"/>
        <v>71.806396043404845</v>
      </c>
      <c r="CB103" s="22">
        <f t="shared" si="64"/>
        <v>652.79930144226284</v>
      </c>
      <c r="CC103" s="60">
        <f t="shared" si="65"/>
        <v>935.6989575875923</v>
      </c>
      <c r="CD103" s="60">
        <f ca="1">AVERAGE(OFFSET($CC$3,0,0,'Données projet'!$E$12+1,1))-AVERAGE(OFFSET($H$3,0,0,'Données projet'!$E$12+1,1))</f>
        <v>530.32456073177104</v>
      </c>
      <c r="CE103" s="60">
        <f t="shared" si="94"/>
        <v>279.81519428470625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67.154451675998956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3.4106051316484809E-13</v>
      </c>
      <c r="CU103" s="18">
        <f>CT103*VLOOKUP('Données projet'!$B$13,Paramètres!$A$1:$I$89,3,0)*VLOOKUP('Données projet'!$B$13,Paramètres!$A$1:$I$89,5,0)</f>
        <v>2.9795046430081134E-13</v>
      </c>
      <c r="CV103" s="14">
        <f t="shared" si="95"/>
        <v>3.9419014464513778E-12</v>
      </c>
      <c r="CW103" s="22">
        <f t="shared" si="67"/>
        <v>7.384408744560063E-12</v>
      </c>
      <c r="CX103" s="60">
        <f t="shared" si="68"/>
        <v>282.89965614533691</v>
      </c>
      <c r="CY103" s="60">
        <f ca="1">AVERAGE(OFFSET($CX$3,0,0,'Données projet'!$E$13+1,1))-AVERAGE(OFFSET($H$3,0,0,'Données projet'!$E$13+1,1))</f>
        <v>355.03862261578701</v>
      </c>
      <c r="CZ103" s="60">
        <f t="shared" si="96"/>
        <v>382.84441399266029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67.154451675998956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1.1368683772161603E-13</v>
      </c>
      <c r="DP103" s="18">
        <f>DO103*VLOOKUP('Données projet'!$B$14,Paramètres!$A$1:$I$89,3,0)*VLOOKUP('Données projet'!$B$14,Paramètres!$A$1:$I$89,5,0)</f>
        <v>8.8675733422860506E-14</v>
      </c>
      <c r="DQ103" s="14">
        <f t="shared" si="97"/>
        <v>1.3509285393066301E-12</v>
      </c>
      <c r="DR103" s="22">
        <f t="shared" si="70"/>
        <v>2.5073107750038623E-12</v>
      </c>
      <c r="DS103" s="60">
        <f t="shared" si="71"/>
        <v>282.89965614533202</v>
      </c>
      <c r="DT103" s="60">
        <f ca="1">AVERAGE(OFFSET($DS$3,0,0,'Données projet'!$E$14+1,1))-AVERAGE(OFFSET($H$3,0,0,'Données projet'!$E$14+1,1))</f>
        <v>305.68891030516761</v>
      </c>
      <c r="DU103" s="60">
        <f t="shared" si="98"/>
        <v>296.00275062228275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67.154451675998956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4.7</v>
      </c>
      <c r="EJ103" s="13">
        <f>IF('Données projet'!$A$192&gt;35,EJ102+EI103-ER102,IF(A103&lt;'Données projet'!$A$192,$EG$205^A103,IF(A103='Données projet'!$A$192,'Données projet'!$B$192,EJ102+EI103-ER102)))</f>
        <v>281.49999999999977</v>
      </c>
      <c r="EK103" s="18">
        <f>EJ103*VLOOKUP('Données projet'!$B$15,Paramètres!$A$1:$I$89,3,0)*VLOOKUP('Données projet'!$B$15,Paramètres!$A$1:$I$89,5,0)</f>
        <v>272.26679999999976</v>
      </c>
      <c r="EL103" s="14">
        <f t="shared" si="99"/>
        <v>65.330107127057786</v>
      </c>
      <c r="EM103" s="22">
        <f t="shared" si="73"/>
        <v>587.98127991295848</v>
      </c>
      <c r="EN103" s="60">
        <f t="shared" si="74"/>
        <v>870.88093605828794</v>
      </c>
      <c r="EO103" s="60">
        <f ca="1">AVERAGE(OFFSET($EN$3,0,0,'Données projet'!$E$15+1,1))-AVERAGE(OFFSET($H$3,0,0,'Données projet'!$E$15+1,1))</f>
        <v>483.60545605360528</v>
      </c>
      <c r="EP103" s="60">
        <f t="shared" si="100"/>
        <v>256.96685577560345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67.154451675998956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0" t="e">
        <f t="shared" si="77"/>
        <v>#N/A</v>
      </c>
      <c r="FJ103" s="60" t="e">
        <f ca="1">AVERAGE(OFFSET($FI$3,0,0,'Données projet'!$E$16+1,1))-AVERAGE(OFFSET($H$3,0,0,'Données projet'!$E$16+1,1))</f>
        <v>#N/A</v>
      </c>
      <c r="FK103" s="60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67.154451675998956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0" t="e">
        <f t="shared" si="80"/>
        <v>#N/A</v>
      </c>
      <c r="GE103" s="60" t="e">
        <f ca="1">AVERAGE(OFFSET($GD$3,0,0,'Données projet'!$E$17+1,1))-AVERAGE(OFFSET($H$3,0,0,'Données projet'!$E$17+1,1))</f>
        <v>#N/A</v>
      </c>
      <c r="GF103" s="60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67.154451675998956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4">
        <f>'Scénario référence'!$B$16*5+'Scénario référence'!$B$17*0+'Scénario référence'!$B$18*5</f>
        <v>3.2750000000000004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12.008333333333335</v>
      </c>
      <c r="H104" s="67">
        <f t="shared" si="56"/>
        <v>208.63333333333333</v>
      </c>
      <c r="I104" s="7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67.203815577727369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4.7</v>
      </c>
      <c r="N104" s="14">
        <f>IF('Données projet'!$A$36&gt;35,N103+M104-V103,IF(A104&lt;'Données projet'!$A$36,$K$205^A104,IF(A104='Données projet'!$A$36,'Données projet'!$B$36,N103+M104-V103)))</f>
        <v>286.19999999999976</v>
      </c>
      <c r="O104" s="14">
        <f>N104*VLOOKUP('Données projet'!$B$9,Paramètres!$A$1:$I$89,3,0)*VLOOKUP('Données projet'!$B$9,Paramètres!$A$1:$I$89,5,0)</f>
        <v>290.20679999999982</v>
      </c>
      <c r="P104" s="14">
        <f t="shared" si="87"/>
        <v>69.119483862208398</v>
      </c>
      <c r="Q104" s="22">
        <f t="shared" si="107"/>
        <v>625.82661106001262</v>
      </c>
      <c r="R104" s="60">
        <f t="shared" si="55"/>
        <v>908.90726817834638</v>
      </c>
      <c r="S104" s="60">
        <f ca="1">AVERAGE(OFFSET($R$3,0,0,'Données projet'!$E$9+1,1))-AVERAGE(OFFSET($H$3,0,0,'Données projet'!$E$9+1,1))</f>
        <v>503.64055031157477</v>
      </c>
      <c r="T104" s="60">
        <f t="shared" si="88"/>
        <v>266.76572540460842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67.203815577727369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4.7</v>
      </c>
      <c r="AI104" s="14">
        <f>IF('Données projet'!$A$62&gt;35,AI103+AH104-AQ103,IF(A104&lt;'Données projet'!$A$62,$AF$205^A104,IF(A104='Données projet'!$A$62,'Données projet'!$B$62,AI103+AH104-AQ103)))</f>
        <v>286.19999999999976</v>
      </c>
      <c r="AJ104" s="14">
        <f>AI104*VLOOKUP('Données projet'!$B$10,Paramètres!$A$1:$I$89,3,0)*VLOOKUP('Données projet'!$B$10,Paramètres!$A$1:$I$89,5,0)</f>
        <v>258.95375999999976</v>
      </c>
      <c r="AK104" s="14">
        <f t="shared" si="89"/>
        <v>62.499309559645262</v>
      </c>
      <c r="AL104" s="22">
        <f t="shared" si="58"/>
        <v>559.86409614971501</v>
      </c>
      <c r="AM104" s="60">
        <f t="shared" si="59"/>
        <v>842.94475326804877</v>
      </c>
      <c r="AN104" s="60">
        <f ca="1">AVERAGE(OFFSET($AM$3,0,0,'Données projet'!$E$10+1,1))-AVERAGE(OFFSET($H$3,0,0,'Données projet'!$E$10+1,1))</f>
        <v>456.86058467343139</v>
      </c>
      <c r="AO104" s="60">
        <f t="shared" si="90"/>
        <v>243.88495931574937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67.203815577727369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3.1196581196581215</v>
      </c>
      <c r="BD104" s="13">
        <f>IF('Données projet'!$A$88&gt;35,BD103+BC104-BL103,IF(A104&lt;'Données projet'!$A$88,$BA$205^A104,IF(A104='Données projet'!$A$88,'Données projet'!$B$88,BD103+BC104-BL103)))</f>
        <v>292.222222222222</v>
      </c>
      <c r="BE104" s="14">
        <f>BD104*VLOOKUP('Données projet'!$B$11,Paramètres!$A$1:$I$89,3,0)*VLOOKUP('Données projet'!$B$11,Paramètres!$A$1:$I$89,5,0)</f>
        <v>305.43066666666647</v>
      </c>
      <c r="BF104" s="14">
        <f t="shared" si="91"/>
        <v>72.313748365689534</v>
      </c>
      <c r="BG104" s="22">
        <f t="shared" si="61"/>
        <v>657.90485618135335</v>
      </c>
      <c r="BH104" s="60">
        <f t="shared" si="62"/>
        <v>940.985513299687</v>
      </c>
      <c r="BI104" s="60">
        <f ca="1">AVERAGE(OFFSET($BH$3,0,0,'Données projet'!$E$11+1,1))-AVERAGE(OFFSET($H$3,0,0,'Données projet'!$E$11+1,1))</f>
        <v>518.47226207416952</v>
      </c>
      <c r="BJ104" s="60">
        <f t="shared" si="92"/>
        <v>314.6379787306804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67.203815577727369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4.7</v>
      </c>
      <c r="BY104" s="13">
        <f>IF('Données projet'!$A$114&gt;35,BY103+BX104-CG103,IF(A104&lt;'Données projet'!$A$114,$BV$205^A104,IF(A104='Données projet'!$A$114,'Données projet'!$B$114,BY103+BX104-CG103)))</f>
        <v>286.19999999999976</v>
      </c>
      <c r="BZ104" s="14">
        <f>BY104*VLOOKUP('Données projet'!$B$12,Paramètres!$A$1:$I$89,3,0)*VLOOKUP('Données projet'!$B$12,Paramètres!$A$1:$I$89,5,0)</f>
        <v>308.0656799999997</v>
      </c>
      <c r="CA104" s="14">
        <f t="shared" si="93"/>
        <v>72.864720125585961</v>
      </c>
      <c r="CB104" s="22">
        <f t="shared" si="64"/>
        <v>663.4537802187283</v>
      </c>
      <c r="CC104" s="60">
        <f t="shared" si="65"/>
        <v>946.53443733706195</v>
      </c>
      <c r="CD104" s="60">
        <f ca="1">AVERAGE(OFFSET($CC$3,0,0,'Données projet'!$E$12+1,1))-AVERAGE(OFFSET($H$3,0,0,'Données projet'!$E$12+1,1))</f>
        <v>530.32456073177104</v>
      </c>
      <c r="CE104" s="60">
        <f t="shared" si="94"/>
        <v>279.81519428470625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67.203815577727369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3.4106051316484809E-13</v>
      </c>
      <c r="CU104" s="18">
        <f>CT104*VLOOKUP('Données projet'!$B$13,Paramètres!$A$1:$I$89,3,0)*VLOOKUP('Données projet'!$B$13,Paramètres!$A$1:$I$89,5,0)</f>
        <v>2.9795046430081134E-13</v>
      </c>
      <c r="CV104" s="14">
        <f t="shared" si="95"/>
        <v>3.9419014464513778E-12</v>
      </c>
      <c r="CW104" s="22">
        <f t="shared" si="67"/>
        <v>7.384408744560063E-12</v>
      </c>
      <c r="CX104" s="60">
        <f t="shared" si="68"/>
        <v>283.08065711834109</v>
      </c>
      <c r="CY104" s="60">
        <f ca="1">AVERAGE(OFFSET($CX$3,0,0,'Données projet'!$E$13+1,1))-AVERAGE(OFFSET($H$3,0,0,'Données projet'!$E$13+1,1))</f>
        <v>355.03862261578701</v>
      </c>
      <c r="CZ104" s="60">
        <f t="shared" si="96"/>
        <v>382.84441399266029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67.203815577727369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1.1368683772161603E-13</v>
      </c>
      <c r="DP104" s="18">
        <f>DO104*VLOOKUP('Données projet'!$B$14,Paramètres!$A$1:$I$89,3,0)*VLOOKUP('Données projet'!$B$14,Paramètres!$A$1:$I$89,5,0)</f>
        <v>8.8675733422860506E-14</v>
      </c>
      <c r="DQ104" s="14">
        <f t="shared" si="97"/>
        <v>1.3509285393066301E-12</v>
      </c>
      <c r="DR104" s="22">
        <f t="shared" si="70"/>
        <v>2.5073107750038623E-12</v>
      </c>
      <c r="DS104" s="60">
        <f t="shared" si="71"/>
        <v>283.08065711833621</v>
      </c>
      <c r="DT104" s="60">
        <f ca="1">AVERAGE(OFFSET($DS$3,0,0,'Données projet'!$E$14+1,1))-AVERAGE(OFFSET($H$3,0,0,'Données projet'!$E$14+1,1))</f>
        <v>305.68891030516761</v>
      </c>
      <c r="DU104" s="60">
        <f t="shared" si="98"/>
        <v>296.00275062228275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67.203815577727369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4.7</v>
      </c>
      <c r="EJ104" s="13">
        <f>IF('Données projet'!$A$192&gt;35,EJ103+EI104-ER103,IF(A104&lt;'Données projet'!$A$192,$EG$205^A104,IF(A104='Données projet'!$A$192,'Données projet'!$B$192,EJ103+EI104-ER103)))</f>
        <v>286.19999999999976</v>
      </c>
      <c r="EK104" s="18">
        <f>EJ104*VLOOKUP('Données projet'!$B$15,Paramètres!$A$1:$I$89,3,0)*VLOOKUP('Données projet'!$B$15,Paramètres!$A$1:$I$89,5,0)</f>
        <v>276.81263999999976</v>
      </c>
      <c r="EL104" s="14">
        <f t="shared" si="99"/>
        <v>66.292979927723621</v>
      </c>
      <c r="EM104" s="22">
        <f t="shared" si="73"/>
        <v>597.57562137411821</v>
      </c>
      <c r="EN104" s="60">
        <f t="shared" si="74"/>
        <v>880.65627849245197</v>
      </c>
      <c r="EO104" s="60">
        <f ca="1">AVERAGE(OFFSET($EN$3,0,0,'Données projet'!$E$15+1,1))-AVERAGE(OFFSET($H$3,0,0,'Données projet'!$E$15+1,1))</f>
        <v>483.60545605360528</v>
      </c>
      <c r="EP104" s="60">
        <f t="shared" si="100"/>
        <v>256.96685577560345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67.203815577727369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0" t="e">
        <f t="shared" si="77"/>
        <v>#N/A</v>
      </c>
      <c r="FJ104" s="60" t="e">
        <f ca="1">AVERAGE(OFFSET($FI$3,0,0,'Données projet'!$E$16+1,1))-AVERAGE(OFFSET($H$3,0,0,'Données projet'!$E$16+1,1))</f>
        <v>#N/A</v>
      </c>
      <c r="FK104" s="60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67.203815577727369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0" t="e">
        <f t="shared" si="80"/>
        <v>#N/A</v>
      </c>
      <c r="GE104" s="60" t="e">
        <f ca="1">AVERAGE(OFFSET($GD$3,0,0,'Données projet'!$E$17+1,1))-AVERAGE(OFFSET($H$3,0,0,'Données projet'!$E$17+1,1))</f>
        <v>#N/A</v>
      </c>
      <c r="GF104" s="60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67.203815577727369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4">
        <f>'Scénario référence'!$B$16*5+'Scénario référence'!$B$17*0+'Scénario référence'!$B$18*5</f>
        <v>3.2750000000000004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12.008333333333335</v>
      </c>
      <c r="H105" s="67">
        <f t="shared" si="56"/>
        <v>208.63333333333333</v>
      </c>
      <c r="I105" s="7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67.252323126121951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4.7</v>
      </c>
      <c r="N105" s="14">
        <f>IF('Données projet'!$A$36&gt;35,N104+M105-V104,IF(A105&lt;'Données projet'!$A$36,$K$205^A105,IF(A105='Données projet'!$A$36,'Données projet'!$B$36,N104+M105-V104)))</f>
        <v>290.89999999999975</v>
      </c>
      <c r="O105" s="14">
        <f>N105*VLOOKUP('Données projet'!$B$9,Paramètres!$A$1:$I$89,3,0)*VLOOKUP('Données projet'!$B$9,Paramètres!$A$1:$I$89,5,0)</f>
        <v>294.97259999999977</v>
      </c>
      <c r="P105" s="14">
        <f t="shared" si="87"/>
        <v>70.121492942994351</v>
      </c>
      <c r="Q105" s="22">
        <f t="shared" si="107"/>
        <v>635.8722118757147</v>
      </c>
      <c r="R105" s="60">
        <f t="shared" si="55"/>
        <v>919.13073000482859</v>
      </c>
      <c r="S105" s="60">
        <f ca="1">AVERAGE(OFFSET($R$3,0,0,'Données projet'!$E$9+1,1))-AVERAGE(OFFSET($H$3,0,0,'Données projet'!$E$9+1,1))</f>
        <v>503.64055031157477</v>
      </c>
      <c r="T105" s="60">
        <f t="shared" si="88"/>
        <v>266.76572540460842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67.252323126121951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4.7</v>
      </c>
      <c r="AI105" s="14">
        <f>IF('Données projet'!$A$62&gt;35,AI104+AH105-AQ104,IF(A105&lt;'Données projet'!$A$62,$AF$205^A105,IF(A105='Données projet'!$A$62,'Données projet'!$B$62,AI104+AH105-AQ104)))</f>
        <v>290.89999999999975</v>
      </c>
      <c r="AJ105" s="14">
        <f>AI105*VLOOKUP('Données projet'!$B$10,Paramètres!$A$1:$I$89,3,0)*VLOOKUP('Données projet'!$B$10,Paramètres!$A$1:$I$89,5,0)</f>
        <v>263.20631999999978</v>
      </c>
      <c r="AK105" s="14">
        <f t="shared" si="89"/>
        <v>63.405347513378558</v>
      </c>
      <c r="AL105" s="22">
        <f t="shared" si="58"/>
        <v>568.84865425246721</v>
      </c>
      <c r="AM105" s="60">
        <f t="shared" si="59"/>
        <v>852.10717238158099</v>
      </c>
      <c r="AN105" s="60">
        <f ca="1">AVERAGE(OFFSET($AM$3,0,0,'Données projet'!$E$10+1,1))-AVERAGE(OFFSET($H$3,0,0,'Données projet'!$E$10+1,1))</f>
        <v>456.86058467343139</v>
      </c>
      <c r="AO105" s="60">
        <f t="shared" si="90"/>
        <v>243.88495931574937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67.252323126121951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3.1196581196581215</v>
      </c>
      <c r="BD105" s="13">
        <f>IF('Données projet'!$A$88&gt;35,BD104+BC105-BL104,IF(A105&lt;'Données projet'!$A$88,$BA$205^A105,IF(A105='Données projet'!$A$88,'Données projet'!$B$88,BD104+BC105-BL104)))</f>
        <v>295.34188034188014</v>
      </c>
      <c r="BE105" s="14">
        <f>BD105*VLOOKUP('Données projet'!$B$11,Paramètres!$A$1:$I$89,3,0)*VLOOKUP('Données projet'!$B$11,Paramètres!$A$1:$I$89,5,0)</f>
        <v>308.69133333333315</v>
      </c>
      <c r="BF105" s="14">
        <f t="shared" si="91"/>
        <v>72.99546123175773</v>
      </c>
      <c r="BG105" s="22">
        <f t="shared" si="61"/>
        <v>664.77116720086644</v>
      </c>
      <c r="BH105" s="60">
        <f t="shared" si="62"/>
        <v>948.02968532998034</v>
      </c>
      <c r="BI105" s="60">
        <f ca="1">AVERAGE(OFFSET($BH$3,0,0,'Données projet'!$E$11+1,1))-AVERAGE(OFFSET($H$3,0,0,'Données projet'!$E$11+1,1))</f>
        <v>518.47226207416952</v>
      </c>
      <c r="BJ105" s="60">
        <f t="shared" si="92"/>
        <v>314.6379787306804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67.252323126121951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4.7</v>
      </c>
      <c r="BY105" s="13">
        <f>IF('Données projet'!$A$114&gt;35,BY104+BX105-CG104,IF(A105&lt;'Données projet'!$A$114,$BV$205^A105,IF(A105='Données projet'!$A$114,'Données projet'!$B$114,BY104+BX105-CG104)))</f>
        <v>290.89999999999975</v>
      </c>
      <c r="BZ105" s="14">
        <f>BY105*VLOOKUP('Données projet'!$B$12,Paramètres!$A$1:$I$89,3,0)*VLOOKUP('Données projet'!$B$12,Paramètres!$A$1:$I$89,5,0)</f>
        <v>313.1247599999997</v>
      </c>
      <c r="CA105" s="14">
        <f t="shared" si="93"/>
        <v>73.921023025363382</v>
      </c>
      <c r="CB105" s="22">
        <f t="shared" si="64"/>
        <v>674.10473876917411</v>
      </c>
      <c r="CC105" s="60">
        <f t="shared" si="65"/>
        <v>957.363256898288</v>
      </c>
      <c r="CD105" s="60">
        <f ca="1">AVERAGE(OFFSET($CC$3,0,0,'Données projet'!$E$12+1,1))-AVERAGE(OFFSET($H$3,0,0,'Données projet'!$E$12+1,1))</f>
        <v>530.32456073177104</v>
      </c>
      <c r="CE105" s="60">
        <f t="shared" si="94"/>
        <v>279.81519428470625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67.252323126121951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3.4106051316484809E-13</v>
      </c>
      <c r="CU105" s="18">
        <f>CT105*VLOOKUP('Données projet'!$B$13,Paramètres!$A$1:$I$89,3,0)*VLOOKUP('Données projet'!$B$13,Paramètres!$A$1:$I$89,5,0)</f>
        <v>2.9795046430081134E-13</v>
      </c>
      <c r="CV105" s="14">
        <f t="shared" si="95"/>
        <v>3.9419014464513778E-12</v>
      </c>
      <c r="CW105" s="22">
        <f t="shared" si="67"/>
        <v>7.384408744560063E-12</v>
      </c>
      <c r="CX105" s="60">
        <f t="shared" si="68"/>
        <v>283.25851812912123</v>
      </c>
      <c r="CY105" s="60">
        <f ca="1">AVERAGE(OFFSET($CX$3,0,0,'Données projet'!$E$13+1,1))-AVERAGE(OFFSET($H$3,0,0,'Données projet'!$E$13+1,1))</f>
        <v>355.03862261578701</v>
      </c>
      <c r="CZ105" s="60">
        <f t="shared" si="96"/>
        <v>382.84441399266029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67.252323126121951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1.1368683772161603E-13</v>
      </c>
      <c r="DP105" s="18">
        <f>DO105*VLOOKUP('Données projet'!$B$14,Paramètres!$A$1:$I$89,3,0)*VLOOKUP('Données projet'!$B$14,Paramètres!$A$1:$I$89,5,0)</f>
        <v>8.8675733422860506E-14</v>
      </c>
      <c r="DQ105" s="14">
        <f t="shared" si="97"/>
        <v>1.3509285393066301E-12</v>
      </c>
      <c r="DR105" s="22">
        <f t="shared" si="70"/>
        <v>2.5073107750038623E-12</v>
      </c>
      <c r="DS105" s="60">
        <f t="shared" si="71"/>
        <v>283.25851812911634</v>
      </c>
      <c r="DT105" s="60">
        <f ca="1">AVERAGE(OFFSET($DS$3,0,0,'Données projet'!$E$14+1,1))-AVERAGE(OFFSET($H$3,0,0,'Données projet'!$E$14+1,1))</f>
        <v>305.68891030516761</v>
      </c>
      <c r="DU105" s="60">
        <f t="shared" si="98"/>
        <v>296.00275062228275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67.252323126121951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4.7</v>
      </c>
      <c r="EJ105" s="13">
        <f>IF('Données projet'!$A$192&gt;35,EJ104+EI105-ER104,IF(A105&lt;'Données projet'!$A$192,$EG$205^A105,IF(A105='Données projet'!$A$192,'Données projet'!$B$192,EJ104+EI105-ER104)))</f>
        <v>290.89999999999975</v>
      </c>
      <c r="EK105" s="18">
        <f>EJ105*VLOOKUP('Données projet'!$B$15,Paramètres!$A$1:$I$89,3,0)*VLOOKUP('Données projet'!$B$15,Paramètres!$A$1:$I$89,5,0)</f>
        <v>281.35847999999976</v>
      </c>
      <c r="EL105" s="14">
        <f t="shared" si="99"/>
        <v>67.254013838398748</v>
      </c>
      <c r="EM105" s="22">
        <f t="shared" si="73"/>
        <v>607.16676010187734</v>
      </c>
      <c r="EN105" s="60">
        <f t="shared" si="74"/>
        <v>890.42527823099113</v>
      </c>
      <c r="EO105" s="60">
        <f ca="1">AVERAGE(OFFSET($EN$3,0,0,'Données projet'!$E$15+1,1))-AVERAGE(OFFSET($H$3,0,0,'Données projet'!$E$15+1,1))</f>
        <v>483.60545605360528</v>
      </c>
      <c r="EP105" s="60">
        <f t="shared" si="100"/>
        <v>256.96685577560345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67.252323126121951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0" t="e">
        <f t="shared" si="77"/>
        <v>#N/A</v>
      </c>
      <c r="FJ105" s="60" t="e">
        <f ca="1">AVERAGE(OFFSET($FI$3,0,0,'Données projet'!$E$16+1,1))-AVERAGE(OFFSET($H$3,0,0,'Données projet'!$E$16+1,1))</f>
        <v>#N/A</v>
      </c>
      <c r="FK105" s="60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67.252323126121951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0" t="e">
        <f t="shared" si="80"/>
        <v>#N/A</v>
      </c>
      <c r="GE105" s="60" t="e">
        <f ca="1">AVERAGE(OFFSET($GD$3,0,0,'Données projet'!$E$17+1,1))-AVERAGE(OFFSET($H$3,0,0,'Données projet'!$E$17+1,1))</f>
        <v>#N/A</v>
      </c>
      <c r="GF105" s="60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67.252323126121951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4">
        <f>'Scénario référence'!$B$16*5+'Scénario référence'!$B$17*0+'Scénario référence'!$B$18*5</f>
        <v>3.2750000000000004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12.008333333333335</v>
      </c>
      <c r="H106" s="67">
        <f t="shared" si="56"/>
        <v>208.63333333333333</v>
      </c>
      <c r="I106" s="7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67.299989176998523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4.7</v>
      </c>
      <c r="N106" s="14">
        <f>IF('Données projet'!$A$36&gt;35,N105+M106-V105,IF(A106&lt;'Données projet'!$A$36,$K$205^A106,IF(A106='Données projet'!$A$36,'Données projet'!$B$36,N105+M106-V105)))</f>
        <v>295.59999999999974</v>
      </c>
      <c r="O106" s="14">
        <f>N106*VLOOKUP('Données projet'!$B$9,Paramètres!$A$1:$I$89,3,0)*VLOOKUP('Données projet'!$B$9,Paramètres!$A$1:$I$89,5,0)</f>
        <v>299.73839999999979</v>
      </c>
      <c r="P106" s="14">
        <f t="shared" si="87"/>
        <v>71.121619283394423</v>
      </c>
      <c r="Q106" s="22">
        <f t="shared" si="107"/>
        <v>645.91453358524484</v>
      </c>
      <c r="R106" s="60">
        <f t="shared" si="55"/>
        <v>929.3478272342395</v>
      </c>
      <c r="S106" s="60">
        <f ca="1">AVERAGE(OFFSET($R$3,0,0,'Données projet'!$E$9+1,1))-AVERAGE(OFFSET($H$3,0,0,'Données projet'!$E$9+1,1))</f>
        <v>503.64055031157477</v>
      </c>
      <c r="T106" s="60">
        <f t="shared" si="88"/>
        <v>266.76572540460842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67.299989176998523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4.7</v>
      </c>
      <c r="AI106" s="14">
        <f>IF('Données projet'!$A$62&gt;35,AI105+AH106-AQ105,IF(A106&lt;'Données projet'!$A$62,$AF$205^A106,IF(A106='Données projet'!$A$62,'Données projet'!$B$62,AI105+AH106-AQ105)))</f>
        <v>295.59999999999974</v>
      </c>
      <c r="AJ106" s="14">
        <f>AI106*VLOOKUP('Données projet'!$B$10,Paramètres!$A$1:$I$89,3,0)*VLOOKUP('Données projet'!$B$10,Paramètres!$A$1:$I$89,5,0)</f>
        <v>267.45887999999974</v>
      </c>
      <c r="AK106" s="14">
        <f t="shared" si="89"/>
        <v>64.309683053152384</v>
      </c>
      <c r="AL106" s="22">
        <f t="shared" si="58"/>
        <v>577.83024731757325</v>
      </c>
      <c r="AM106" s="60">
        <f t="shared" si="59"/>
        <v>861.26354096656792</v>
      </c>
      <c r="AN106" s="60">
        <f ca="1">AVERAGE(OFFSET($AM$3,0,0,'Données projet'!$E$10+1,1))-AVERAGE(OFFSET($H$3,0,0,'Données projet'!$E$10+1,1))</f>
        <v>456.86058467343139</v>
      </c>
      <c r="AO106" s="60">
        <f t="shared" si="90"/>
        <v>243.88495931574937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67.299989176998523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3.1196581196581215</v>
      </c>
      <c r="BD106" s="13">
        <f>IF('Données projet'!$A$88&gt;35,BD105+BC106-BL105,IF(A106&lt;'Données projet'!$A$88,$BA$205^A106,IF(A106='Données projet'!$A$88,'Données projet'!$B$88,BD105+BC106-BL105)))</f>
        <v>298.46153846153828</v>
      </c>
      <c r="BE106" s="14">
        <f>BD106*VLOOKUP('Données projet'!$B$11,Paramètres!$A$1:$I$89,3,0)*VLOOKUP('Données projet'!$B$11,Paramètres!$A$1:$I$89,5,0)</f>
        <v>311.95199999999983</v>
      </c>
      <c r="BF106" s="14">
        <f t="shared" si="91"/>
        <v>73.676336418070036</v>
      </c>
      <c r="BG106" s="22">
        <f t="shared" si="61"/>
        <v>671.63601926147157</v>
      </c>
      <c r="BH106" s="60">
        <f t="shared" si="62"/>
        <v>955.06931291046612</v>
      </c>
      <c r="BI106" s="60">
        <f ca="1">AVERAGE(OFFSET($BH$3,0,0,'Données projet'!$E$11+1,1))-AVERAGE(OFFSET($H$3,0,0,'Données projet'!$E$11+1,1))</f>
        <v>518.47226207416952</v>
      </c>
      <c r="BJ106" s="60">
        <f t="shared" si="92"/>
        <v>314.6379787306804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67.299989176998523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4.7</v>
      </c>
      <c r="BY106" s="13">
        <f>IF('Données projet'!$A$114&gt;35,BY105+BX106-CG105,IF(A106&lt;'Données projet'!$A$114,$BV$205^A106,IF(A106='Données projet'!$A$114,'Données projet'!$B$114,BY105+BX106-CG105)))</f>
        <v>295.59999999999974</v>
      </c>
      <c r="BZ106" s="14">
        <f>BY106*VLOOKUP('Données projet'!$B$12,Paramètres!$A$1:$I$89,3,0)*VLOOKUP('Données projet'!$B$12,Paramètres!$A$1:$I$89,5,0)</f>
        <v>318.18383999999969</v>
      </c>
      <c r="CA106" s="14">
        <f t="shared" si="93"/>
        <v>74.975341168547857</v>
      </c>
      <c r="CB106" s="22">
        <f t="shared" si="64"/>
        <v>684.75224053522015</v>
      </c>
      <c r="CC106" s="60">
        <f t="shared" si="65"/>
        <v>968.1855341842147</v>
      </c>
      <c r="CD106" s="60">
        <f ca="1">AVERAGE(OFFSET($CC$3,0,0,'Données projet'!$E$12+1,1))-AVERAGE(OFFSET($H$3,0,0,'Données projet'!$E$12+1,1))</f>
        <v>530.32456073177104</v>
      </c>
      <c r="CE106" s="60">
        <f t="shared" si="94"/>
        <v>279.81519428470625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67.299989176998523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3.4106051316484809E-13</v>
      </c>
      <c r="CU106" s="18">
        <f>CT106*VLOOKUP('Données projet'!$B$13,Paramètres!$A$1:$I$89,3,0)*VLOOKUP('Données projet'!$B$13,Paramètres!$A$1:$I$89,5,0)</f>
        <v>2.9795046430081134E-13</v>
      </c>
      <c r="CV106" s="14">
        <f t="shared" si="95"/>
        <v>3.9419014464513778E-12</v>
      </c>
      <c r="CW106" s="22">
        <f t="shared" si="67"/>
        <v>7.384408744560063E-12</v>
      </c>
      <c r="CX106" s="60">
        <f t="shared" si="68"/>
        <v>283.433293649002</v>
      </c>
      <c r="CY106" s="60">
        <f ca="1">AVERAGE(OFFSET($CX$3,0,0,'Données projet'!$E$13+1,1))-AVERAGE(OFFSET($H$3,0,0,'Données projet'!$E$13+1,1))</f>
        <v>355.03862261578701</v>
      </c>
      <c r="CZ106" s="60">
        <f t="shared" si="96"/>
        <v>382.84441399266029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67.299989176998523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1.1368683772161603E-13</v>
      </c>
      <c r="DP106" s="18">
        <f>DO106*VLOOKUP('Données projet'!$B$14,Paramètres!$A$1:$I$89,3,0)*VLOOKUP('Données projet'!$B$14,Paramètres!$A$1:$I$89,5,0)</f>
        <v>8.8675733422860506E-14</v>
      </c>
      <c r="DQ106" s="14">
        <f t="shared" si="97"/>
        <v>1.3509285393066301E-12</v>
      </c>
      <c r="DR106" s="22">
        <f t="shared" si="70"/>
        <v>2.5073107750038623E-12</v>
      </c>
      <c r="DS106" s="60">
        <f t="shared" si="71"/>
        <v>283.43329364899711</v>
      </c>
      <c r="DT106" s="60">
        <f ca="1">AVERAGE(OFFSET($DS$3,0,0,'Données projet'!$E$14+1,1))-AVERAGE(OFFSET($H$3,0,0,'Données projet'!$E$14+1,1))</f>
        <v>305.68891030516761</v>
      </c>
      <c r="DU106" s="60">
        <f t="shared" si="98"/>
        <v>296.00275062228275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67.299989176998523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4.7</v>
      </c>
      <c r="EJ106" s="13">
        <f>IF('Données projet'!$A$192&gt;35,EJ105+EI106-ER105,IF(A106&lt;'Données projet'!$A$192,$EG$205^A106,IF(A106='Données projet'!$A$192,'Données projet'!$B$192,EJ105+EI106-ER105)))</f>
        <v>295.59999999999974</v>
      </c>
      <c r="EK106" s="18">
        <f>EJ106*VLOOKUP('Données projet'!$B$15,Paramètres!$A$1:$I$89,3,0)*VLOOKUP('Données projet'!$B$15,Paramètres!$A$1:$I$89,5,0)</f>
        <v>285.90431999999976</v>
      </c>
      <c r="EL106" s="14">
        <f t="shared" si="99"/>
        <v>68.21324199961451</v>
      </c>
      <c r="EM106" s="22">
        <f t="shared" si="73"/>
        <v>616.75475381599483</v>
      </c>
      <c r="EN106" s="60">
        <f t="shared" si="74"/>
        <v>900.18804746498949</v>
      </c>
      <c r="EO106" s="60">
        <f ca="1">AVERAGE(OFFSET($EN$3,0,0,'Données projet'!$E$15+1,1))-AVERAGE(OFFSET($H$3,0,0,'Données projet'!$E$15+1,1))</f>
        <v>483.60545605360528</v>
      </c>
      <c r="EP106" s="60">
        <f t="shared" si="100"/>
        <v>256.96685577560345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67.299989176998523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0" t="e">
        <f t="shared" si="77"/>
        <v>#N/A</v>
      </c>
      <c r="FJ106" s="60" t="e">
        <f ca="1">AVERAGE(OFFSET($FI$3,0,0,'Données projet'!$E$16+1,1))-AVERAGE(OFFSET($H$3,0,0,'Données projet'!$E$16+1,1))</f>
        <v>#N/A</v>
      </c>
      <c r="FK106" s="60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67.299989176998523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0" t="e">
        <f t="shared" si="80"/>
        <v>#N/A</v>
      </c>
      <c r="GE106" s="60" t="e">
        <f ca="1">AVERAGE(OFFSET($GD$3,0,0,'Données projet'!$E$17+1,1))-AVERAGE(OFFSET($H$3,0,0,'Données projet'!$E$17+1,1))</f>
        <v>#N/A</v>
      </c>
      <c r="GF106" s="60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67.299989176998523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4">
        <f>'Scénario référence'!$B$16*5+'Scénario référence'!$B$17*0+'Scénario référence'!$B$18*5</f>
        <v>3.2750000000000004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12.008333333333335</v>
      </c>
      <c r="H107" s="67">
        <f t="shared" si="56"/>
        <v>208.63333333333333</v>
      </c>
      <c r="I107" s="7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67.346828328457704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4.7</v>
      </c>
      <c r="N107" s="14">
        <f>IF('Données projet'!$A$36&gt;35,N106+M107-V106,IF(A107&lt;'Données projet'!$A$36,$K$205^A107,IF(A107='Données projet'!$A$36,'Données projet'!$B$36,N106+M107-V106)))</f>
        <v>300.29999999999973</v>
      </c>
      <c r="O107" s="14">
        <f>N107*VLOOKUP('Données projet'!$B$9,Paramètres!$A$1:$I$89,3,0)*VLOOKUP('Données projet'!$B$9,Paramètres!$A$1:$I$89,5,0)</f>
        <v>304.50419999999974</v>
      </c>
      <c r="P107" s="14">
        <f t="shared" si="87"/>
        <v>72.11989627512429</v>
      </c>
      <c r="Q107" s="22">
        <f t="shared" si="107"/>
        <v>655.9536343458409</v>
      </c>
      <c r="R107" s="60">
        <f t="shared" si="55"/>
        <v>939.55867155018586</v>
      </c>
      <c r="S107" s="60">
        <f ca="1">AVERAGE(OFFSET($R$3,0,0,'Données projet'!$E$9+1,1))-AVERAGE(OFFSET($H$3,0,0,'Données projet'!$E$9+1,1))</f>
        <v>503.64055031157477</v>
      </c>
      <c r="T107" s="60">
        <f t="shared" si="88"/>
        <v>266.76572540460842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67.346828328457704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4.7</v>
      </c>
      <c r="AI107" s="14">
        <f>IF('Données projet'!$A$62&gt;35,AI106+AH107-AQ106,IF(A107&lt;'Données projet'!$A$62,$AF$205^A107,IF(A107='Données projet'!$A$62,'Données projet'!$B$62,AI106+AH107-AQ106)))</f>
        <v>300.29999999999973</v>
      </c>
      <c r="AJ107" s="14">
        <f>AI107*VLOOKUP('Données projet'!$B$10,Paramètres!$A$1:$I$89,3,0)*VLOOKUP('Données projet'!$B$10,Paramètres!$A$1:$I$89,5,0)</f>
        <v>271.71143999999975</v>
      </c>
      <c r="AK107" s="14">
        <f t="shared" si="89"/>
        <v>65.212346372467266</v>
      </c>
      <c r="AL107" s="22">
        <f t="shared" si="58"/>
        <v>586.80892793204669</v>
      </c>
      <c r="AM107" s="60">
        <f t="shared" si="59"/>
        <v>870.41396513639165</v>
      </c>
      <c r="AN107" s="60">
        <f ca="1">AVERAGE(OFFSET($AM$3,0,0,'Données projet'!$E$10+1,1))-AVERAGE(OFFSET($H$3,0,0,'Données projet'!$E$10+1,1))</f>
        <v>456.86058467343139</v>
      </c>
      <c r="AO107" s="60">
        <f t="shared" si="90"/>
        <v>243.88495931574937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67.346828328457704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3.1196581196581215</v>
      </c>
      <c r="BD107" s="13">
        <f>IF('Données projet'!$A$88&gt;35,BD106+BC107-BL106,IF(A107&lt;'Données projet'!$A$88,$BA$205^A107,IF(A107='Données projet'!$A$88,'Données projet'!$B$88,BD106+BC107-BL106)))</f>
        <v>301.58119658119642</v>
      </c>
      <c r="BE107" s="14">
        <f>BD107*VLOOKUP('Données projet'!$B$11,Paramètres!$A$1:$I$89,3,0)*VLOOKUP('Données projet'!$B$11,Paramètres!$A$1:$I$89,5,0)</f>
        <v>315.21266666666651</v>
      </c>
      <c r="BF107" s="14">
        <f t="shared" si="91"/>
        <v>74.356383694033397</v>
      </c>
      <c r="BG107" s="22">
        <f t="shared" si="61"/>
        <v>678.49942937821902</v>
      </c>
      <c r="BH107" s="60">
        <f t="shared" si="62"/>
        <v>962.10446658256387</v>
      </c>
      <c r="BI107" s="60">
        <f ca="1">AVERAGE(OFFSET($BH$3,0,0,'Données projet'!$E$11+1,1))-AVERAGE(OFFSET($H$3,0,0,'Données projet'!$E$11+1,1))</f>
        <v>518.47226207416952</v>
      </c>
      <c r="BJ107" s="60">
        <f t="shared" si="92"/>
        <v>314.6379787306804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67.346828328457704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4.7</v>
      </c>
      <c r="BY107" s="13">
        <f>IF('Données projet'!$A$114&gt;35,BY106+BX107-CG106,IF(A107&lt;'Données projet'!$A$114,$BV$205^A107,IF(A107='Données projet'!$A$114,'Données projet'!$B$114,BY106+BX107-CG106)))</f>
        <v>300.29999999999973</v>
      </c>
      <c r="BZ107" s="14">
        <f>BY107*VLOOKUP('Données projet'!$B$12,Paramètres!$A$1:$I$89,3,0)*VLOOKUP('Données projet'!$B$12,Paramètres!$A$1:$I$89,5,0)</f>
        <v>323.24291999999969</v>
      </c>
      <c r="CA107" s="14">
        <f t="shared" si="93"/>
        <v>76.027709756183953</v>
      </c>
      <c r="CB107" s="22">
        <f t="shared" si="64"/>
        <v>695.39634682535325</v>
      </c>
      <c r="CC107" s="60">
        <f t="shared" si="65"/>
        <v>979.0013840296981</v>
      </c>
      <c r="CD107" s="60">
        <f ca="1">AVERAGE(OFFSET($CC$3,0,0,'Données projet'!$E$12+1,1))-AVERAGE(OFFSET($H$3,0,0,'Données projet'!$E$12+1,1))</f>
        <v>530.32456073177104</v>
      </c>
      <c r="CE107" s="60">
        <f t="shared" si="94"/>
        <v>279.81519428470625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67.346828328457704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3.4106051316484809E-13</v>
      </c>
      <c r="CU107" s="18">
        <f>CT107*VLOOKUP('Données projet'!$B$13,Paramètres!$A$1:$I$89,3,0)*VLOOKUP('Données projet'!$B$13,Paramètres!$A$1:$I$89,5,0)</f>
        <v>2.9795046430081134E-13</v>
      </c>
      <c r="CV107" s="14">
        <f t="shared" si="95"/>
        <v>3.9419014464513778E-12</v>
      </c>
      <c r="CW107" s="22">
        <f t="shared" si="67"/>
        <v>7.384408744560063E-12</v>
      </c>
      <c r="CX107" s="60">
        <f t="shared" si="68"/>
        <v>283.6050372043523</v>
      </c>
      <c r="CY107" s="60">
        <f ca="1">AVERAGE(OFFSET($CX$3,0,0,'Données projet'!$E$13+1,1))-AVERAGE(OFFSET($H$3,0,0,'Données projet'!$E$13+1,1))</f>
        <v>355.03862261578701</v>
      </c>
      <c r="CZ107" s="60">
        <f t="shared" si="96"/>
        <v>382.84441399266029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67.346828328457704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1.1368683772161603E-13</v>
      </c>
      <c r="DP107" s="18">
        <f>DO107*VLOOKUP('Données projet'!$B$14,Paramètres!$A$1:$I$89,3,0)*VLOOKUP('Données projet'!$B$14,Paramètres!$A$1:$I$89,5,0)</f>
        <v>8.8675733422860506E-14</v>
      </c>
      <c r="DQ107" s="14">
        <f t="shared" si="97"/>
        <v>1.3509285393066301E-12</v>
      </c>
      <c r="DR107" s="22">
        <f t="shared" si="70"/>
        <v>2.5073107750038623E-12</v>
      </c>
      <c r="DS107" s="60">
        <f t="shared" si="71"/>
        <v>283.60503720434741</v>
      </c>
      <c r="DT107" s="60">
        <f ca="1">AVERAGE(OFFSET($DS$3,0,0,'Données projet'!$E$14+1,1))-AVERAGE(OFFSET($H$3,0,0,'Données projet'!$E$14+1,1))</f>
        <v>305.68891030516761</v>
      </c>
      <c r="DU107" s="60">
        <f t="shared" si="98"/>
        <v>296.00275062228275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67.346828328457704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4.7</v>
      </c>
      <c r="EJ107" s="13">
        <f>IF('Données projet'!$A$192&gt;35,EJ106+EI107-ER106,IF(A107&lt;'Données projet'!$A$192,$EG$205^A107,IF(A107='Données projet'!$A$192,'Données projet'!$B$192,EJ106+EI107-ER106)))</f>
        <v>300.29999999999973</v>
      </c>
      <c r="EK107" s="18">
        <f>EJ107*VLOOKUP('Données projet'!$B$15,Paramètres!$A$1:$I$89,3,0)*VLOOKUP('Données projet'!$B$15,Paramètres!$A$1:$I$89,5,0)</f>
        <v>290.45015999999976</v>
      </c>
      <c r="EL107" s="14">
        <f t="shared" si="99"/>
        <v>69.170696437598821</v>
      </c>
      <c r="EM107" s="22">
        <f t="shared" si="73"/>
        <v>626.33965829548413</v>
      </c>
      <c r="EN107" s="60">
        <f t="shared" si="74"/>
        <v>909.94469549982909</v>
      </c>
      <c r="EO107" s="60">
        <f ca="1">AVERAGE(OFFSET($EN$3,0,0,'Données projet'!$E$15+1,1))-AVERAGE(OFFSET($H$3,0,0,'Données projet'!$E$15+1,1))</f>
        <v>483.60545605360528</v>
      </c>
      <c r="EP107" s="60">
        <f t="shared" si="100"/>
        <v>256.96685577560345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67.346828328457704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0" t="e">
        <f t="shared" si="77"/>
        <v>#N/A</v>
      </c>
      <c r="FJ107" s="60" t="e">
        <f ca="1">AVERAGE(OFFSET($FI$3,0,0,'Données projet'!$E$16+1,1))-AVERAGE(OFFSET($H$3,0,0,'Données projet'!$E$16+1,1))</f>
        <v>#N/A</v>
      </c>
      <c r="FK107" s="60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67.346828328457704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0" t="e">
        <f t="shared" si="80"/>
        <v>#N/A</v>
      </c>
      <c r="GE107" s="60" t="e">
        <f ca="1">AVERAGE(OFFSET($GD$3,0,0,'Données projet'!$E$17+1,1))-AVERAGE(OFFSET($H$3,0,0,'Données projet'!$E$17+1,1))</f>
        <v>#N/A</v>
      </c>
      <c r="GF107" s="60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67.346828328457704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4">
        <f>'Scénario référence'!$B$16*5+'Scénario référence'!$B$17*0+'Scénario référence'!$B$18*5</f>
        <v>3.2750000000000004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12.008333333333335</v>
      </c>
      <c r="H108" s="67">
        <f t="shared" si="56"/>
        <v>208.63333333333333</v>
      </c>
      <c r="I108" s="7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67.392854925355721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305</v>
      </c>
      <c r="L108" s="13">
        <f>VLOOKUP(A108,'Données projet'!$A$35:$I$55,9,0)</f>
        <v>4.7</v>
      </c>
      <c r="M108" s="13">
        <f t="array" ref="M108">INDEX(L:L,MIN(IF(ISNUMBER(L108:L304),ROW(L108:L304),"")))</f>
        <v>4.7</v>
      </c>
      <c r="N108" s="14">
        <f>IF('Données projet'!$A$36&gt;35,N107+M108-V107,IF(A108&lt;'Données projet'!$A$36,$K$205^A108,IF(A108='Données projet'!$A$36,'Données projet'!$B$36,N107+M108-V107)))</f>
        <v>304.99999999999972</v>
      </c>
      <c r="O108" s="14">
        <f>N108*VLOOKUP('Données projet'!$B$9,Paramètres!$A$1:$I$89,3,0)*VLOOKUP('Données projet'!$B$9,Paramètres!$A$1:$I$89,5,0)</f>
        <v>309.26999999999975</v>
      </c>
      <c r="P108" s="14">
        <f t="shared" si="87"/>
        <v>73.116356204711025</v>
      </c>
      <c r="Q108" s="22">
        <f t="shared" si="107"/>
        <v>665.98957038987123</v>
      </c>
      <c r="R108" s="60">
        <f t="shared" si="55"/>
        <v>949.76337178284211</v>
      </c>
      <c r="S108" s="60">
        <f ca="1">AVERAGE(OFFSET($R$3,0,0,'Données projet'!$E$9+1,1))-AVERAGE(OFFSET($H$3,0,0,'Données projet'!$E$9+1,1))</f>
        <v>503.64055031157477</v>
      </c>
      <c r="T108" s="60">
        <f t="shared" si="88"/>
        <v>266.76572540460842</v>
      </c>
      <c r="U108" s="16">
        <f>IF(ISNA(VLOOKUP(A108,'Données projet'!$A$35:$I$55,3,0)),0,VLOOKUP(A108,'Données projet'!$A$35:$I$55,3,0))</f>
        <v>9</v>
      </c>
      <c r="V108" s="16">
        <f>IF(ISNA(VLOOKUP(A108,'Données projet'!$A$35:$I$55,4,0)),0,VLOOKUP(A108,'Données projet'!$A$35:$I$55,4,0))</f>
        <v>41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67.392854925355721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305</v>
      </c>
      <c r="AG108" s="13">
        <f>VLOOKUP(A108,'Données projet'!$A$61:$I$81,9,0)</f>
        <v>4.7</v>
      </c>
      <c r="AH108" s="13">
        <f t="array" ref="AH108">INDEX(AG:AG,MIN(IF(ISNUMBER(AG108:AG304),ROW(AG108:AG304),"")))</f>
        <v>4.7</v>
      </c>
      <c r="AI108" s="14">
        <f>IF('Données projet'!$A$62&gt;35,AI107+AH108-AQ107,IF(A108&lt;'Données projet'!$A$62,$AF$205^A108,IF(A108='Données projet'!$A$62,'Données projet'!$B$62,AI107+AH108-AQ107)))</f>
        <v>304.99999999999972</v>
      </c>
      <c r="AJ108" s="14">
        <f>AI108*VLOOKUP('Données projet'!$B$10,Paramètres!$A$1:$I$89,3,0)*VLOOKUP('Données projet'!$B$10,Paramètres!$A$1:$I$89,5,0)</f>
        <v>275.96399999999977</v>
      </c>
      <c r="AK108" s="14">
        <f t="shared" si="89"/>
        <v>66.113366665488854</v>
      </c>
      <c r="AL108" s="22">
        <f t="shared" si="58"/>
        <v>595.78474694239264</v>
      </c>
      <c r="AM108" s="60">
        <f t="shared" si="59"/>
        <v>879.55854833536364</v>
      </c>
      <c r="AN108" s="60">
        <f ca="1">AVERAGE(OFFSET($AM$3,0,0,'Données projet'!$E$10+1,1))-AVERAGE(OFFSET($H$3,0,0,'Données projet'!$E$10+1,1))</f>
        <v>456.86058467343139</v>
      </c>
      <c r="AO108" s="60">
        <f t="shared" si="90"/>
        <v>243.88495931574937</v>
      </c>
      <c r="AP108" s="16">
        <f>IF(ISNA(VLOOKUP(A108,'Données projet'!$A$61:$I$81,3,0)),0,VLOOKUP(A108,'Données projet'!$A$61:$I$81,3,0))</f>
        <v>9</v>
      </c>
      <c r="AQ108" s="16">
        <f>IF(ISNA(VLOOKUP(A108,'Données projet'!$A$61:$I$81,4,0)),0,VLOOKUP(A108,'Données projet'!$A$61:$I$81,4,0))</f>
        <v>41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67.392854925355721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3.1196581196581215</v>
      </c>
      <c r="BD108" s="13">
        <f>IF('Données projet'!$A$88&gt;35,BD107+BC108-BL107,IF(A108&lt;'Données projet'!$A$88,$BA$205^A108,IF(A108='Données projet'!$A$88,'Données projet'!$B$88,BD107+BC108-BL107)))</f>
        <v>304.70085470085456</v>
      </c>
      <c r="BE108" s="14">
        <f>BD108*VLOOKUP('Données projet'!$B$11,Paramètres!$A$1:$I$89,3,0)*VLOOKUP('Données projet'!$B$11,Paramètres!$A$1:$I$89,5,0)</f>
        <v>318.47333333333324</v>
      </c>
      <c r="BF108" s="14">
        <f t="shared" si="91"/>
        <v>75.035612615292806</v>
      </c>
      <c r="BG108" s="22">
        <f t="shared" si="61"/>
        <v>685.36141419385694</v>
      </c>
      <c r="BH108" s="60">
        <f t="shared" si="62"/>
        <v>969.13521558682783</v>
      </c>
      <c r="BI108" s="60">
        <f ca="1">AVERAGE(OFFSET($BH$3,0,0,'Données projet'!$E$11+1,1))-AVERAGE(OFFSET($H$3,0,0,'Données projet'!$E$11+1,1))</f>
        <v>518.47226207416952</v>
      </c>
      <c r="BJ108" s="60">
        <f t="shared" si="92"/>
        <v>314.6379787306804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67.392854925355721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>
        <f>VLOOKUP(A108,'Données projet'!$A$113:$I$133,2,0)</f>
        <v>305</v>
      </c>
      <c r="BW108" s="13">
        <f>VLOOKUP(A108,'Données projet'!$A$113:$I$133,9,0)</f>
        <v>4.7</v>
      </c>
      <c r="BX108" s="13">
        <f t="array" ref="BX108">INDEX(BW:BW,MIN(IF(ISNUMBER(BW108:BW304),ROW(BW108:BW304),"")))</f>
        <v>4.7</v>
      </c>
      <c r="BY108" s="13">
        <f>IF('Données projet'!$A$114&gt;35,BY107+BX108-CG107,IF(A108&lt;'Données projet'!$A$114,$BV$205^A108,IF(A108='Données projet'!$A$114,'Données projet'!$B$114,BY107+BX108-CG107)))</f>
        <v>304.99999999999972</v>
      </c>
      <c r="BZ108" s="14">
        <f>BY108*VLOOKUP('Données projet'!$B$12,Paramètres!$A$1:$I$89,3,0)*VLOOKUP('Données projet'!$B$12,Paramètres!$A$1:$I$89,5,0)</f>
        <v>328.30199999999968</v>
      </c>
      <c r="CA108" s="14">
        <f t="shared" si="93"/>
        <v>77.078162824242781</v>
      </c>
      <c r="CB108" s="22">
        <f t="shared" si="64"/>
        <v>706.03711691888884</v>
      </c>
      <c r="CC108" s="60">
        <f t="shared" si="65"/>
        <v>989.81091831185972</v>
      </c>
      <c r="CD108" s="60">
        <f ca="1">AVERAGE(OFFSET($CC$3,0,0,'Données projet'!$E$12+1,1))-AVERAGE(OFFSET($H$3,0,0,'Données projet'!$E$12+1,1))</f>
        <v>530.32456073177104</v>
      </c>
      <c r="CE108" s="60">
        <f t="shared" si="94"/>
        <v>279.81519428470625</v>
      </c>
      <c r="CF108" s="16">
        <f>IF(ISNA(VLOOKUP(A108,'Données projet'!$A$113:$I$133,3,0)),0,VLOOKUP(A108,'Données projet'!$A$113:$I$133,3,0))</f>
        <v>9</v>
      </c>
      <c r="CG108" s="16">
        <f>IF(ISNA(VLOOKUP(A108,'Données projet'!$A$113:$I$133,4,0)),0,VLOOKUP(A108,'Données projet'!$A$113:$I$133,4,0))</f>
        <v>41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67.392854925355721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3.4106051316484809E-13</v>
      </c>
      <c r="CU108" s="18">
        <f>CT108*VLOOKUP('Données projet'!$B$13,Paramètres!$A$1:$I$89,3,0)*VLOOKUP('Données projet'!$B$13,Paramètres!$A$1:$I$89,5,0)</f>
        <v>2.9795046430081134E-13</v>
      </c>
      <c r="CV108" s="14">
        <f t="shared" si="95"/>
        <v>3.9419014464513778E-12</v>
      </c>
      <c r="CW108" s="22">
        <f t="shared" si="67"/>
        <v>7.384408744560063E-12</v>
      </c>
      <c r="CX108" s="60">
        <f t="shared" si="68"/>
        <v>283.77380139297833</v>
      </c>
      <c r="CY108" s="60">
        <f ca="1">AVERAGE(OFFSET($CX$3,0,0,'Données projet'!$E$13+1,1))-AVERAGE(OFFSET($H$3,0,0,'Données projet'!$E$13+1,1))</f>
        <v>355.03862261578701</v>
      </c>
      <c r="CZ108" s="60">
        <f t="shared" si="96"/>
        <v>382.84441399266029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67.392854925355721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1.1368683772161603E-13</v>
      </c>
      <c r="DP108" s="18">
        <f>DO108*VLOOKUP('Données projet'!$B$14,Paramètres!$A$1:$I$89,3,0)*VLOOKUP('Données projet'!$B$14,Paramètres!$A$1:$I$89,5,0)</f>
        <v>8.8675733422860506E-14</v>
      </c>
      <c r="DQ108" s="14">
        <f t="shared" si="97"/>
        <v>1.3509285393066301E-12</v>
      </c>
      <c r="DR108" s="22">
        <f t="shared" si="70"/>
        <v>2.5073107750038623E-12</v>
      </c>
      <c r="DS108" s="60">
        <f t="shared" si="71"/>
        <v>283.77380139297344</v>
      </c>
      <c r="DT108" s="60">
        <f ca="1">AVERAGE(OFFSET($DS$3,0,0,'Données projet'!$E$14+1,1))-AVERAGE(OFFSET($H$3,0,0,'Données projet'!$E$14+1,1))</f>
        <v>305.68891030516761</v>
      </c>
      <c r="DU108" s="60">
        <f t="shared" si="98"/>
        <v>296.00275062228275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67.392854925355721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>
        <f>VLOOKUP(A108,'Données projet'!$A$191:$I$211,2,0)</f>
        <v>305</v>
      </c>
      <c r="EH108" s="13">
        <f>VLOOKUP(A108,'Données projet'!$A$191:$I$211,9,0)</f>
        <v>4.7</v>
      </c>
      <c r="EI108" s="13">
        <f t="array" ref="EI108">INDEX(EH:EH,MIN(IF(ISNUMBER(EH108:EH304),ROW(EH108:EH304),"")))</f>
        <v>4.7</v>
      </c>
      <c r="EJ108" s="13">
        <f>IF('Données projet'!$A$192&gt;35,EJ107+EI108-ER107,IF(A108&lt;'Données projet'!$A$192,$EG$205^A108,IF(A108='Données projet'!$A$192,'Données projet'!$B$192,EJ107+EI108-ER107)))</f>
        <v>304.99999999999972</v>
      </c>
      <c r="EK108" s="18">
        <f>EJ108*VLOOKUP('Données projet'!$B$15,Paramètres!$A$1:$I$89,3,0)*VLOOKUP('Données projet'!$B$15,Paramètres!$A$1:$I$89,5,0)</f>
        <v>294.99599999999975</v>
      </c>
      <c r="EL108" s="14">
        <f t="shared" si="99"/>
        <v>70.126408118585388</v>
      </c>
      <c r="EM108" s="22">
        <f t="shared" si="73"/>
        <v>635.92152747320245</v>
      </c>
      <c r="EN108" s="60">
        <f t="shared" si="74"/>
        <v>919.69532886617344</v>
      </c>
      <c r="EO108" s="60">
        <f ca="1">AVERAGE(OFFSET($EN$3,0,0,'Données projet'!$E$15+1,1))-AVERAGE(OFFSET($H$3,0,0,'Données projet'!$E$15+1,1))</f>
        <v>483.60545605360528</v>
      </c>
      <c r="EP108" s="60">
        <f t="shared" si="100"/>
        <v>256.96685577560345</v>
      </c>
      <c r="EQ108" s="16">
        <f>IF(ISNA(VLOOKUP(A108,'Données projet'!$A$191:$I$211,3,0)),0,VLOOKUP(A108,'Données projet'!$A$191:$I$211,3,0))</f>
        <v>9</v>
      </c>
      <c r="ER108" s="16">
        <f>IF(ISNA(VLOOKUP(A108,'Données projet'!$A$191:$I$211,4,0)),0,VLOOKUP(A108,'Données projet'!$A$191:$I$211,4,0))</f>
        <v>41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67.392854925355721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0" t="e">
        <f t="shared" si="77"/>
        <v>#N/A</v>
      </c>
      <c r="FJ108" s="60" t="e">
        <f ca="1">AVERAGE(OFFSET($FI$3,0,0,'Données projet'!$E$16+1,1))-AVERAGE(OFFSET($H$3,0,0,'Données projet'!$E$16+1,1))</f>
        <v>#N/A</v>
      </c>
      <c r="FK108" s="60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67.392854925355721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0" t="e">
        <f t="shared" si="80"/>
        <v>#N/A</v>
      </c>
      <c r="GE108" s="60" t="e">
        <f ca="1">AVERAGE(OFFSET($GD$3,0,0,'Données projet'!$E$17+1,1))-AVERAGE(OFFSET($H$3,0,0,'Données projet'!$E$17+1,1))</f>
        <v>#N/A</v>
      </c>
      <c r="GF108" s="60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67.392854925355721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4">
        <f>'Scénario référence'!$B$16*5+'Scénario référence'!$B$17*0+'Scénario référence'!$B$18*5</f>
        <v>3.2750000000000004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12.008333333333335</v>
      </c>
      <c r="H109" s="67">
        <f t="shared" si="56"/>
        <v>208.63333333333333</v>
      </c>
      <c r="I109" s="7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67.438083063697604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</v>
      </c>
      <c r="N109" s="14">
        <f>IF('Données projet'!$A$36&gt;35,N108+M109-V108,IF(A109&lt;'Données projet'!$A$36,$K$205^A109,IF(A109='Données projet'!$A$36,'Données projet'!$B$36,N108+M109-V108)))</f>
        <v>267.99999999999972</v>
      </c>
      <c r="O109" s="14">
        <f>N109*VLOOKUP('Données projet'!$B$9,Paramètres!$A$1:$I$89,3,0)*VLOOKUP('Données projet'!$B$9,Paramètres!$A$1:$I$89,5,0)</f>
        <v>271.75199999999973</v>
      </c>
      <c r="P109" s="14">
        <f t="shared" si="87"/>
        <v>65.22094782472486</v>
      </c>
      <c r="Q109" s="22">
        <f t="shared" si="107"/>
        <v>586.89455079472862</v>
      </c>
      <c r="R109" s="60">
        <f t="shared" si="55"/>
        <v>870.83418869495313</v>
      </c>
      <c r="S109" s="60">
        <f ca="1">AVERAGE(OFFSET($R$3,0,0,'Données projet'!$E$9+1,1))-AVERAGE(OFFSET($H$3,0,0,'Données projet'!$E$9+1,1))</f>
        <v>503.64055031157477</v>
      </c>
      <c r="T109" s="60">
        <f t="shared" si="88"/>
        <v>266.76572540460842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67.438083063697604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</v>
      </c>
      <c r="AI109" s="14">
        <f>IF('Données projet'!$A$62&gt;35,AI108+AH109-AQ108,IF(A109&lt;'Données projet'!$A$62,$AF$205^A109,IF(A109='Données projet'!$A$62,'Données projet'!$B$62,AI108+AH109-AQ108)))</f>
        <v>267.99999999999972</v>
      </c>
      <c r="AJ109" s="14">
        <f>AI109*VLOOKUP('Données projet'!$B$10,Paramètres!$A$1:$I$89,3,0)*VLOOKUP('Données projet'!$B$10,Paramètres!$A$1:$I$89,5,0)</f>
        <v>242.48639999999975</v>
      </c>
      <c r="AK109" s="14">
        <f t="shared" si="89"/>
        <v>58.97417023537237</v>
      </c>
      <c r="AL109" s="22">
        <f t="shared" si="58"/>
        <v>525.04382649327317</v>
      </c>
      <c r="AM109" s="60">
        <f t="shared" si="59"/>
        <v>808.9834643934978</v>
      </c>
      <c r="AN109" s="60">
        <f ca="1">AVERAGE(OFFSET($AM$3,0,0,'Données projet'!$E$10+1,1))-AVERAGE(OFFSET($H$3,0,0,'Données projet'!$E$10+1,1))</f>
        <v>456.86058467343139</v>
      </c>
      <c r="AO109" s="60">
        <f t="shared" si="90"/>
        <v>243.88495931574937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67.438083063697604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3.1196581196581215</v>
      </c>
      <c r="BD109" s="13">
        <f>IF('Données projet'!$A$88&gt;35,BD108+BC109-BL108,IF(A109&lt;'Données projet'!$A$88,$BA$205^A109,IF(A109='Données projet'!$A$88,'Données projet'!$B$88,BD108+BC109-BL108)))</f>
        <v>307.8205128205127</v>
      </c>
      <c r="BE109" s="14">
        <f>BD109*VLOOKUP('Données projet'!$B$11,Paramètres!$A$1:$I$89,3,0)*VLOOKUP('Données projet'!$B$11,Paramètres!$A$1:$I$89,5,0)</f>
        <v>321.73399999999987</v>
      </c>
      <c r="BF109" s="14">
        <f t="shared" si="91"/>
        <v>75.714032530548266</v>
      </c>
      <c r="BG109" s="22">
        <f t="shared" si="61"/>
        <v>692.22198999070451</v>
      </c>
      <c r="BH109" s="60">
        <f t="shared" si="62"/>
        <v>976.16162789092914</v>
      </c>
      <c r="BI109" s="60">
        <f ca="1">AVERAGE(OFFSET($BH$3,0,0,'Données projet'!$E$11+1,1))-AVERAGE(OFFSET($H$3,0,0,'Données projet'!$E$11+1,1))</f>
        <v>518.47226207416952</v>
      </c>
      <c r="BJ109" s="60">
        <f t="shared" si="92"/>
        <v>314.6379787306804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67.438083063697604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4</v>
      </c>
      <c r="BY109" s="13">
        <f>IF('Données projet'!$A$114&gt;35,BY108+BX109-CG108,IF(A109&lt;'Données projet'!$A$114,$BV$205^A109,IF(A109='Données projet'!$A$114,'Données projet'!$B$114,BY108+BX109-CG108)))</f>
        <v>267.99999999999972</v>
      </c>
      <c r="BZ109" s="14">
        <f>BY109*VLOOKUP('Données projet'!$B$12,Paramètres!$A$1:$I$89,3,0)*VLOOKUP('Données projet'!$B$12,Paramètres!$A$1:$I$89,5,0)</f>
        <v>288.47519999999969</v>
      </c>
      <c r="CA109" s="14">
        <f t="shared" si="93"/>
        <v>68.754942080410785</v>
      </c>
      <c r="CB109" s="22">
        <f t="shared" si="64"/>
        <v>622.17583079004828</v>
      </c>
      <c r="CC109" s="60">
        <f t="shared" si="65"/>
        <v>906.11546869027279</v>
      </c>
      <c r="CD109" s="60">
        <f ca="1">AVERAGE(OFFSET($CC$3,0,0,'Données projet'!$E$12+1,1))-AVERAGE(OFFSET($H$3,0,0,'Données projet'!$E$12+1,1))</f>
        <v>530.32456073177104</v>
      </c>
      <c r="CE109" s="60">
        <f t="shared" si="94"/>
        <v>279.81519428470625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67.438083063697604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3.4106051316484809E-13</v>
      </c>
      <c r="CU109" s="18">
        <f>CT109*VLOOKUP('Données projet'!$B$13,Paramètres!$A$1:$I$89,3,0)*VLOOKUP('Données projet'!$B$13,Paramètres!$A$1:$I$89,5,0)</f>
        <v>2.9795046430081134E-13</v>
      </c>
      <c r="CV109" s="14">
        <f t="shared" si="95"/>
        <v>3.9419014464513778E-12</v>
      </c>
      <c r="CW109" s="22">
        <f t="shared" si="67"/>
        <v>7.384408744560063E-12</v>
      </c>
      <c r="CX109" s="60">
        <f t="shared" si="68"/>
        <v>283.93963790023196</v>
      </c>
      <c r="CY109" s="60">
        <f ca="1">AVERAGE(OFFSET($CX$3,0,0,'Données projet'!$E$13+1,1))-AVERAGE(OFFSET($H$3,0,0,'Données projet'!$E$13+1,1))</f>
        <v>355.03862261578701</v>
      </c>
      <c r="CZ109" s="60">
        <f t="shared" si="96"/>
        <v>382.84441399266029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67.438083063697604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1.1368683772161603E-13</v>
      </c>
      <c r="DP109" s="18">
        <f>DO109*VLOOKUP('Données projet'!$B$14,Paramètres!$A$1:$I$89,3,0)*VLOOKUP('Données projet'!$B$14,Paramètres!$A$1:$I$89,5,0)</f>
        <v>8.8675733422860506E-14</v>
      </c>
      <c r="DQ109" s="14">
        <f t="shared" si="97"/>
        <v>1.3509285393066301E-12</v>
      </c>
      <c r="DR109" s="22">
        <f t="shared" si="70"/>
        <v>2.5073107750038623E-12</v>
      </c>
      <c r="DS109" s="60">
        <f t="shared" si="71"/>
        <v>283.93963790022707</v>
      </c>
      <c r="DT109" s="60">
        <f ca="1">AVERAGE(OFFSET($DS$3,0,0,'Données projet'!$E$14+1,1))-AVERAGE(OFFSET($H$3,0,0,'Données projet'!$E$14+1,1))</f>
        <v>305.68891030516761</v>
      </c>
      <c r="DU109" s="60">
        <f t="shared" si="98"/>
        <v>296.00275062228275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67.438083063697604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4</v>
      </c>
      <c r="EJ109" s="13">
        <f>IF('Données projet'!$A$192&gt;35,EJ108+EI109-ER108,IF(A109&lt;'Données projet'!$A$192,$EG$205^A109,IF(A109='Données projet'!$A$192,'Données projet'!$B$192,EJ108+EI109-ER108)))</f>
        <v>267.99999999999972</v>
      </c>
      <c r="EK109" s="18">
        <f>EJ109*VLOOKUP('Données projet'!$B$15,Paramètres!$A$1:$I$89,3,0)*VLOOKUP('Données projet'!$B$15,Paramètres!$A$1:$I$89,5,0)</f>
        <v>259.20959999999974</v>
      </c>
      <c r="EL109" s="14">
        <f t="shared" si="99"/>
        <v>62.553866774106652</v>
      </c>
      <c r="EM109" s="22">
        <f t="shared" si="73"/>
        <v>560.40470463156862</v>
      </c>
      <c r="EN109" s="60">
        <f t="shared" si="74"/>
        <v>844.34434253179325</v>
      </c>
      <c r="EO109" s="60">
        <f ca="1">AVERAGE(OFFSET($EN$3,0,0,'Données projet'!$E$15+1,1))-AVERAGE(OFFSET($H$3,0,0,'Données projet'!$E$15+1,1))</f>
        <v>483.60545605360528</v>
      </c>
      <c r="EP109" s="60">
        <f t="shared" si="100"/>
        <v>256.96685577560345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67.438083063697604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0" t="e">
        <f t="shared" si="77"/>
        <v>#N/A</v>
      </c>
      <c r="FJ109" s="60" t="e">
        <f ca="1">AVERAGE(OFFSET($FI$3,0,0,'Données projet'!$E$16+1,1))-AVERAGE(OFFSET($H$3,0,0,'Données projet'!$E$16+1,1))</f>
        <v>#N/A</v>
      </c>
      <c r="FK109" s="60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67.438083063697604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0" t="e">
        <f t="shared" si="80"/>
        <v>#N/A</v>
      </c>
      <c r="GE109" s="60" t="e">
        <f ca="1">AVERAGE(OFFSET($GD$3,0,0,'Données projet'!$E$17+1,1))-AVERAGE(OFFSET($H$3,0,0,'Données projet'!$E$17+1,1))</f>
        <v>#N/A</v>
      </c>
      <c r="GF109" s="60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67.438083063697604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4">
        <f>'Scénario référence'!$B$16*5+'Scénario référence'!$B$17*0+'Scénario référence'!$B$18*5</f>
        <v>3.2750000000000004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12.008333333333335</v>
      </c>
      <c r="H110" s="67">
        <f t="shared" si="56"/>
        <v>208.63333333333333</v>
      </c>
      <c r="I110" s="7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67.482526594954251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</v>
      </c>
      <c r="N110" s="14">
        <f>IF('Données projet'!$A$36&gt;35,N109+M110-V109,IF(A110&lt;'Données projet'!$A$36,$K$205^A110,IF(A110='Données projet'!$A$36,'Données projet'!$B$36,N109+M110-V109)))</f>
        <v>271.99999999999972</v>
      </c>
      <c r="O110" s="14">
        <f>N110*VLOOKUP('Données projet'!$B$9,Paramètres!$A$1:$I$89,3,0)*VLOOKUP('Données projet'!$B$9,Paramètres!$A$1:$I$89,5,0)</f>
        <v>275.80799999999971</v>
      </c>
      <c r="P110" s="14">
        <f t="shared" si="87"/>
        <v>66.080342531440593</v>
      </c>
      <c r="Q110" s="22">
        <f t="shared" si="107"/>
        <v>595.4555299089252</v>
      </c>
      <c r="R110" s="60">
        <f t="shared" si="55"/>
        <v>879.55812742375747</v>
      </c>
      <c r="S110" s="60">
        <f ca="1">AVERAGE(OFFSET($R$3,0,0,'Données projet'!$E$9+1,1))-AVERAGE(OFFSET($H$3,0,0,'Données projet'!$E$9+1,1))</f>
        <v>503.64055031157477</v>
      </c>
      <c r="T110" s="60">
        <f t="shared" si="88"/>
        <v>266.76572540460842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67.482526594954251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</v>
      </c>
      <c r="AI110" s="14">
        <f>IF('Données projet'!$A$62&gt;35,AI109+AH110-AQ109,IF(A110&lt;'Données projet'!$A$62,$AF$205^A110,IF(A110='Données projet'!$A$62,'Données projet'!$B$62,AI109+AH110-AQ109)))</f>
        <v>271.99999999999972</v>
      </c>
      <c r="AJ110" s="14">
        <f>AI110*VLOOKUP('Données projet'!$B$10,Paramètres!$A$1:$I$89,3,0)*VLOOKUP('Données projet'!$B$10,Paramètres!$A$1:$I$89,5,0)</f>
        <v>246.10559999999973</v>
      </c>
      <c r="AK110" s="14">
        <f t="shared" si="89"/>
        <v>59.751253234371873</v>
      </c>
      <c r="AL110" s="22">
        <f t="shared" si="58"/>
        <v>532.70068604986398</v>
      </c>
      <c r="AM110" s="60">
        <f t="shared" si="59"/>
        <v>816.80328356469624</v>
      </c>
      <c r="AN110" s="60">
        <f ca="1">AVERAGE(OFFSET($AM$3,0,0,'Données projet'!$E$10+1,1))-AVERAGE(OFFSET($H$3,0,0,'Données projet'!$E$10+1,1))</f>
        <v>456.86058467343139</v>
      </c>
      <c r="AO110" s="60">
        <f t="shared" si="90"/>
        <v>243.88495931574937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67.482526594954251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3.1196581196581215</v>
      </c>
      <c r="BD110" s="13">
        <f>IF('Données projet'!$A$88&gt;35,BD109+BC110-BL109,IF(A110&lt;'Données projet'!$A$88,$BA$205^A110,IF(A110='Données projet'!$A$88,'Données projet'!$B$88,BD109+BC110-BL109)))</f>
        <v>310.94017094017084</v>
      </c>
      <c r="BE110" s="14">
        <f>BD110*VLOOKUP('Données projet'!$B$11,Paramètres!$A$1:$I$89,3,0)*VLOOKUP('Données projet'!$B$11,Paramètres!$A$1:$I$89,5,0)</f>
        <v>324.9946666666666</v>
      </c>
      <c r="BF110" s="14">
        <f t="shared" si="91"/>
        <v>76.391652588087567</v>
      </c>
      <c r="BG110" s="22">
        <f t="shared" si="61"/>
        <v>699.08117270203013</v>
      </c>
      <c r="BH110" s="60">
        <f t="shared" si="62"/>
        <v>983.1837702168624</v>
      </c>
      <c r="BI110" s="60">
        <f ca="1">AVERAGE(OFFSET($BH$3,0,0,'Données projet'!$E$11+1,1))-AVERAGE(OFFSET($H$3,0,0,'Données projet'!$E$11+1,1))</f>
        <v>518.47226207416952</v>
      </c>
      <c r="BJ110" s="60">
        <f t="shared" si="92"/>
        <v>314.6379787306804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67.482526594954251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4</v>
      </c>
      <c r="BY110" s="13">
        <f>IF('Données projet'!$A$114&gt;35,BY109+BX110-CG109,IF(A110&lt;'Données projet'!$A$114,$BV$205^A110,IF(A110='Données projet'!$A$114,'Données projet'!$B$114,BY109+BX110-CG109)))</f>
        <v>271.99999999999972</v>
      </c>
      <c r="BZ110" s="14">
        <f>BY110*VLOOKUP('Données projet'!$B$12,Paramètres!$A$1:$I$89,3,0)*VLOOKUP('Données projet'!$B$12,Paramètres!$A$1:$I$89,5,0)</f>
        <v>292.78079999999966</v>
      </c>
      <c r="CA110" s="14">
        <f t="shared" si="93"/>
        <v>69.660903052386217</v>
      </c>
      <c r="CB110" s="22">
        <f t="shared" si="64"/>
        <v>631.2526328162387</v>
      </c>
      <c r="CC110" s="60">
        <f t="shared" si="65"/>
        <v>915.35523033107097</v>
      </c>
      <c r="CD110" s="60">
        <f ca="1">AVERAGE(OFFSET($CC$3,0,0,'Données projet'!$E$12+1,1))-AVERAGE(OFFSET($H$3,0,0,'Données projet'!$E$12+1,1))</f>
        <v>530.32456073177104</v>
      </c>
      <c r="CE110" s="60">
        <f t="shared" si="94"/>
        <v>279.81519428470625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67.482526594954251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3.4106051316484809E-13</v>
      </c>
      <c r="CU110" s="18">
        <f>CT110*VLOOKUP('Données projet'!$B$13,Paramètres!$A$1:$I$89,3,0)*VLOOKUP('Données projet'!$B$13,Paramètres!$A$1:$I$89,5,0)</f>
        <v>2.9795046430081134E-13</v>
      </c>
      <c r="CV110" s="14">
        <f t="shared" si="95"/>
        <v>3.9419014464513778E-12</v>
      </c>
      <c r="CW110" s="22">
        <f t="shared" si="67"/>
        <v>7.384408744560063E-12</v>
      </c>
      <c r="CX110" s="60">
        <f t="shared" si="68"/>
        <v>284.10259751483966</v>
      </c>
      <c r="CY110" s="60">
        <f ca="1">AVERAGE(OFFSET($CX$3,0,0,'Données projet'!$E$13+1,1))-AVERAGE(OFFSET($H$3,0,0,'Données projet'!$E$13+1,1))</f>
        <v>355.03862261578701</v>
      </c>
      <c r="CZ110" s="60">
        <f t="shared" si="96"/>
        <v>382.84441399266029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67.482526594954251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1.1368683772161603E-13</v>
      </c>
      <c r="DP110" s="18">
        <f>DO110*VLOOKUP('Données projet'!$B$14,Paramètres!$A$1:$I$89,3,0)*VLOOKUP('Données projet'!$B$14,Paramètres!$A$1:$I$89,5,0)</f>
        <v>8.8675733422860506E-14</v>
      </c>
      <c r="DQ110" s="14">
        <f t="shared" si="97"/>
        <v>1.3509285393066301E-12</v>
      </c>
      <c r="DR110" s="22">
        <f t="shared" si="70"/>
        <v>2.5073107750038623E-12</v>
      </c>
      <c r="DS110" s="60">
        <f t="shared" si="71"/>
        <v>284.10259751483477</v>
      </c>
      <c r="DT110" s="60">
        <f ca="1">AVERAGE(OFFSET($DS$3,0,0,'Données projet'!$E$14+1,1))-AVERAGE(OFFSET($H$3,0,0,'Données projet'!$E$14+1,1))</f>
        <v>305.68891030516761</v>
      </c>
      <c r="DU110" s="60">
        <f t="shared" si="98"/>
        <v>296.00275062228275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67.482526594954251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4</v>
      </c>
      <c r="EJ110" s="13">
        <f>IF('Données projet'!$A$192&gt;35,EJ109+EI110-ER109,IF(A110&lt;'Données projet'!$A$192,$EG$205^A110,IF(A110='Données projet'!$A$192,'Données projet'!$B$192,EJ109+EI110-ER109)))</f>
        <v>271.99999999999972</v>
      </c>
      <c r="EK110" s="18">
        <f>EJ110*VLOOKUP('Données projet'!$B$15,Paramètres!$A$1:$I$89,3,0)*VLOOKUP('Données projet'!$B$15,Paramètres!$A$1:$I$89,5,0)</f>
        <v>263.0783999999997</v>
      </c>
      <c r="EL110" s="14">
        <f t="shared" si="99"/>
        <v>63.378118242127854</v>
      </c>
      <c r="EM110" s="22">
        <f t="shared" si="73"/>
        <v>568.57843593837208</v>
      </c>
      <c r="EN110" s="60">
        <f t="shared" si="74"/>
        <v>852.68103345320435</v>
      </c>
      <c r="EO110" s="60">
        <f ca="1">AVERAGE(OFFSET($EN$3,0,0,'Données projet'!$E$15+1,1))-AVERAGE(OFFSET($H$3,0,0,'Données projet'!$E$15+1,1))</f>
        <v>483.60545605360528</v>
      </c>
      <c r="EP110" s="60">
        <f t="shared" si="100"/>
        <v>256.96685577560345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67.482526594954251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0" t="e">
        <f t="shared" si="77"/>
        <v>#N/A</v>
      </c>
      <c r="FJ110" s="60" t="e">
        <f ca="1">AVERAGE(OFFSET($FI$3,0,0,'Données projet'!$E$16+1,1))-AVERAGE(OFFSET($H$3,0,0,'Données projet'!$E$16+1,1))</f>
        <v>#N/A</v>
      </c>
      <c r="FK110" s="60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67.482526594954251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0" t="e">
        <f t="shared" si="80"/>
        <v>#N/A</v>
      </c>
      <c r="GE110" s="60" t="e">
        <f ca="1">AVERAGE(OFFSET($GD$3,0,0,'Données projet'!$E$17+1,1))-AVERAGE(OFFSET($H$3,0,0,'Données projet'!$E$17+1,1))</f>
        <v>#N/A</v>
      </c>
      <c r="GF110" s="60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67.482526594954251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4">
        <f>'Scénario référence'!$B$16*5+'Scénario référence'!$B$17*0+'Scénario référence'!$B$18*5</f>
        <v>3.2750000000000004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12.008333333333335</v>
      </c>
      <c r="H111" s="67">
        <f t="shared" si="56"/>
        <v>208.63333333333333</v>
      </c>
      <c r="I111" s="7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67.526199130304434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</v>
      </c>
      <c r="N111" s="14">
        <f>IF('Données projet'!$A$36&gt;35,N110+M111-V110,IF(A111&lt;'Données projet'!$A$36,$K$205^A111,IF(A111='Données projet'!$A$36,'Données projet'!$B$36,N110+M111-V110)))</f>
        <v>275.99999999999972</v>
      </c>
      <c r="O111" s="14">
        <f>N111*VLOOKUP('Données projet'!$B$9,Paramètres!$A$1:$I$89,3,0)*VLOOKUP('Données projet'!$B$9,Paramètres!$A$1:$I$89,5,0)</f>
        <v>279.86399999999975</v>
      </c>
      <c r="P111" s="14">
        <f t="shared" si="87"/>
        <v>66.938267358965007</v>
      </c>
      <c r="Q111" s="22">
        <f t="shared" si="107"/>
        <v>604.01394898353021</v>
      </c>
      <c r="R111" s="60">
        <f t="shared" si="55"/>
        <v>888.27667912797983</v>
      </c>
      <c r="S111" s="60">
        <f ca="1">AVERAGE(OFFSET($R$3,0,0,'Données projet'!$E$9+1,1))-AVERAGE(OFFSET($H$3,0,0,'Données projet'!$E$9+1,1))</f>
        <v>503.64055031157477</v>
      </c>
      <c r="T111" s="60">
        <f t="shared" si="88"/>
        <v>266.76572540460842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67.526199130304434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</v>
      </c>
      <c r="AI111" s="14">
        <f>IF('Données projet'!$A$62&gt;35,AI110+AH111-AQ110,IF(A111&lt;'Données projet'!$A$62,$AF$205^A111,IF(A111='Données projet'!$A$62,'Données projet'!$B$62,AI110+AH111-AQ110)))</f>
        <v>275.99999999999972</v>
      </c>
      <c r="AJ111" s="14">
        <f>AI111*VLOOKUP('Données projet'!$B$10,Paramètres!$A$1:$I$89,3,0)*VLOOKUP('Données projet'!$B$10,Paramètres!$A$1:$I$89,5,0)</f>
        <v>249.72479999999973</v>
      </c>
      <c r="AK111" s="14">
        <f t="shared" si="89"/>
        <v>60.527007137298092</v>
      </c>
      <c r="AL111" s="22">
        <f t="shared" si="58"/>
        <v>540.35523076412699</v>
      </c>
      <c r="AM111" s="60">
        <f t="shared" si="59"/>
        <v>824.61796090857661</v>
      </c>
      <c r="AN111" s="60">
        <f ca="1">AVERAGE(OFFSET($AM$3,0,0,'Données projet'!$E$10+1,1))-AVERAGE(OFFSET($H$3,0,0,'Données projet'!$E$10+1,1))</f>
        <v>456.86058467343139</v>
      </c>
      <c r="AO111" s="60">
        <f t="shared" si="90"/>
        <v>243.88495931574937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67.526199130304434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3.1196581196581215</v>
      </c>
      <c r="BD111" s="13">
        <f>IF('Données projet'!$A$88&gt;35,BD110+BC111-BL110,IF(A111&lt;'Données projet'!$A$88,$BA$205^A111,IF(A111='Données projet'!$A$88,'Données projet'!$B$88,BD110+BC111-BL110)))</f>
        <v>314.05982905982899</v>
      </c>
      <c r="BE111" s="14">
        <f>BD111*VLOOKUP('Données projet'!$B$11,Paramètres!$A$1:$I$89,3,0)*VLOOKUP('Données projet'!$B$11,Paramètres!$A$1:$I$89,5,0)</f>
        <v>328.25533333333328</v>
      </c>
      <c r="BF111" s="14">
        <f t="shared" si="91"/>
        <v>77.068481742049258</v>
      </c>
      <c r="BG111" s="22">
        <f t="shared" si="61"/>
        <v>705.93897792295786</v>
      </c>
      <c r="BH111" s="60">
        <f t="shared" si="62"/>
        <v>990.20170806740748</v>
      </c>
      <c r="BI111" s="60">
        <f ca="1">AVERAGE(OFFSET($BH$3,0,0,'Données projet'!$E$11+1,1))-AVERAGE(OFFSET($H$3,0,0,'Données projet'!$E$11+1,1))</f>
        <v>518.47226207416952</v>
      </c>
      <c r="BJ111" s="60">
        <f t="shared" si="92"/>
        <v>314.6379787306804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67.526199130304434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4</v>
      </c>
      <c r="BY111" s="13">
        <f>IF('Données projet'!$A$114&gt;35,BY110+BX111-CG110,IF(A111&lt;'Données projet'!$A$114,$BV$205^A111,IF(A111='Données projet'!$A$114,'Données projet'!$B$114,BY110+BX111-CG110)))</f>
        <v>275.99999999999972</v>
      </c>
      <c r="BZ111" s="14">
        <f>BY111*VLOOKUP('Données projet'!$B$12,Paramètres!$A$1:$I$89,3,0)*VLOOKUP('Données projet'!$B$12,Paramètres!$A$1:$I$89,5,0)</f>
        <v>297.08639999999968</v>
      </c>
      <c r="CA111" s="14">
        <f t="shared" si="93"/>
        <v>70.565314499829583</v>
      </c>
      <c r="CB111" s="22">
        <f t="shared" si="64"/>
        <v>640.32673608720268</v>
      </c>
      <c r="CC111" s="60">
        <f t="shared" si="65"/>
        <v>924.5894662316523</v>
      </c>
      <c r="CD111" s="60">
        <f ca="1">AVERAGE(OFFSET($CC$3,0,0,'Données projet'!$E$12+1,1))-AVERAGE(OFFSET($H$3,0,0,'Données projet'!$E$12+1,1))</f>
        <v>530.32456073177104</v>
      </c>
      <c r="CE111" s="60">
        <f t="shared" si="94"/>
        <v>279.81519428470625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67.526199130304434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3.4106051316484809E-13</v>
      </c>
      <c r="CU111" s="18">
        <f>CT111*VLOOKUP('Données projet'!$B$13,Paramètres!$A$1:$I$89,3,0)*VLOOKUP('Données projet'!$B$13,Paramètres!$A$1:$I$89,5,0)</f>
        <v>2.9795046430081134E-13</v>
      </c>
      <c r="CV111" s="14">
        <f t="shared" si="95"/>
        <v>3.9419014464513778E-12</v>
      </c>
      <c r="CW111" s="22">
        <f t="shared" si="67"/>
        <v>7.384408744560063E-12</v>
      </c>
      <c r="CX111" s="60">
        <f t="shared" si="68"/>
        <v>284.26273014445695</v>
      </c>
      <c r="CY111" s="60">
        <f ca="1">AVERAGE(OFFSET($CX$3,0,0,'Données projet'!$E$13+1,1))-AVERAGE(OFFSET($H$3,0,0,'Données projet'!$E$13+1,1))</f>
        <v>355.03862261578701</v>
      </c>
      <c r="CZ111" s="60">
        <f t="shared" si="96"/>
        <v>382.84441399266029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67.526199130304434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1.1368683772161603E-13</v>
      </c>
      <c r="DP111" s="18">
        <f>DO111*VLOOKUP('Données projet'!$B$14,Paramètres!$A$1:$I$89,3,0)*VLOOKUP('Données projet'!$B$14,Paramètres!$A$1:$I$89,5,0)</f>
        <v>8.8675733422860506E-14</v>
      </c>
      <c r="DQ111" s="14">
        <f t="shared" si="97"/>
        <v>1.3509285393066301E-12</v>
      </c>
      <c r="DR111" s="22">
        <f t="shared" si="70"/>
        <v>2.5073107750038623E-12</v>
      </c>
      <c r="DS111" s="60">
        <f t="shared" si="71"/>
        <v>284.26273014445206</v>
      </c>
      <c r="DT111" s="60">
        <f ca="1">AVERAGE(OFFSET($DS$3,0,0,'Données projet'!$E$14+1,1))-AVERAGE(OFFSET($H$3,0,0,'Données projet'!$E$14+1,1))</f>
        <v>305.68891030516761</v>
      </c>
      <c r="DU111" s="60">
        <f t="shared" si="98"/>
        <v>296.00275062228275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67.526199130304434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4</v>
      </c>
      <c r="EJ111" s="13">
        <f>IF('Données projet'!$A$192&gt;35,EJ110+EI111-ER110,IF(A111&lt;'Données projet'!$A$192,$EG$205^A111,IF(A111='Données projet'!$A$192,'Données projet'!$B$192,EJ110+EI111-ER110)))</f>
        <v>275.99999999999972</v>
      </c>
      <c r="EK111" s="18">
        <f>EJ111*VLOOKUP('Données projet'!$B$15,Paramètres!$A$1:$I$89,3,0)*VLOOKUP('Données projet'!$B$15,Paramètres!$A$1:$I$89,5,0)</f>
        <v>266.94719999999973</v>
      </c>
      <c r="EL111" s="14">
        <f t="shared" si="99"/>
        <v>64.200959938746323</v>
      </c>
      <c r="EM111" s="22">
        <f t="shared" si="73"/>
        <v>576.74971189331598</v>
      </c>
      <c r="EN111" s="60">
        <f t="shared" si="74"/>
        <v>861.0124420377656</v>
      </c>
      <c r="EO111" s="60">
        <f ca="1">AVERAGE(OFFSET($EN$3,0,0,'Données projet'!$E$15+1,1))-AVERAGE(OFFSET($H$3,0,0,'Données projet'!$E$15+1,1))</f>
        <v>483.60545605360528</v>
      </c>
      <c r="EP111" s="60">
        <f t="shared" si="100"/>
        <v>256.96685577560345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67.526199130304434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0" t="e">
        <f t="shared" si="77"/>
        <v>#N/A</v>
      </c>
      <c r="FJ111" s="60" t="e">
        <f ca="1">AVERAGE(OFFSET($FI$3,0,0,'Données projet'!$E$16+1,1))-AVERAGE(OFFSET($H$3,0,0,'Données projet'!$E$16+1,1))</f>
        <v>#N/A</v>
      </c>
      <c r="FK111" s="60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67.526199130304434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0" t="e">
        <f t="shared" si="80"/>
        <v>#N/A</v>
      </c>
      <c r="GE111" s="60" t="e">
        <f ca="1">AVERAGE(OFFSET($GD$3,0,0,'Données projet'!$E$17+1,1))-AVERAGE(OFFSET($H$3,0,0,'Données projet'!$E$17+1,1))</f>
        <v>#N/A</v>
      </c>
      <c r="GF111" s="60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67.526199130304434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4">
        <f>'Scénario référence'!$B$16*5+'Scénario référence'!$B$17*0+'Scénario référence'!$B$18*5</f>
        <v>3.2750000000000004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12.008333333333335</v>
      </c>
      <c r="H112" s="67">
        <f t="shared" si="56"/>
        <v>208.63333333333333</v>
      </c>
      <c r="I112" s="7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67.569114044803456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</v>
      </c>
      <c r="N112" s="14">
        <f>IF('Données projet'!$A$36&gt;35,N111+M112-V111,IF(A112&lt;'Données projet'!$A$36,$K$205^A112,IF(A112='Données projet'!$A$36,'Données projet'!$B$36,N111+M112-V111)))</f>
        <v>279.99999999999972</v>
      </c>
      <c r="O112" s="14">
        <f>N112*VLOOKUP('Données projet'!$B$9,Paramètres!$A$1:$I$89,3,0)*VLOOKUP('Données projet'!$B$9,Paramètres!$A$1:$I$89,5,0)</f>
        <v>283.91999999999973</v>
      </c>
      <c r="P112" s="14">
        <f t="shared" si="87"/>
        <v>67.794746071143578</v>
      </c>
      <c r="Q112" s="22">
        <f t="shared" si="107"/>
        <v>612.56984940724124</v>
      </c>
      <c r="R112" s="60">
        <f t="shared" si="55"/>
        <v>896.98993423818729</v>
      </c>
      <c r="S112" s="60">
        <f ca="1">AVERAGE(OFFSET($R$3,0,0,'Données projet'!$E$9+1,1))-AVERAGE(OFFSET($H$3,0,0,'Données projet'!$E$9+1,1))</f>
        <v>503.64055031157477</v>
      </c>
      <c r="T112" s="60">
        <f t="shared" si="88"/>
        <v>266.76572540460842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67.569114044803456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</v>
      </c>
      <c r="AI112" s="14">
        <f>IF('Données projet'!$A$62&gt;35,AI111+AH112-AQ111,IF(A112&lt;'Données projet'!$A$62,$AF$205^A112,IF(A112='Données projet'!$A$62,'Données projet'!$B$62,AI111+AH112-AQ111)))</f>
        <v>279.99999999999972</v>
      </c>
      <c r="AJ112" s="14">
        <f>AI112*VLOOKUP('Données projet'!$B$10,Paramètres!$A$1:$I$89,3,0)*VLOOKUP('Données projet'!$B$10,Paramètres!$A$1:$I$89,5,0)</f>
        <v>253.34399999999974</v>
      </c>
      <c r="AK112" s="14">
        <f t="shared" si="89"/>
        <v>61.301453431926198</v>
      </c>
      <c r="AL112" s="22">
        <f t="shared" si="58"/>
        <v>548.00749806060423</v>
      </c>
      <c r="AM112" s="60">
        <f t="shared" si="59"/>
        <v>832.42758289155017</v>
      </c>
      <c r="AN112" s="60">
        <f ca="1">AVERAGE(OFFSET($AM$3,0,0,'Données projet'!$E$10+1,1))-AVERAGE(OFFSET($H$3,0,0,'Données projet'!$E$10+1,1))</f>
        <v>456.86058467343139</v>
      </c>
      <c r="AO112" s="60">
        <f t="shared" si="90"/>
        <v>243.88495931574937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67.569114044803456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3.1196581196581215</v>
      </c>
      <c r="BD112" s="13">
        <f>IF('Données projet'!$A$88&gt;35,BD111+BC112-BL111,IF(A112&lt;'Données projet'!$A$88,$BA$205^A112,IF(A112='Données projet'!$A$88,'Données projet'!$B$88,BD111+BC112-BL111)))</f>
        <v>317.17948717948713</v>
      </c>
      <c r="BE112" s="14">
        <f>BD112*VLOOKUP('Données projet'!$B$11,Paramètres!$A$1:$I$89,3,0)*VLOOKUP('Données projet'!$B$11,Paramètres!$A$1:$I$89,5,0)</f>
        <v>331.51599999999996</v>
      </c>
      <c r="BF112" s="14">
        <f t="shared" si="91"/>
        <v>77.744528758429382</v>
      </c>
      <c r="BG112" s="22">
        <f t="shared" si="61"/>
        <v>712.79542092093106</v>
      </c>
      <c r="BH112" s="60">
        <f t="shared" si="62"/>
        <v>997.21550575187712</v>
      </c>
      <c r="BI112" s="60">
        <f ca="1">AVERAGE(OFFSET($BH$3,0,0,'Données projet'!$E$11+1,1))-AVERAGE(OFFSET($H$3,0,0,'Données projet'!$E$11+1,1))</f>
        <v>518.47226207416952</v>
      </c>
      <c r="BJ112" s="60">
        <f t="shared" si="92"/>
        <v>314.6379787306804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67.569114044803456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4</v>
      </c>
      <c r="BY112" s="13">
        <f>IF('Données projet'!$A$114&gt;35,BY111+BX112-CG111,IF(A112&lt;'Données projet'!$A$114,$BV$205^A112,IF(A112='Données projet'!$A$114,'Données projet'!$B$114,BY111+BX112-CG111)))</f>
        <v>279.99999999999972</v>
      </c>
      <c r="BZ112" s="14">
        <f>BY112*VLOOKUP('Données projet'!$B$12,Paramètres!$A$1:$I$89,3,0)*VLOOKUP('Données projet'!$B$12,Paramètres!$A$1:$I$89,5,0)</f>
        <v>301.39199999999965</v>
      </c>
      <c r="CA112" s="14">
        <f t="shared" si="93"/>
        <v>71.468201474229218</v>
      </c>
      <c r="CB112" s="22">
        <f t="shared" si="64"/>
        <v>649.39818423428187</v>
      </c>
      <c r="CC112" s="60">
        <f t="shared" si="65"/>
        <v>933.81826906522792</v>
      </c>
      <c r="CD112" s="60">
        <f ca="1">AVERAGE(OFFSET($CC$3,0,0,'Données projet'!$E$12+1,1))-AVERAGE(OFFSET($H$3,0,0,'Données projet'!$E$12+1,1))</f>
        <v>530.32456073177104</v>
      </c>
      <c r="CE112" s="60">
        <f t="shared" si="94"/>
        <v>279.81519428470625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67.569114044803456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3.4106051316484809E-13</v>
      </c>
      <c r="CU112" s="18">
        <f>CT112*VLOOKUP('Données projet'!$B$13,Paramètres!$A$1:$I$89,3,0)*VLOOKUP('Données projet'!$B$13,Paramètres!$A$1:$I$89,5,0)</f>
        <v>2.9795046430081134E-13</v>
      </c>
      <c r="CV112" s="14">
        <f t="shared" si="95"/>
        <v>3.9419014464513778E-12</v>
      </c>
      <c r="CW112" s="22">
        <f t="shared" si="67"/>
        <v>7.384408744560063E-12</v>
      </c>
      <c r="CX112" s="60">
        <f t="shared" si="68"/>
        <v>284.42008483095339</v>
      </c>
      <c r="CY112" s="60">
        <f ca="1">AVERAGE(OFFSET($CX$3,0,0,'Données projet'!$E$13+1,1))-AVERAGE(OFFSET($H$3,0,0,'Données projet'!$E$13+1,1))</f>
        <v>355.03862261578701</v>
      </c>
      <c r="CZ112" s="60">
        <f t="shared" si="96"/>
        <v>382.84441399266029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67.569114044803456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1.1368683772161603E-13</v>
      </c>
      <c r="DP112" s="18">
        <f>DO112*VLOOKUP('Données projet'!$B$14,Paramètres!$A$1:$I$89,3,0)*VLOOKUP('Données projet'!$B$14,Paramètres!$A$1:$I$89,5,0)</f>
        <v>8.8675733422860506E-14</v>
      </c>
      <c r="DQ112" s="14">
        <f t="shared" si="97"/>
        <v>1.3509285393066301E-12</v>
      </c>
      <c r="DR112" s="22">
        <f t="shared" si="70"/>
        <v>2.5073107750038623E-12</v>
      </c>
      <c r="DS112" s="60">
        <f t="shared" si="71"/>
        <v>284.4200848309485</v>
      </c>
      <c r="DT112" s="60">
        <f ca="1">AVERAGE(OFFSET($DS$3,0,0,'Données projet'!$E$14+1,1))-AVERAGE(OFFSET($H$3,0,0,'Données projet'!$E$14+1,1))</f>
        <v>305.68891030516761</v>
      </c>
      <c r="DU112" s="60">
        <f t="shared" si="98"/>
        <v>296.00275062228275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67.569114044803456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4</v>
      </c>
      <c r="EJ112" s="13">
        <f>IF('Données projet'!$A$192&gt;35,EJ111+EI112-ER111,IF(A112&lt;'Données projet'!$A$192,$EG$205^A112,IF(A112='Données projet'!$A$192,'Données projet'!$B$192,EJ111+EI112-ER111)))</f>
        <v>279.99999999999972</v>
      </c>
      <c r="EK112" s="18">
        <f>EJ112*VLOOKUP('Données projet'!$B$15,Paramètres!$A$1:$I$89,3,0)*VLOOKUP('Données projet'!$B$15,Paramètres!$A$1:$I$89,5,0)</f>
        <v>270.81599999999975</v>
      </c>
      <c r="EL112" s="14">
        <f t="shared" si="99"/>
        <v>65.022414656032254</v>
      </c>
      <c r="EM112" s="22">
        <f t="shared" si="73"/>
        <v>584.91857219258907</v>
      </c>
      <c r="EN112" s="60">
        <f t="shared" si="74"/>
        <v>869.33865702353501</v>
      </c>
      <c r="EO112" s="60">
        <f ca="1">AVERAGE(OFFSET($EN$3,0,0,'Données projet'!$E$15+1,1))-AVERAGE(OFFSET($H$3,0,0,'Données projet'!$E$15+1,1))</f>
        <v>483.60545605360528</v>
      </c>
      <c r="EP112" s="60">
        <f t="shared" si="100"/>
        <v>256.96685577560345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67.569114044803456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0" t="e">
        <f t="shared" si="77"/>
        <v>#N/A</v>
      </c>
      <c r="FJ112" s="60" t="e">
        <f ca="1">AVERAGE(OFFSET($FI$3,0,0,'Données projet'!$E$16+1,1))-AVERAGE(OFFSET($H$3,0,0,'Données projet'!$E$16+1,1))</f>
        <v>#N/A</v>
      </c>
      <c r="FK112" s="60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67.569114044803456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0" t="e">
        <f t="shared" si="80"/>
        <v>#N/A</v>
      </c>
      <c r="GE112" s="60" t="e">
        <f ca="1">AVERAGE(OFFSET($GD$3,0,0,'Données projet'!$E$17+1,1))-AVERAGE(OFFSET($H$3,0,0,'Données projet'!$E$17+1,1))</f>
        <v>#N/A</v>
      </c>
      <c r="GF112" s="60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67.569114044803456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4">
        <f>'Scénario référence'!$B$16*5+'Scénario référence'!$B$17*0+'Scénario référence'!$B$18*5</f>
        <v>3.2750000000000004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12.008333333333335</v>
      </c>
      <c r="H113" s="67">
        <f t="shared" si="56"/>
        <v>208.63333333333333</v>
      </c>
      <c r="I113" s="7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67.611284481479288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4</v>
      </c>
      <c r="N113" s="14">
        <f>IF('Données projet'!$A$36&gt;35,N112+M113-V112,IF(A113&lt;'Données projet'!$A$36,$K$205^A113,IF(A113='Données projet'!$A$36,'Données projet'!$B$36,N112+M113-V112)))</f>
        <v>283.99999999999972</v>
      </c>
      <c r="O113" s="14">
        <f>N113*VLOOKUP('Données projet'!$B$9,Paramètres!$A$1:$I$89,3,0)*VLOOKUP('Données projet'!$B$9,Paramètres!$A$1:$I$89,5,0)</f>
        <v>287.97599999999971</v>
      </c>
      <c r="P113" s="14">
        <f t="shared" si="87"/>
        <v>68.649801713863084</v>
      </c>
      <c r="Q113" s="22">
        <f t="shared" si="107"/>
        <v>621.12327131831091</v>
      </c>
      <c r="R113" s="60">
        <f t="shared" si="55"/>
        <v>905.69798108373493</v>
      </c>
      <c r="S113" s="60">
        <f ca="1">AVERAGE(OFFSET($R$3,0,0,'Données projet'!$E$9+1,1))-AVERAGE(OFFSET($H$3,0,0,'Données projet'!$E$9+1,1))</f>
        <v>503.64055031157477</v>
      </c>
      <c r="T113" s="60">
        <f t="shared" si="88"/>
        <v>266.76572540460842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67.611284481479288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4</v>
      </c>
      <c r="AI113" s="14">
        <f>IF('Données projet'!$A$62&gt;35,AI112+AH113-AQ112,IF(A113&lt;'Données projet'!$A$62,$AF$205^A113,IF(A113='Données projet'!$A$62,'Données projet'!$B$62,AI112+AH113-AQ112)))</f>
        <v>283.99999999999972</v>
      </c>
      <c r="AJ113" s="14">
        <f>AI113*VLOOKUP('Données projet'!$B$10,Paramètres!$A$1:$I$89,3,0)*VLOOKUP('Données projet'!$B$10,Paramètres!$A$1:$I$89,5,0)</f>
        <v>256.96319999999974</v>
      </c>
      <c r="AK113" s="14">
        <f t="shared" si="89"/>
        <v>62.074612956837967</v>
      </c>
      <c r="AL113" s="22">
        <f t="shared" si="58"/>
        <v>555.65752423315905</v>
      </c>
      <c r="AM113" s="60">
        <f t="shared" si="59"/>
        <v>840.23223399858307</v>
      </c>
      <c r="AN113" s="60">
        <f ca="1">AVERAGE(OFFSET($AM$3,0,0,'Données projet'!$E$10+1,1))-AVERAGE(OFFSET($H$3,0,0,'Données projet'!$E$10+1,1))</f>
        <v>456.86058467343139</v>
      </c>
      <c r="AO113" s="60">
        <f t="shared" si="90"/>
        <v>243.88495931574937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67.611284481479288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3.1196581196581215</v>
      </c>
      <c r="BD113" s="13">
        <f>IF('Données projet'!$A$88&gt;35,BD112+BC113-BL112,IF(A113&lt;'Données projet'!$A$88,$BA$205^A113,IF(A113='Données projet'!$A$88,'Données projet'!$B$88,BD112+BC113-BL112)))</f>
        <v>320.29914529914527</v>
      </c>
      <c r="BE113" s="14">
        <f>BD113*VLOOKUP('Données projet'!$B$11,Paramètres!$A$1:$I$89,3,0)*VLOOKUP('Données projet'!$B$11,Paramètres!$A$1:$I$89,5,0)</f>
        <v>334.77666666666664</v>
      </c>
      <c r="BF113" s="14">
        <f t="shared" si="91"/>
        <v>78.419802220845938</v>
      </c>
      <c r="BG113" s="22">
        <f t="shared" si="61"/>
        <v>719.65051664575105</v>
      </c>
      <c r="BH113" s="60">
        <f t="shared" si="62"/>
        <v>1004.2252264111751</v>
      </c>
      <c r="BI113" s="60">
        <f ca="1">AVERAGE(OFFSET($BH$3,0,0,'Données projet'!$E$11+1,1))-AVERAGE(OFFSET($H$3,0,0,'Données projet'!$E$11+1,1))</f>
        <v>518.47226207416952</v>
      </c>
      <c r="BJ113" s="60">
        <f t="shared" si="92"/>
        <v>314.6379787306804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67.611284481479288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4</v>
      </c>
      <c r="BY113" s="13">
        <f>IF('Données projet'!$A$114&gt;35,BY112+BX113-CG112,IF(A113&lt;'Données projet'!$A$114,$BV$205^A113,IF(A113='Données projet'!$A$114,'Données projet'!$B$114,BY112+BX113-CG112)))</f>
        <v>283.99999999999972</v>
      </c>
      <c r="BZ113" s="14">
        <f>BY113*VLOOKUP('Données projet'!$B$12,Paramètres!$A$1:$I$89,3,0)*VLOOKUP('Données projet'!$B$12,Paramètres!$A$1:$I$89,5,0)</f>
        <v>305.69759999999968</v>
      </c>
      <c r="CA113" s="14">
        <f t="shared" si="93"/>
        <v>72.36958827021229</v>
      </c>
      <c r="CB113" s="22">
        <f t="shared" si="64"/>
        <v>658.4670195706193</v>
      </c>
      <c r="CC113" s="60">
        <f t="shared" si="65"/>
        <v>943.04172933604332</v>
      </c>
      <c r="CD113" s="60">
        <f ca="1">AVERAGE(OFFSET($CC$3,0,0,'Données projet'!$E$12+1,1))-AVERAGE(OFFSET($H$3,0,0,'Données projet'!$E$12+1,1))</f>
        <v>530.32456073177104</v>
      </c>
      <c r="CE113" s="60">
        <f t="shared" si="94"/>
        <v>279.81519428470625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67.611284481479288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3.4106051316484809E-13</v>
      </c>
      <c r="CU113" s="18">
        <f>CT113*VLOOKUP('Données projet'!$B$13,Paramètres!$A$1:$I$89,3,0)*VLOOKUP('Données projet'!$B$13,Paramètres!$A$1:$I$89,5,0)</f>
        <v>2.9795046430081134E-13</v>
      </c>
      <c r="CV113" s="14">
        <f t="shared" si="95"/>
        <v>3.9419014464513778E-12</v>
      </c>
      <c r="CW113" s="22">
        <f t="shared" si="67"/>
        <v>7.384408744560063E-12</v>
      </c>
      <c r="CX113" s="60">
        <f t="shared" si="68"/>
        <v>284.57470976543146</v>
      </c>
      <c r="CY113" s="60">
        <f ca="1">AVERAGE(OFFSET($CX$3,0,0,'Données projet'!$E$13+1,1))-AVERAGE(OFFSET($H$3,0,0,'Données projet'!$E$13+1,1))</f>
        <v>355.03862261578701</v>
      </c>
      <c r="CZ113" s="60">
        <f t="shared" si="96"/>
        <v>382.84441399266029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67.611284481479288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1.1368683772161603E-13</v>
      </c>
      <c r="DP113" s="18">
        <f>DO113*VLOOKUP('Données projet'!$B$14,Paramètres!$A$1:$I$89,3,0)*VLOOKUP('Données projet'!$B$14,Paramètres!$A$1:$I$89,5,0)</f>
        <v>8.8675733422860506E-14</v>
      </c>
      <c r="DQ113" s="14">
        <f t="shared" si="97"/>
        <v>1.3509285393066301E-12</v>
      </c>
      <c r="DR113" s="22">
        <f t="shared" si="70"/>
        <v>2.5073107750038623E-12</v>
      </c>
      <c r="DS113" s="60">
        <f t="shared" si="71"/>
        <v>284.57470976542658</v>
      </c>
      <c r="DT113" s="60">
        <f ca="1">AVERAGE(OFFSET($DS$3,0,0,'Données projet'!$E$14+1,1))-AVERAGE(OFFSET($H$3,0,0,'Données projet'!$E$14+1,1))</f>
        <v>305.68891030516761</v>
      </c>
      <c r="DU113" s="60">
        <f t="shared" si="98"/>
        <v>296.00275062228275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67.611284481479288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4</v>
      </c>
      <c r="EJ113" s="13">
        <f>IF('Données projet'!$A$192&gt;35,EJ112+EI113-ER112,IF(A113&lt;'Données projet'!$A$192,$EG$205^A113,IF(A113='Données projet'!$A$192,'Données projet'!$B$192,EJ112+EI113-ER112)))</f>
        <v>283.99999999999972</v>
      </c>
      <c r="EK113" s="18">
        <f>EJ113*VLOOKUP('Données projet'!$B$15,Paramètres!$A$1:$I$89,3,0)*VLOOKUP('Données projet'!$B$15,Paramètres!$A$1:$I$89,5,0)</f>
        <v>274.68479999999971</v>
      </c>
      <c r="EL113" s="14">
        <f t="shared" si="99"/>
        <v>65.842504497456602</v>
      </c>
      <c r="EM113" s="22">
        <f t="shared" si="73"/>
        <v>593.0850553330697</v>
      </c>
      <c r="EN113" s="60">
        <f t="shared" si="74"/>
        <v>877.65976509849384</v>
      </c>
      <c r="EO113" s="60">
        <f ca="1">AVERAGE(OFFSET($EN$3,0,0,'Données projet'!$E$15+1,1))-AVERAGE(OFFSET($H$3,0,0,'Données projet'!$E$15+1,1))</f>
        <v>483.60545605360528</v>
      </c>
      <c r="EP113" s="60">
        <f t="shared" si="100"/>
        <v>256.96685577560345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67.611284481479288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0" t="e">
        <f t="shared" si="77"/>
        <v>#N/A</v>
      </c>
      <c r="FJ113" s="60" t="e">
        <f ca="1">AVERAGE(OFFSET($FI$3,0,0,'Données projet'!$E$16+1,1))-AVERAGE(OFFSET($H$3,0,0,'Données projet'!$E$16+1,1))</f>
        <v>#N/A</v>
      </c>
      <c r="FK113" s="60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67.611284481479288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0" t="e">
        <f t="shared" si="80"/>
        <v>#N/A</v>
      </c>
      <c r="GE113" s="60" t="e">
        <f ca="1">AVERAGE(OFFSET($GD$3,0,0,'Données projet'!$E$17+1,1))-AVERAGE(OFFSET($H$3,0,0,'Données projet'!$E$17+1,1))</f>
        <v>#N/A</v>
      </c>
      <c r="GF113" s="60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67.611284481479288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4">
        <f>'Scénario référence'!$B$16*5+'Scénario référence'!$B$17*0+'Scénario référence'!$B$18*5</f>
        <v>3.2750000000000004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12.008333333333335</v>
      </c>
      <c r="H114" s="67">
        <f t="shared" si="56"/>
        <v>208.63333333333333</v>
      </c>
      <c r="I114" s="7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67.65272335535775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</v>
      </c>
      <c r="N114" s="14">
        <f>IF('Données projet'!$A$36&gt;35,N113+M114-V113,IF(A114&lt;'Données projet'!$A$36,$K$205^A114,IF(A114='Données projet'!$A$36,'Données projet'!$B$36,N113+M114-V113)))</f>
        <v>287.99999999999972</v>
      </c>
      <c r="O114" s="14">
        <f>N114*VLOOKUP('Données projet'!$B$9,Paramètres!$A$1:$I$89,3,0)*VLOOKUP('Données projet'!$B$9,Paramètres!$A$1:$I$89,5,0)</f>
        <v>292.0319999999997</v>
      </c>
      <c r="P114" s="14">
        <f t="shared" si="87"/>
        <v>69.503456646543242</v>
      </c>
      <c r="Q114" s="22">
        <f t="shared" si="107"/>
        <v>629.6742536593955</v>
      </c>
      <c r="R114" s="60">
        <f t="shared" si="55"/>
        <v>914.40090596237394</v>
      </c>
      <c r="S114" s="60">
        <f ca="1">AVERAGE(OFFSET($R$3,0,0,'Données projet'!$E$9+1,1))-AVERAGE(OFFSET($H$3,0,0,'Données projet'!$E$9+1,1))</f>
        <v>503.64055031157477</v>
      </c>
      <c r="T114" s="60">
        <f t="shared" si="88"/>
        <v>266.76572540460842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67.65272335535775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</v>
      </c>
      <c r="AI114" s="14">
        <f>IF('Données projet'!$A$62&gt;35,AI113+AH114-AQ113,IF(A114&lt;'Données projet'!$A$62,$AF$205^A114,IF(A114='Données projet'!$A$62,'Données projet'!$B$62,AI113+AH114-AQ113)))</f>
        <v>287.99999999999972</v>
      </c>
      <c r="AJ114" s="14">
        <f>AI114*VLOOKUP('Données projet'!$B$10,Paramètres!$A$1:$I$89,3,0)*VLOOKUP('Données projet'!$B$10,Paramètres!$A$1:$I$89,5,0)</f>
        <v>260.58239999999972</v>
      </c>
      <c r="AK114" s="14">
        <f t="shared" si="89"/>
        <v>62.84650592989685</v>
      </c>
      <c r="AL114" s="22">
        <f t="shared" si="58"/>
        <v>563.30534449456991</v>
      </c>
      <c r="AM114" s="60">
        <f t="shared" si="59"/>
        <v>848.03199679754835</v>
      </c>
      <c r="AN114" s="60">
        <f ca="1">AVERAGE(OFFSET($AM$3,0,0,'Données projet'!$E$10+1,1))-AVERAGE(OFFSET($H$3,0,0,'Données projet'!$E$10+1,1))</f>
        <v>456.86058467343139</v>
      </c>
      <c r="AO114" s="60">
        <f t="shared" si="90"/>
        <v>243.88495931574937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67.65272335535775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3.1196581196581215</v>
      </c>
      <c r="BD114" s="13">
        <f>IF('Données projet'!$A$88&gt;35,BD113+BC114-BL113,IF(A114&lt;'Données projet'!$A$88,$BA$205^A114,IF(A114='Données projet'!$A$88,'Données projet'!$B$88,BD113+BC114-BL113)))</f>
        <v>323.41880341880341</v>
      </c>
      <c r="BE114" s="14">
        <f>BD114*VLOOKUP('Données projet'!$B$11,Paramètres!$A$1:$I$89,3,0)*VLOOKUP('Données projet'!$B$11,Paramètres!$A$1:$I$89,5,0)</f>
        <v>338.03733333333338</v>
      </c>
      <c r="BF114" s="14">
        <f t="shared" si="91"/>
        <v>79.094310536071589</v>
      </c>
      <c r="BG114" s="22">
        <f t="shared" si="61"/>
        <v>726.50427973921353</v>
      </c>
      <c r="BH114" s="60">
        <f t="shared" si="62"/>
        <v>1011.230932042192</v>
      </c>
      <c r="BI114" s="60">
        <f ca="1">AVERAGE(OFFSET($BH$3,0,0,'Données projet'!$E$11+1,1))-AVERAGE(OFFSET($H$3,0,0,'Données projet'!$E$11+1,1))</f>
        <v>518.47226207416952</v>
      </c>
      <c r="BJ114" s="60">
        <f t="shared" si="92"/>
        <v>314.6379787306804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67.65272335535775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4</v>
      </c>
      <c r="BY114" s="13">
        <f>IF('Données projet'!$A$114&gt;35,BY113+BX114-CG113,IF(A114&lt;'Données projet'!$A$114,$BV$205^A114,IF(A114='Données projet'!$A$114,'Données projet'!$B$114,BY113+BX114-CG113)))</f>
        <v>287.99999999999972</v>
      </c>
      <c r="BZ114" s="14">
        <f>BY114*VLOOKUP('Données projet'!$B$12,Paramètres!$A$1:$I$89,3,0)*VLOOKUP('Données projet'!$B$12,Paramètres!$A$1:$I$89,5,0)</f>
        <v>310.00319999999971</v>
      </c>
      <c r="CA114" s="14">
        <f t="shared" si="93"/>
        <v>73.269498458742731</v>
      </c>
      <c r="CB114" s="22">
        <f t="shared" si="64"/>
        <v>667.53328314897635</v>
      </c>
      <c r="CC114" s="60">
        <f t="shared" si="65"/>
        <v>952.25993545195479</v>
      </c>
      <c r="CD114" s="60">
        <f ca="1">AVERAGE(OFFSET($CC$3,0,0,'Données projet'!$E$12+1,1))-AVERAGE(OFFSET($H$3,0,0,'Données projet'!$E$12+1,1))</f>
        <v>530.32456073177104</v>
      </c>
      <c r="CE114" s="60">
        <f t="shared" si="94"/>
        <v>279.81519428470625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67.65272335535775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3.4106051316484809E-13</v>
      </c>
      <c r="CU114" s="18">
        <f>CT114*VLOOKUP('Données projet'!$B$13,Paramètres!$A$1:$I$89,3,0)*VLOOKUP('Données projet'!$B$13,Paramètres!$A$1:$I$89,5,0)</f>
        <v>2.9795046430081134E-13</v>
      </c>
      <c r="CV114" s="14">
        <f t="shared" si="95"/>
        <v>3.9419014464513778E-12</v>
      </c>
      <c r="CW114" s="22">
        <f t="shared" si="67"/>
        <v>7.384408744560063E-12</v>
      </c>
      <c r="CX114" s="60">
        <f t="shared" si="68"/>
        <v>284.72665230298583</v>
      </c>
      <c r="CY114" s="60">
        <f ca="1">AVERAGE(OFFSET($CX$3,0,0,'Données projet'!$E$13+1,1))-AVERAGE(OFFSET($H$3,0,0,'Données projet'!$E$13+1,1))</f>
        <v>355.03862261578701</v>
      </c>
      <c r="CZ114" s="60">
        <f t="shared" si="96"/>
        <v>382.84441399266029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67.65272335535775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1.1368683772161603E-13</v>
      </c>
      <c r="DP114" s="18">
        <f>DO114*VLOOKUP('Données projet'!$B$14,Paramètres!$A$1:$I$89,3,0)*VLOOKUP('Données projet'!$B$14,Paramètres!$A$1:$I$89,5,0)</f>
        <v>8.8675733422860506E-14</v>
      </c>
      <c r="DQ114" s="14">
        <f t="shared" si="97"/>
        <v>1.3509285393066301E-12</v>
      </c>
      <c r="DR114" s="22">
        <f t="shared" si="70"/>
        <v>2.5073107750038623E-12</v>
      </c>
      <c r="DS114" s="60">
        <f t="shared" si="71"/>
        <v>284.72665230298094</v>
      </c>
      <c r="DT114" s="60">
        <f ca="1">AVERAGE(OFFSET($DS$3,0,0,'Données projet'!$E$14+1,1))-AVERAGE(OFFSET($H$3,0,0,'Données projet'!$E$14+1,1))</f>
        <v>305.68891030516761</v>
      </c>
      <c r="DU114" s="60">
        <f t="shared" si="98"/>
        <v>296.00275062228275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67.65272335535775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4</v>
      </c>
      <c r="EJ114" s="13">
        <f>IF('Données projet'!$A$192&gt;35,EJ113+EI114-ER113,IF(A114&lt;'Données projet'!$A$192,$EG$205^A114,IF(A114='Données projet'!$A$192,'Données projet'!$B$192,EJ113+EI114-ER113)))</f>
        <v>287.99999999999972</v>
      </c>
      <c r="EK114" s="18">
        <f>EJ114*VLOOKUP('Données projet'!$B$15,Paramètres!$A$1:$I$89,3,0)*VLOOKUP('Données projet'!$B$15,Paramètres!$A$1:$I$89,5,0)</f>
        <v>278.55359999999973</v>
      </c>
      <c r="EL114" s="14">
        <f t="shared" si="99"/>
        <v>66.661250908095099</v>
      </c>
      <c r="EM114" s="22">
        <f t="shared" si="73"/>
        <v>601.24919866493178</v>
      </c>
      <c r="EN114" s="60">
        <f t="shared" si="74"/>
        <v>885.97585096791022</v>
      </c>
      <c r="EO114" s="60">
        <f ca="1">AVERAGE(OFFSET($EN$3,0,0,'Données projet'!$E$15+1,1))-AVERAGE(OFFSET($H$3,0,0,'Données projet'!$E$15+1,1))</f>
        <v>483.60545605360528</v>
      </c>
      <c r="EP114" s="60">
        <f t="shared" si="100"/>
        <v>256.96685577560345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67.65272335535775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0" t="e">
        <f t="shared" si="77"/>
        <v>#N/A</v>
      </c>
      <c r="FJ114" s="60" t="e">
        <f ca="1">AVERAGE(OFFSET($FI$3,0,0,'Données projet'!$E$16+1,1))-AVERAGE(OFFSET($H$3,0,0,'Données projet'!$E$16+1,1))</f>
        <v>#N/A</v>
      </c>
      <c r="FK114" s="60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67.65272335535775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0" t="e">
        <f t="shared" si="80"/>
        <v>#N/A</v>
      </c>
      <c r="GE114" s="60" t="e">
        <f ca="1">AVERAGE(OFFSET($GD$3,0,0,'Données projet'!$E$17+1,1))-AVERAGE(OFFSET($H$3,0,0,'Données projet'!$E$17+1,1))</f>
        <v>#N/A</v>
      </c>
      <c r="GF114" s="60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67.65272335535775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4">
        <f>'Scénario référence'!$B$16*5+'Scénario référence'!$B$17*0+'Scénario référence'!$B$18*5</f>
        <v>3.2750000000000004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12.008333333333335</v>
      </c>
      <c r="H115" s="67">
        <f t="shared" si="56"/>
        <v>208.63333333333333</v>
      </c>
      <c r="I115" s="7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67.693443357417891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</v>
      </c>
      <c r="N115" s="14">
        <f>IF('Données projet'!$A$36&gt;35,N114+M115-V114,IF(A115&lt;'Données projet'!$A$36,$K$205^A115,IF(A115='Données projet'!$A$36,'Données projet'!$B$36,N114+M115-V114)))</f>
        <v>291.99999999999972</v>
      </c>
      <c r="O115" s="14">
        <f>N115*VLOOKUP('Données projet'!$B$9,Paramètres!$A$1:$I$89,3,0)*VLOOKUP('Données projet'!$B$9,Paramètres!$A$1:$I$89,5,0)</f>
        <v>296.08799999999974</v>
      </c>
      <c r="P115" s="14">
        <f t="shared" si="87"/>
        <v>70.35573257182898</v>
      </c>
      <c r="Q115" s="22">
        <f t="shared" si="107"/>
        <v>638.2228342292683</v>
      </c>
      <c r="R115" s="60">
        <f t="shared" si="55"/>
        <v>923.09879320646723</v>
      </c>
      <c r="S115" s="60">
        <f ca="1">AVERAGE(OFFSET($R$3,0,0,'Données projet'!$E$9+1,1))-AVERAGE(OFFSET($H$3,0,0,'Données projet'!$E$9+1,1))</f>
        <v>503.64055031157477</v>
      </c>
      <c r="T115" s="60">
        <f t="shared" si="88"/>
        <v>266.76572540460842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67.693443357417891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</v>
      </c>
      <c r="AI115" s="14">
        <f>IF('Données projet'!$A$62&gt;35,AI114+AH115-AQ114,IF(A115&lt;'Données projet'!$A$62,$AF$205^A115,IF(A115='Données projet'!$A$62,'Données projet'!$B$62,AI114+AH115-AQ114)))</f>
        <v>291.99999999999972</v>
      </c>
      <c r="AJ115" s="14">
        <f>AI115*VLOOKUP('Données projet'!$B$10,Paramètres!$A$1:$I$89,3,0)*VLOOKUP('Données projet'!$B$10,Paramètres!$A$1:$I$89,5,0)</f>
        <v>264.2015999999997</v>
      </c>
      <c r="AK115" s="14">
        <f t="shared" si="89"/>
        <v>63.617151975096711</v>
      </c>
      <c r="AL115" s="22">
        <f t="shared" si="58"/>
        <v>570.95099302329288</v>
      </c>
      <c r="AM115" s="60">
        <f t="shared" si="59"/>
        <v>855.82695200049181</v>
      </c>
      <c r="AN115" s="60">
        <f ca="1">AVERAGE(OFFSET($AM$3,0,0,'Données projet'!$E$10+1,1))-AVERAGE(OFFSET($H$3,0,0,'Données projet'!$E$10+1,1))</f>
        <v>456.86058467343139</v>
      </c>
      <c r="AO115" s="60">
        <f t="shared" si="90"/>
        <v>243.88495931574937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67.693443357417891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3.1196581196581215</v>
      </c>
      <c r="BD115" s="13">
        <f>IF('Données projet'!$A$88&gt;35,BD114+BC115-BL114,IF(A115&lt;'Données projet'!$A$88,$BA$205^A115,IF(A115='Données projet'!$A$88,'Données projet'!$B$88,BD114+BC115-BL114)))</f>
        <v>326.53846153846155</v>
      </c>
      <c r="BE115" s="14">
        <f>BD115*VLOOKUP('Données projet'!$B$11,Paramètres!$A$1:$I$89,3,0)*VLOOKUP('Données projet'!$B$11,Paramètres!$A$1:$I$89,5,0)</f>
        <v>341.298</v>
      </c>
      <c r="BF115" s="14">
        <f t="shared" si="91"/>
        <v>79.768061939346822</v>
      </c>
      <c r="BG115" s="22">
        <f t="shared" si="61"/>
        <v>733.35672454436235</v>
      </c>
      <c r="BH115" s="60">
        <f t="shared" si="62"/>
        <v>1018.2326835215613</v>
      </c>
      <c r="BI115" s="60">
        <f ca="1">AVERAGE(OFFSET($BH$3,0,0,'Données projet'!$E$11+1,1))-AVERAGE(OFFSET($H$3,0,0,'Données projet'!$E$11+1,1))</f>
        <v>518.47226207416952</v>
      </c>
      <c r="BJ115" s="60">
        <f t="shared" si="92"/>
        <v>314.6379787306804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67.693443357417891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4</v>
      </c>
      <c r="BY115" s="13">
        <f>IF('Données projet'!$A$114&gt;35,BY114+BX115-CG114,IF(A115&lt;'Données projet'!$A$114,$BV$205^A115,IF(A115='Données projet'!$A$114,'Données projet'!$B$114,BY114+BX115-CG114)))</f>
        <v>291.99999999999972</v>
      </c>
      <c r="BZ115" s="14">
        <f>BY115*VLOOKUP('Données projet'!$B$12,Paramètres!$A$1:$I$89,3,0)*VLOOKUP('Données projet'!$B$12,Paramètres!$A$1:$I$89,5,0)</f>
        <v>314.30879999999968</v>
      </c>
      <c r="CA115" s="14">
        <f t="shared" si="93"/>
        <v>74.167954918422311</v>
      </c>
      <c r="CB115" s="22">
        <f t="shared" si="64"/>
        <v>676.59701481625154</v>
      </c>
      <c r="CC115" s="60">
        <f t="shared" si="65"/>
        <v>961.47297379345048</v>
      </c>
      <c r="CD115" s="60">
        <f ca="1">AVERAGE(OFFSET($CC$3,0,0,'Données projet'!$E$12+1,1))-AVERAGE(OFFSET($H$3,0,0,'Données projet'!$E$12+1,1))</f>
        <v>530.32456073177104</v>
      </c>
      <c r="CE115" s="60">
        <f t="shared" si="94"/>
        <v>279.81519428470625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67.693443357417891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3.4106051316484809E-13</v>
      </c>
      <c r="CU115" s="18">
        <f>CT115*VLOOKUP('Données projet'!$B$13,Paramètres!$A$1:$I$89,3,0)*VLOOKUP('Données projet'!$B$13,Paramètres!$A$1:$I$89,5,0)</f>
        <v>2.9795046430081134E-13</v>
      </c>
      <c r="CV115" s="14">
        <f t="shared" si="95"/>
        <v>3.9419014464513778E-12</v>
      </c>
      <c r="CW115" s="22">
        <f t="shared" si="67"/>
        <v>7.384408744560063E-12</v>
      </c>
      <c r="CX115" s="60">
        <f t="shared" si="68"/>
        <v>284.87595897720632</v>
      </c>
      <c r="CY115" s="60">
        <f ca="1">AVERAGE(OFFSET($CX$3,0,0,'Données projet'!$E$13+1,1))-AVERAGE(OFFSET($H$3,0,0,'Données projet'!$E$13+1,1))</f>
        <v>355.03862261578701</v>
      </c>
      <c r="CZ115" s="60">
        <f t="shared" si="96"/>
        <v>382.84441399266029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67.693443357417891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1.1368683772161603E-13</v>
      </c>
      <c r="DP115" s="18">
        <f>DO115*VLOOKUP('Données projet'!$B$14,Paramètres!$A$1:$I$89,3,0)*VLOOKUP('Données projet'!$B$14,Paramètres!$A$1:$I$89,5,0)</f>
        <v>8.8675733422860506E-14</v>
      </c>
      <c r="DQ115" s="14">
        <f t="shared" si="97"/>
        <v>1.3509285393066301E-12</v>
      </c>
      <c r="DR115" s="22">
        <f t="shared" si="70"/>
        <v>2.5073107750038623E-12</v>
      </c>
      <c r="DS115" s="60">
        <f t="shared" si="71"/>
        <v>284.87595897720144</v>
      </c>
      <c r="DT115" s="60">
        <f ca="1">AVERAGE(OFFSET($DS$3,0,0,'Données projet'!$E$14+1,1))-AVERAGE(OFFSET($H$3,0,0,'Données projet'!$E$14+1,1))</f>
        <v>305.68891030516761</v>
      </c>
      <c r="DU115" s="60">
        <f t="shared" si="98"/>
        <v>296.00275062228275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67.693443357417891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4</v>
      </c>
      <c r="EJ115" s="13">
        <f>IF('Données projet'!$A$192&gt;35,EJ114+EI115-ER114,IF(A115&lt;'Données projet'!$A$192,$EG$205^A115,IF(A115='Données projet'!$A$192,'Données projet'!$B$192,EJ114+EI115-ER114)))</f>
        <v>291.99999999999972</v>
      </c>
      <c r="EK115" s="18">
        <f>EJ115*VLOOKUP('Données projet'!$B$15,Paramètres!$A$1:$I$89,3,0)*VLOOKUP('Données projet'!$B$15,Paramètres!$A$1:$I$89,5,0)</f>
        <v>282.42239999999975</v>
      </c>
      <c r="EL115" s="14">
        <f t="shared" si="99"/>
        <v>67.478674703106122</v>
      </c>
      <c r="EM115" s="22">
        <f t="shared" si="73"/>
        <v>609.41103844124279</v>
      </c>
      <c r="EN115" s="60">
        <f t="shared" si="74"/>
        <v>894.28699741844173</v>
      </c>
      <c r="EO115" s="60">
        <f ca="1">AVERAGE(OFFSET($EN$3,0,0,'Données projet'!$E$15+1,1))-AVERAGE(OFFSET($H$3,0,0,'Données projet'!$E$15+1,1))</f>
        <v>483.60545605360528</v>
      </c>
      <c r="EP115" s="60">
        <f t="shared" si="100"/>
        <v>256.96685577560345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67.693443357417891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0" t="e">
        <f t="shared" si="77"/>
        <v>#N/A</v>
      </c>
      <c r="FJ115" s="60" t="e">
        <f ca="1">AVERAGE(OFFSET($FI$3,0,0,'Données projet'!$E$16+1,1))-AVERAGE(OFFSET($H$3,0,0,'Données projet'!$E$16+1,1))</f>
        <v>#N/A</v>
      </c>
      <c r="FK115" s="60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67.693443357417891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0" t="e">
        <f t="shared" si="80"/>
        <v>#N/A</v>
      </c>
      <c r="GE115" s="60" t="e">
        <f ca="1">AVERAGE(OFFSET($GD$3,0,0,'Données projet'!$E$17+1,1))-AVERAGE(OFFSET($H$3,0,0,'Données projet'!$E$17+1,1))</f>
        <v>#N/A</v>
      </c>
      <c r="GF115" s="60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67.693443357417891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4">
        <f>'Scénario référence'!$B$16*5+'Scénario référence'!$B$17*0+'Scénario référence'!$B$18*5</f>
        <v>3.2750000000000004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12.008333333333335</v>
      </c>
      <c r="H116" s="67">
        <f t="shared" si="56"/>
        <v>208.63333333333333</v>
      </c>
      <c r="I116" s="7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67.73345695847857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</v>
      </c>
      <c r="N116" s="14">
        <f>IF('Données projet'!$A$36&gt;35,N115+M116-V115,IF(A116&lt;'Données projet'!$A$36,$K$205^A116,IF(A116='Données projet'!$A$36,'Données projet'!$B$36,N115+M116-V115)))</f>
        <v>295.99999999999972</v>
      </c>
      <c r="O116" s="14">
        <f>N116*VLOOKUP('Données projet'!$B$9,Paramètres!$A$1:$I$89,3,0)*VLOOKUP('Données projet'!$B$9,Paramètres!$A$1:$I$89,5,0)</f>
        <v>300.14399999999978</v>
      </c>
      <c r="P116" s="14">
        <f t="shared" si="87"/>
        <v>71.206650563609855</v>
      </c>
      <c r="Q116" s="22">
        <f t="shared" si="107"/>
        <v>646.76904973162016</v>
      </c>
      <c r="R116" s="60">
        <f t="shared" si="55"/>
        <v>931.79172524604155</v>
      </c>
      <c r="S116" s="60">
        <f ca="1">AVERAGE(OFFSET($R$3,0,0,'Données projet'!$E$9+1,1))-AVERAGE(OFFSET($H$3,0,0,'Données projet'!$E$9+1,1))</f>
        <v>503.64055031157477</v>
      </c>
      <c r="T116" s="60">
        <f t="shared" si="88"/>
        <v>266.76572540460842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67.73345695847857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</v>
      </c>
      <c r="AI116" s="14">
        <f>IF('Données projet'!$A$62&gt;35,AI115+AH116-AQ115,IF(A116&lt;'Données projet'!$A$62,$AF$205^A116,IF(A116='Données projet'!$A$62,'Données projet'!$B$62,AI115+AH116-AQ115)))</f>
        <v>295.99999999999972</v>
      </c>
      <c r="AJ116" s="14">
        <f>AI116*VLOOKUP('Données projet'!$B$10,Paramètres!$A$1:$I$89,3,0)*VLOOKUP('Données projet'!$B$10,Paramètres!$A$1:$I$89,5,0)</f>
        <v>267.82079999999974</v>
      </c>
      <c r="AK116" s="14">
        <f t="shared" si="89"/>
        <v>64.386570147897245</v>
      </c>
      <c r="AL116" s="22">
        <f t="shared" si="58"/>
        <v>578.59450300758726</v>
      </c>
      <c r="AM116" s="60">
        <f t="shared" si="59"/>
        <v>863.61717852200877</v>
      </c>
      <c r="AN116" s="60">
        <f ca="1">AVERAGE(OFFSET($AM$3,0,0,'Données projet'!$E$10+1,1))-AVERAGE(OFFSET($H$3,0,0,'Données projet'!$E$10+1,1))</f>
        <v>456.86058467343139</v>
      </c>
      <c r="AO116" s="60">
        <f t="shared" si="90"/>
        <v>243.88495931574937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67.73345695847857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3.1196581196581215</v>
      </c>
      <c r="BD116" s="13">
        <f>IF('Données projet'!$A$88&gt;35,BD115+BC116-BL115,IF(A116&lt;'Données projet'!$A$88,$BA$205^A116,IF(A116='Données projet'!$A$88,'Données projet'!$B$88,BD115+BC116-BL115)))</f>
        <v>329.65811965811969</v>
      </c>
      <c r="BE116" s="14">
        <f>BD116*VLOOKUP('Données projet'!$B$11,Paramètres!$A$1:$I$89,3,0)*VLOOKUP('Données projet'!$B$11,Paramètres!$A$1:$I$89,5,0)</f>
        <v>344.55866666666674</v>
      </c>
      <c r="BF116" s="14">
        <f t="shared" si="91"/>
        <v>80.441064499485037</v>
      </c>
      <c r="BG116" s="22">
        <f t="shared" si="61"/>
        <v>740.20786511438098</v>
      </c>
      <c r="BH116" s="60">
        <f t="shared" si="62"/>
        <v>1025.2305406288024</v>
      </c>
      <c r="BI116" s="60">
        <f ca="1">AVERAGE(OFFSET($BH$3,0,0,'Données projet'!$E$11+1,1))-AVERAGE(OFFSET($H$3,0,0,'Données projet'!$E$11+1,1))</f>
        <v>518.47226207416952</v>
      </c>
      <c r="BJ116" s="60">
        <f t="shared" si="92"/>
        <v>314.6379787306804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67.73345695847857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4</v>
      </c>
      <c r="BY116" s="13">
        <f>IF('Données projet'!$A$114&gt;35,BY115+BX116-CG115,IF(A116&lt;'Données projet'!$A$114,$BV$205^A116,IF(A116='Données projet'!$A$114,'Données projet'!$B$114,BY115+BX116-CG115)))</f>
        <v>295.99999999999972</v>
      </c>
      <c r="BZ116" s="14">
        <f>BY116*VLOOKUP('Données projet'!$B$12,Paramètres!$A$1:$I$89,3,0)*VLOOKUP('Données projet'!$B$12,Paramètres!$A$1:$I$89,5,0)</f>
        <v>318.61439999999965</v>
      </c>
      <c r="CA116" s="14">
        <f t="shared" si="93"/>
        <v>75.064979865028363</v>
      </c>
      <c r="CB116" s="22">
        <f t="shared" si="64"/>
        <v>685.6582532649237</v>
      </c>
      <c r="CC116" s="60">
        <f t="shared" si="65"/>
        <v>970.68092877934509</v>
      </c>
      <c r="CD116" s="60">
        <f ca="1">AVERAGE(OFFSET($CC$3,0,0,'Données projet'!$E$12+1,1))-AVERAGE(OFFSET($H$3,0,0,'Données projet'!$E$12+1,1))</f>
        <v>530.32456073177104</v>
      </c>
      <c r="CE116" s="60">
        <f t="shared" si="94"/>
        <v>279.81519428470625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67.73345695847857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3.4106051316484809E-13</v>
      </c>
      <c r="CU116" s="18">
        <f>CT116*VLOOKUP('Données projet'!$B$13,Paramètres!$A$1:$I$89,3,0)*VLOOKUP('Données projet'!$B$13,Paramètres!$A$1:$I$89,5,0)</f>
        <v>2.9795046430081134E-13</v>
      </c>
      <c r="CV116" s="14">
        <f t="shared" si="95"/>
        <v>3.9419014464513778E-12</v>
      </c>
      <c r="CW116" s="22">
        <f t="shared" si="67"/>
        <v>7.384408744560063E-12</v>
      </c>
      <c r="CX116" s="60">
        <f t="shared" si="68"/>
        <v>285.02267551442884</v>
      </c>
      <c r="CY116" s="60">
        <f ca="1">AVERAGE(OFFSET($CX$3,0,0,'Données projet'!$E$13+1,1))-AVERAGE(OFFSET($H$3,0,0,'Données projet'!$E$13+1,1))</f>
        <v>355.03862261578701</v>
      </c>
      <c r="CZ116" s="60">
        <f t="shared" si="96"/>
        <v>382.84441399266029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67.73345695847857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1.1368683772161603E-13</v>
      </c>
      <c r="DP116" s="18">
        <f>DO116*VLOOKUP('Données projet'!$B$14,Paramètres!$A$1:$I$89,3,0)*VLOOKUP('Données projet'!$B$14,Paramètres!$A$1:$I$89,5,0)</f>
        <v>8.8675733422860506E-14</v>
      </c>
      <c r="DQ116" s="14">
        <f t="shared" si="97"/>
        <v>1.3509285393066301E-12</v>
      </c>
      <c r="DR116" s="22">
        <f t="shared" si="70"/>
        <v>2.5073107750038623E-12</v>
      </c>
      <c r="DS116" s="60">
        <f t="shared" si="71"/>
        <v>285.02267551442395</v>
      </c>
      <c r="DT116" s="60">
        <f ca="1">AVERAGE(OFFSET($DS$3,0,0,'Données projet'!$E$14+1,1))-AVERAGE(OFFSET($H$3,0,0,'Données projet'!$E$14+1,1))</f>
        <v>305.68891030516761</v>
      </c>
      <c r="DU116" s="60">
        <f t="shared" si="98"/>
        <v>296.00275062228275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67.73345695847857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4</v>
      </c>
      <c r="EJ116" s="13">
        <f>IF('Données projet'!$A$192&gt;35,EJ115+EI116-ER115,IF(A116&lt;'Données projet'!$A$192,$EG$205^A116,IF(A116='Données projet'!$A$192,'Données projet'!$B$192,EJ115+EI116-ER115)))</f>
        <v>295.99999999999972</v>
      </c>
      <c r="EK116" s="18">
        <f>EJ116*VLOOKUP('Données projet'!$B$15,Paramètres!$A$1:$I$89,3,0)*VLOOKUP('Données projet'!$B$15,Paramètres!$A$1:$I$89,5,0)</f>
        <v>286.29119999999972</v>
      </c>
      <c r="EL116" s="14">
        <f t="shared" si="99"/>
        <v>68.294796094604337</v>
      </c>
      <c r="EM116" s="22">
        <f t="shared" si="73"/>
        <v>617.5706098647687</v>
      </c>
      <c r="EN116" s="60">
        <f t="shared" si="74"/>
        <v>902.59328537919009</v>
      </c>
      <c r="EO116" s="60">
        <f ca="1">AVERAGE(OFFSET($EN$3,0,0,'Données projet'!$E$15+1,1))-AVERAGE(OFFSET($H$3,0,0,'Données projet'!$E$15+1,1))</f>
        <v>483.60545605360528</v>
      </c>
      <c r="EP116" s="60">
        <f t="shared" si="100"/>
        <v>256.96685577560345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67.73345695847857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0" t="e">
        <f t="shared" si="77"/>
        <v>#N/A</v>
      </c>
      <c r="FJ116" s="60" t="e">
        <f ca="1">AVERAGE(OFFSET($FI$3,0,0,'Données projet'!$E$16+1,1))-AVERAGE(OFFSET($H$3,0,0,'Données projet'!$E$16+1,1))</f>
        <v>#N/A</v>
      </c>
      <c r="FK116" s="60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67.73345695847857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0" t="e">
        <f t="shared" si="80"/>
        <v>#N/A</v>
      </c>
      <c r="GE116" s="60" t="e">
        <f ca="1">AVERAGE(OFFSET($GD$3,0,0,'Données projet'!$E$17+1,1))-AVERAGE(OFFSET($H$3,0,0,'Données projet'!$E$17+1,1))</f>
        <v>#N/A</v>
      </c>
      <c r="GF116" s="60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67.73345695847857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4">
        <f>'Scénario référence'!$B$16*5+'Scénario référence'!$B$17*0+'Scénario référence'!$B$18*5</f>
        <v>3.2750000000000004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12.008333333333335</v>
      </c>
      <c r="H117" s="67">
        <f t="shared" si="56"/>
        <v>208.63333333333333</v>
      </c>
      <c r="I117" s="7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67.772776413017851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</v>
      </c>
      <c r="N117" s="14">
        <f>IF('Données projet'!$A$36&gt;35,N116+M117-V116,IF(A117&lt;'Données projet'!$A$36,$K$205^A117,IF(A117='Données projet'!$A$36,'Données projet'!$B$36,N116+M117-V116)))</f>
        <v>299.99999999999972</v>
      </c>
      <c r="O117" s="14">
        <f>N117*VLOOKUP('Données projet'!$B$9,Paramètres!$A$1:$I$89,3,0)*VLOOKUP('Données projet'!$B$9,Paramètres!$A$1:$I$89,5,0)</f>
        <v>304.19999999999976</v>
      </c>
      <c r="P117" s="14">
        <f t="shared" si="87"/>
        <v>72.056231093481074</v>
      </c>
      <c r="Q117" s="22">
        <f t="shared" si="107"/>
        <v>655.31293582114574</v>
      </c>
      <c r="R117" s="60">
        <f t="shared" si="55"/>
        <v>940.47978266887787</v>
      </c>
      <c r="S117" s="60">
        <f ca="1">AVERAGE(OFFSET($R$3,0,0,'Données projet'!$E$9+1,1))-AVERAGE(OFFSET($H$3,0,0,'Données projet'!$E$9+1,1))</f>
        <v>503.64055031157477</v>
      </c>
      <c r="T117" s="60">
        <f t="shared" si="88"/>
        <v>266.76572540460842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67.772776413017851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4</v>
      </c>
      <c r="AI117" s="14">
        <f>IF('Données projet'!$A$62&gt;35,AI116+AH117-AQ116,IF(A117&lt;'Données projet'!$A$62,$AF$205^A117,IF(A117='Données projet'!$A$62,'Données projet'!$B$62,AI116+AH117-AQ116)))</f>
        <v>299.99999999999972</v>
      </c>
      <c r="AJ117" s="14">
        <f>AI117*VLOOKUP('Données projet'!$B$10,Paramètres!$A$1:$I$89,3,0)*VLOOKUP('Données projet'!$B$10,Paramètres!$A$1:$I$89,5,0)</f>
        <v>271.43999999999977</v>
      </c>
      <c r="AK117" s="14">
        <f t="shared" si="89"/>
        <v>65.154778959151116</v>
      </c>
      <c r="AL117" s="22">
        <f t="shared" si="58"/>
        <v>586.23590668718782</v>
      </c>
      <c r="AM117" s="60">
        <f t="shared" si="59"/>
        <v>871.40275353491995</v>
      </c>
      <c r="AN117" s="60">
        <f ca="1">AVERAGE(OFFSET($AM$3,0,0,'Données projet'!$E$10+1,1))-AVERAGE(OFFSET($H$3,0,0,'Données projet'!$E$10+1,1))</f>
        <v>456.86058467343139</v>
      </c>
      <c r="AO117" s="60">
        <f t="shared" si="90"/>
        <v>243.88495931574937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67.772776413017851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3.1196581196581215</v>
      </c>
      <c r="BD117" s="13">
        <f>IF('Données projet'!$A$88&gt;35,BD116+BC117-BL116,IF(A117&lt;'Données projet'!$A$88,$BA$205^A117,IF(A117='Données projet'!$A$88,'Données projet'!$B$88,BD116+BC117-BL116)))</f>
        <v>332.77777777777783</v>
      </c>
      <c r="BE117" s="14">
        <f>BD117*VLOOKUP('Données projet'!$B$11,Paramètres!$A$1:$I$89,3,0)*VLOOKUP('Données projet'!$B$11,Paramètres!$A$1:$I$89,5,0)</f>
        <v>347.81933333333342</v>
      </c>
      <c r="BF117" s="14">
        <f t="shared" si="91"/>
        <v>81.113326123777711</v>
      </c>
      <c r="BG117" s="22">
        <f t="shared" si="61"/>
        <v>747.05771522113525</v>
      </c>
      <c r="BH117" s="60">
        <f t="shared" si="62"/>
        <v>1032.2245620688673</v>
      </c>
      <c r="BI117" s="60">
        <f ca="1">AVERAGE(OFFSET($BH$3,0,0,'Données projet'!$E$11+1,1))-AVERAGE(OFFSET($H$3,0,0,'Données projet'!$E$11+1,1))</f>
        <v>518.47226207416952</v>
      </c>
      <c r="BJ117" s="60">
        <f t="shared" si="92"/>
        <v>314.6379787306804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67.772776413017851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4</v>
      </c>
      <c r="BY117" s="13">
        <f>IF('Données projet'!$A$114&gt;35,BY116+BX117-CG116,IF(A117&lt;'Données projet'!$A$114,$BV$205^A117,IF(A117='Données projet'!$A$114,'Données projet'!$B$114,BY116+BX117-CG116)))</f>
        <v>299.99999999999972</v>
      </c>
      <c r="BZ117" s="14">
        <f>BY117*VLOOKUP('Données projet'!$B$12,Paramètres!$A$1:$I$89,3,0)*VLOOKUP('Données projet'!$B$12,Paramètres!$A$1:$I$89,5,0)</f>
        <v>322.91999999999967</v>
      </c>
      <c r="CA117" s="14">
        <f t="shared" si="93"/>
        <v>75.960594879408688</v>
      </c>
      <c r="CB117" s="22">
        <f t="shared" si="64"/>
        <v>694.71703608163625</v>
      </c>
      <c r="CC117" s="60">
        <f t="shared" si="65"/>
        <v>979.88388292936838</v>
      </c>
      <c r="CD117" s="60">
        <f ca="1">AVERAGE(OFFSET($CC$3,0,0,'Données projet'!$E$12+1,1))-AVERAGE(OFFSET($H$3,0,0,'Données projet'!$E$12+1,1))</f>
        <v>530.32456073177104</v>
      </c>
      <c r="CE117" s="60">
        <f t="shared" si="94"/>
        <v>279.81519428470625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67.772776413017851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3.4106051316484809E-13</v>
      </c>
      <c r="CU117" s="18">
        <f>CT117*VLOOKUP('Données projet'!$B$13,Paramètres!$A$1:$I$89,3,0)*VLOOKUP('Données projet'!$B$13,Paramètres!$A$1:$I$89,5,0)</f>
        <v>2.9795046430081134E-13</v>
      </c>
      <c r="CV117" s="14">
        <f t="shared" si="95"/>
        <v>3.9419014464513778E-12</v>
      </c>
      <c r="CW117" s="22">
        <f t="shared" si="67"/>
        <v>7.384408744560063E-12</v>
      </c>
      <c r="CX117" s="60">
        <f t="shared" si="68"/>
        <v>285.16684684773952</v>
      </c>
      <c r="CY117" s="60">
        <f ca="1">AVERAGE(OFFSET($CX$3,0,0,'Données projet'!$E$13+1,1))-AVERAGE(OFFSET($H$3,0,0,'Données projet'!$E$13+1,1))</f>
        <v>355.03862261578701</v>
      </c>
      <c r="CZ117" s="60">
        <f t="shared" si="96"/>
        <v>382.84441399266029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67.772776413017851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1.1368683772161603E-13</v>
      </c>
      <c r="DP117" s="18">
        <f>DO117*VLOOKUP('Données projet'!$B$14,Paramètres!$A$1:$I$89,3,0)*VLOOKUP('Données projet'!$B$14,Paramètres!$A$1:$I$89,5,0)</f>
        <v>8.8675733422860506E-14</v>
      </c>
      <c r="DQ117" s="14">
        <f t="shared" si="97"/>
        <v>1.3509285393066301E-12</v>
      </c>
      <c r="DR117" s="22">
        <f t="shared" si="70"/>
        <v>2.5073107750038623E-12</v>
      </c>
      <c r="DS117" s="60">
        <f t="shared" si="71"/>
        <v>285.16684684773463</v>
      </c>
      <c r="DT117" s="60">
        <f ca="1">AVERAGE(OFFSET($DS$3,0,0,'Données projet'!$E$14+1,1))-AVERAGE(OFFSET($H$3,0,0,'Données projet'!$E$14+1,1))</f>
        <v>305.68891030516761</v>
      </c>
      <c r="DU117" s="60">
        <f t="shared" si="98"/>
        <v>296.00275062228275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67.772776413017851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4</v>
      </c>
      <c r="EJ117" s="13">
        <f>IF('Données projet'!$A$192&gt;35,EJ116+EI117-ER116,IF(A117&lt;'Données projet'!$A$192,$EG$205^A117,IF(A117='Données projet'!$A$192,'Données projet'!$B$192,EJ116+EI117-ER116)))</f>
        <v>299.99999999999972</v>
      </c>
      <c r="EK117" s="18">
        <f>EJ117*VLOOKUP('Données projet'!$B$15,Paramètres!$A$1:$I$89,3,0)*VLOOKUP('Données projet'!$B$15,Paramètres!$A$1:$I$89,5,0)</f>
        <v>290.15999999999974</v>
      </c>
      <c r="EL117" s="14">
        <f t="shared" si="99"/>
        <v>69.109634717039867</v>
      </c>
      <c r="EM117" s="22">
        <f t="shared" si="73"/>
        <v>625.72794713217729</v>
      </c>
      <c r="EN117" s="60">
        <f t="shared" si="74"/>
        <v>910.89479397990942</v>
      </c>
      <c r="EO117" s="60">
        <f ca="1">AVERAGE(OFFSET($EN$3,0,0,'Données projet'!$E$15+1,1))-AVERAGE(OFFSET($H$3,0,0,'Données projet'!$E$15+1,1))</f>
        <v>483.60545605360528</v>
      </c>
      <c r="EP117" s="60">
        <f t="shared" si="100"/>
        <v>256.96685577560345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67.772776413017851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0" t="e">
        <f t="shared" si="77"/>
        <v>#N/A</v>
      </c>
      <c r="FJ117" s="60" t="e">
        <f ca="1">AVERAGE(OFFSET($FI$3,0,0,'Données projet'!$E$16+1,1))-AVERAGE(OFFSET($H$3,0,0,'Données projet'!$E$16+1,1))</f>
        <v>#N/A</v>
      </c>
      <c r="FK117" s="60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67.772776413017851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0" t="e">
        <f t="shared" si="80"/>
        <v>#N/A</v>
      </c>
      <c r="GE117" s="60" t="e">
        <f ca="1">AVERAGE(OFFSET($GD$3,0,0,'Données projet'!$E$17+1,1))-AVERAGE(OFFSET($H$3,0,0,'Données projet'!$E$17+1,1))</f>
        <v>#N/A</v>
      </c>
      <c r="GF117" s="60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67.772776413017851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4">
        <f>'Scénario référence'!$B$16*5+'Scénario référence'!$B$17*0+'Scénario référence'!$B$18*5</f>
        <v>3.2750000000000004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12.008333333333335</v>
      </c>
      <c r="H118" s="67">
        <f t="shared" si="56"/>
        <v>208.63333333333333</v>
      </c>
      <c r="I118" s="7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67.811413762926009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304</v>
      </c>
      <c r="L118" s="13">
        <f>VLOOKUP(A118,'Données projet'!$A$35:$I$55,9,0)</f>
        <v>4</v>
      </c>
      <c r="M118" s="13">
        <f t="array" ref="M118">INDEX(L:L,MIN(IF(ISNUMBER(L118:L314),ROW(L118:L314),"")))</f>
        <v>4</v>
      </c>
      <c r="N118" s="14">
        <f>IF('Données projet'!$A$36&gt;35,N117+M118-V117,IF(A118&lt;'Données projet'!$A$36,$K$205^A118,IF(A118='Données projet'!$A$36,'Données projet'!$B$36,N117+M118-V117)))</f>
        <v>303.99999999999972</v>
      </c>
      <c r="O118" s="14">
        <f>N118*VLOOKUP('Données projet'!$B$9,Paramètres!$A$1:$I$89,3,0)*VLOOKUP('Données projet'!$B$9,Paramètres!$A$1:$I$89,5,0)</f>
        <v>308.25599999999974</v>
      </c>
      <c r="P118" s="14">
        <f t="shared" si="87"/>
        <v>72.904494055753887</v>
      </c>
      <c r="Q118" s="22">
        <f t="shared" si="107"/>
        <v>663.85452714710425</v>
      </c>
      <c r="R118" s="60">
        <f t="shared" si="55"/>
        <v>949.16304427783302</v>
      </c>
      <c r="S118" s="60">
        <f ca="1">AVERAGE(OFFSET($R$3,0,0,'Données projet'!$E$9+1,1))-AVERAGE(OFFSET($H$3,0,0,'Données projet'!$E$9+1,1))</f>
        <v>503.64055031157477</v>
      </c>
      <c r="T118" s="60">
        <f t="shared" si="88"/>
        <v>266.76572540460842</v>
      </c>
      <c r="U118" s="16">
        <f>IF(ISNA(VLOOKUP(A118,'Données projet'!$A$35:$I$55,3,0)),0,VLOOKUP(A118,'Données projet'!$A$35:$I$55,3,0))</f>
        <v>10</v>
      </c>
      <c r="V118" s="16">
        <f>IF(ISNA(VLOOKUP(A118,'Données projet'!$A$35:$I$55,4,0)),0,VLOOKUP(A118,'Données projet'!$A$35:$I$55,4,0))</f>
        <v>37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67.811413762926009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304</v>
      </c>
      <c r="AG118" s="13">
        <f>VLOOKUP(A118,'Données projet'!$A$61:$I$81,9,0)</f>
        <v>4</v>
      </c>
      <c r="AH118" s="13">
        <f t="array" ref="AH118">INDEX(AG:AG,MIN(IF(ISNUMBER(AG118:AG314),ROW(AG118:AG314),"")))</f>
        <v>4</v>
      </c>
      <c r="AI118" s="14">
        <f>IF('Données projet'!$A$62&gt;35,AI117+AH118-AQ117,IF(A118&lt;'Données projet'!$A$62,$AF$205^A118,IF(A118='Données projet'!$A$62,'Données projet'!$B$62,AI117+AH118-AQ117)))</f>
        <v>303.99999999999972</v>
      </c>
      <c r="AJ118" s="14">
        <f>AI118*VLOOKUP('Données projet'!$B$10,Paramètres!$A$1:$I$89,3,0)*VLOOKUP('Données projet'!$B$10,Paramètres!$A$1:$I$89,5,0)</f>
        <v>275.05919999999975</v>
      </c>
      <c r="AK118" s="14">
        <f t="shared" si="89"/>
        <v>65.921796397718325</v>
      </c>
      <c r="AL118" s="22">
        <f t="shared" si="58"/>
        <v>593.87523539269228</v>
      </c>
      <c r="AM118" s="60">
        <f t="shared" si="59"/>
        <v>879.18375252342094</v>
      </c>
      <c r="AN118" s="60">
        <f ca="1">AVERAGE(OFFSET($AM$3,0,0,'Données projet'!$E$10+1,1))-AVERAGE(OFFSET($H$3,0,0,'Données projet'!$E$10+1,1))</f>
        <v>456.86058467343139</v>
      </c>
      <c r="AO118" s="60">
        <f t="shared" si="90"/>
        <v>243.88495931574937</v>
      </c>
      <c r="AP118" s="16">
        <f>IF(ISNA(VLOOKUP(A118,'Données projet'!$A$61:$I$81,3,0)),0,VLOOKUP(A118,'Données projet'!$A$61:$I$81,3,0))</f>
        <v>10</v>
      </c>
      <c r="AQ118" s="16">
        <f>IF(ISNA(VLOOKUP(A118,'Données projet'!$A$61:$I$81,4,0)),0,VLOOKUP(A118,'Données projet'!$A$61:$I$81,4,0))</f>
        <v>37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67.811413762926009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335.89743589743591</v>
      </c>
      <c r="BB118" s="13">
        <f>VLOOKUP(A118,'Données projet'!$A$87:$I$107,9,0)</f>
        <v>3.1196581196581215</v>
      </c>
      <c r="BC118" s="13">
        <f t="array" ref="BC118">INDEX(BB:BB,MIN(IF(ISNUMBER(BB118:BB314),ROW(BB118:BB314),"")))</f>
        <v>3.1196581196581215</v>
      </c>
      <c r="BD118" s="13">
        <f>IF('Données projet'!$A$88&gt;35,BD117+BC118-BL117,IF(A118&lt;'Données projet'!$A$88,$BA$205^A118,IF(A118='Données projet'!$A$88,'Données projet'!$B$88,BD117+BC118-BL117)))</f>
        <v>335.89743589743597</v>
      </c>
      <c r="BE118" s="14">
        <f>BD118*VLOOKUP('Données projet'!$B$11,Paramètres!$A$1:$I$89,3,0)*VLOOKUP('Données projet'!$B$11,Paramètres!$A$1:$I$89,5,0)</f>
        <v>351.0800000000001</v>
      </c>
      <c r="BF118" s="14">
        <f t="shared" si="91"/>
        <v>81.784854562711431</v>
      </c>
      <c r="BG118" s="22">
        <f t="shared" si="61"/>
        <v>753.90628836338919</v>
      </c>
      <c r="BH118" s="60">
        <f t="shared" si="62"/>
        <v>1039.2148054941179</v>
      </c>
      <c r="BI118" s="60">
        <f ca="1">AVERAGE(OFFSET($BH$3,0,0,'Données projet'!$E$11+1,1))-AVERAGE(OFFSET($H$3,0,0,'Données projet'!$E$11+1,1))</f>
        <v>518.47226207416952</v>
      </c>
      <c r="BJ118" s="60">
        <f t="shared" si="92"/>
        <v>314.6379787306804</v>
      </c>
      <c r="BK118" s="16">
        <f>IF(ISNA(VLOOKUP(A118,'Données projet'!$A$87:$I$107,3,0)),0,VLOOKUP(A118,'Données projet'!$A$87:$I$107,3,0))</f>
        <v>10</v>
      </c>
      <c r="BL118" s="16">
        <f>IF(ISNA(VLOOKUP(A118,'Données projet'!$A$87:$I$107,4,0)),0,VLOOKUP(A118,'Données projet'!$A$87:$I$107,4,0))</f>
        <v>28.205128205128204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67.811413762926009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>
        <f>VLOOKUP(A118,'Données projet'!$A$113:$I$133,2,0)</f>
        <v>304</v>
      </c>
      <c r="BW118" s="13">
        <f>VLOOKUP(A118,'Données projet'!$A$113:$I$133,9,0)</f>
        <v>4</v>
      </c>
      <c r="BX118" s="13">
        <f t="array" ref="BX118">INDEX(BW:BW,MIN(IF(ISNUMBER(BW118:BW314),ROW(BW118:BW314),"")))</f>
        <v>4</v>
      </c>
      <c r="BY118" s="13">
        <f>IF('Données projet'!$A$114&gt;35,BY117+BX118-CG117,IF(A118&lt;'Données projet'!$A$114,$BV$205^A118,IF(A118='Données projet'!$A$114,'Données projet'!$B$114,BY117+BX118-CG117)))</f>
        <v>303.99999999999972</v>
      </c>
      <c r="BZ118" s="14">
        <f>BY118*VLOOKUP('Données projet'!$B$12,Paramètres!$A$1:$I$89,3,0)*VLOOKUP('Données projet'!$B$12,Paramètres!$A$1:$I$89,5,0)</f>
        <v>327.2255999999997</v>
      </c>
      <c r="CA118" s="14">
        <f t="shared" si="93"/>
        <v>76.85482093384698</v>
      </c>
      <c r="CB118" s="22">
        <f t="shared" si="64"/>
        <v>703.77339979311625</v>
      </c>
      <c r="CC118" s="60">
        <f t="shared" si="65"/>
        <v>989.08191692384503</v>
      </c>
      <c r="CD118" s="60">
        <f ca="1">AVERAGE(OFFSET($CC$3,0,0,'Données projet'!$E$12+1,1))-AVERAGE(OFFSET($H$3,0,0,'Données projet'!$E$12+1,1))</f>
        <v>530.32456073177104</v>
      </c>
      <c r="CE118" s="60">
        <f t="shared" si="94"/>
        <v>279.81519428470625</v>
      </c>
      <c r="CF118" s="16">
        <f>IF(ISNA(VLOOKUP(A118,'Données projet'!$A$113:$I$133,3,0)),0,VLOOKUP(A118,'Données projet'!$A$113:$I$133,3,0))</f>
        <v>10</v>
      </c>
      <c r="CG118" s="16">
        <f>IF(ISNA(VLOOKUP(A118,'Données projet'!$A$113:$I$133,4,0)),0,VLOOKUP(A118,'Données projet'!$A$113:$I$133,4,0))</f>
        <v>37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67.811413762926009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3.4106051316484809E-13</v>
      </c>
      <c r="CU118" s="18">
        <f>CT118*VLOOKUP('Données projet'!$B$13,Paramètres!$A$1:$I$89,3,0)*VLOOKUP('Données projet'!$B$13,Paramètres!$A$1:$I$89,5,0)</f>
        <v>2.9795046430081134E-13</v>
      </c>
      <c r="CV118" s="14">
        <f t="shared" si="95"/>
        <v>3.9419014464513778E-12</v>
      </c>
      <c r="CW118" s="22">
        <f t="shared" si="67"/>
        <v>7.384408744560063E-12</v>
      </c>
      <c r="CX118" s="60">
        <f t="shared" si="68"/>
        <v>285.30851713073611</v>
      </c>
      <c r="CY118" s="60">
        <f ca="1">AVERAGE(OFFSET($CX$3,0,0,'Données projet'!$E$13+1,1))-AVERAGE(OFFSET($H$3,0,0,'Données projet'!$E$13+1,1))</f>
        <v>355.03862261578701</v>
      </c>
      <c r="CZ118" s="60">
        <f t="shared" si="96"/>
        <v>382.84441399266029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67.811413762926009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1.1368683772161603E-13</v>
      </c>
      <c r="DP118" s="18">
        <f>DO118*VLOOKUP('Données projet'!$B$14,Paramètres!$A$1:$I$89,3,0)*VLOOKUP('Données projet'!$B$14,Paramètres!$A$1:$I$89,5,0)</f>
        <v>8.8675733422860506E-14</v>
      </c>
      <c r="DQ118" s="14">
        <f t="shared" si="97"/>
        <v>1.3509285393066301E-12</v>
      </c>
      <c r="DR118" s="22">
        <f t="shared" si="70"/>
        <v>2.5073107750038623E-12</v>
      </c>
      <c r="DS118" s="60">
        <f t="shared" si="71"/>
        <v>285.30851713073122</v>
      </c>
      <c r="DT118" s="60">
        <f ca="1">AVERAGE(OFFSET($DS$3,0,0,'Données projet'!$E$14+1,1))-AVERAGE(OFFSET($H$3,0,0,'Données projet'!$E$14+1,1))</f>
        <v>305.68891030516761</v>
      </c>
      <c r="DU118" s="60">
        <f t="shared" si="98"/>
        <v>296.00275062228275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67.811413762926009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>
        <f>VLOOKUP(A118,'Données projet'!$A$191:$I$211,2,0)</f>
        <v>304</v>
      </c>
      <c r="EH118" s="13">
        <f>VLOOKUP(A118,'Données projet'!$A$191:$I$211,9,0)</f>
        <v>4</v>
      </c>
      <c r="EI118" s="13">
        <f t="array" ref="EI118">INDEX(EH:EH,MIN(IF(ISNUMBER(EH118:EH314),ROW(EH118:EH314),"")))</f>
        <v>4</v>
      </c>
      <c r="EJ118" s="13">
        <f>IF('Données projet'!$A$192&gt;35,EJ117+EI118-ER117,IF(A118&lt;'Données projet'!$A$192,$EG$205^A118,IF(A118='Données projet'!$A$192,'Données projet'!$B$192,EJ117+EI118-ER117)))</f>
        <v>303.99999999999972</v>
      </c>
      <c r="EK118" s="18">
        <f>EJ118*VLOOKUP('Données projet'!$B$15,Paramètres!$A$1:$I$89,3,0)*VLOOKUP('Données projet'!$B$15,Paramètres!$A$1:$I$89,5,0)</f>
        <v>294.02879999999971</v>
      </c>
      <c r="EL118" s="14">
        <f t="shared" si="99"/>
        <v>69.923209651185601</v>
      </c>
      <c r="EM118" s="22">
        <f t="shared" si="73"/>
        <v>633.88308347581449</v>
      </c>
      <c r="EN118" s="60">
        <f t="shared" si="74"/>
        <v>919.19160060654326</v>
      </c>
      <c r="EO118" s="60">
        <f ca="1">AVERAGE(OFFSET($EN$3,0,0,'Données projet'!$E$15+1,1))-AVERAGE(OFFSET($H$3,0,0,'Données projet'!$E$15+1,1))</f>
        <v>483.60545605360528</v>
      </c>
      <c r="EP118" s="60">
        <f t="shared" si="100"/>
        <v>256.96685577560345</v>
      </c>
      <c r="EQ118" s="16">
        <f>IF(ISNA(VLOOKUP(A118,'Données projet'!$A$191:$I$211,3,0)),0,VLOOKUP(A118,'Données projet'!$A$191:$I$211,3,0))</f>
        <v>10</v>
      </c>
      <c r="ER118" s="16">
        <f>IF(ISNA(VLOOKUP(A118,'Données projet'!$A$191:$I$211,4,0)),0,VLOOKUP(A118,'Données projet'!$A$191:$I$211,4,0))</f>
        <v>37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67.811413762926009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0" t="e">
        <f t="shared" si="77"/>
        <v>#N/A</v>
      </c>
      <c r="FJ118" s="60" t="e">
        <f ca="1">AVERAGE(OFFSET($FI$3,0,0,'Données projet'!$E$16+1,1))-AVERAGE(OFFSET($H$3,0,0,'Données projet'!$E$16+1,1))</f>
        <v>#N/A</v>
      </c>
      <c r="FK118" s="60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67.811413762926009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0" t="e">
        <f t="shared" si="80"/>
        <v>#N/A</v>
      </c>
      <c r="GE118" s="60" t="e">
        <f ca="1">AVERAGE(OFFSET($GD$3,0,0,'Données projet'!$E$17+1,1))-AVERAGE(OFFSET($H$3,0,0,'Données projet'!$E$17+1,1))</f>
        <v>#N/A</v>
      </c>
      <c r="GF118" s="60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67.811413762926009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4">
        <f>'Scénario référence'!$B$16*5+'Scénario référence'!$B$17*0+'Scénario référence'!$B$18*5</f>
        <v>3.2750000000000004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12.008333333333335</v>
      </c>
      <c r="H119" s="67">
        <f t="shared" si="56"/>
        <v>208.63333333333333</v>
      </c>
      <c r="I119" s="7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67.849380841193437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3.4</v>
      </c>
      <c r="N119" s="14">
        <f>IF('Données projet'!$A$36&gt;35,N118+M119-V118,IF(A119&lt;'Données projet'!$A$36,$K$205^A119,IF(A119='Données projet'!$A$36,'Données projet'!$B$36,N118+M119-V118)))</f>
        <v>270.39999999999969</v>
      </c>
      <c r="O119" s="14">
        <f>N119*VLOOKUP('Données projet'!$B$9,Paramètres!$A$1:$I$89,3,0)*VLOOKUP('Données projet'!$B$9,Paramètres!$A$1:$I$89,5,0)</f>
        <v>274.18559999999974</v>
      </c>
      <c r="P119" s="14">
        <f t="shared" si="87"/>
        <v>65.736762389907383</v>
      </c>
      <c r="Q119" s="22">
        <f t="shared" si="107"/>
        <v>592.03144782908828</v>
      </c>
      <c r="R119" s="60">
        <f t="shared" si="55"/>
        <v>877.47917758013091</v>
      </c>
      <c r="S119" s="60">
        <f ca="1">AVERAGE(OFFSET($R$3,0,0,'Données projet'!$E$9+1,1))-AVERAGE(OFFSET($H$3,0,0,'Données projet'!$E$9+1,1))</f>
        <v>503.64055031157477</v>
      </c>
      <c r="T119" s="60">
        <f t="shared" si="88"/>
        <v>266.76572540460842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67.849380841193437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3.4</v>
      </c>
      <c r="AI119" s="14">
        <f>IF('Données projet'!$A$62&gt;35,AI118+AH119-AQ118,IF(A119&lt;'Données projet'!$A$62,$AF$205^A119,IF(A119='Données projet'!$A$62,'Données projet'!$B$62,AI118+AH119-AQ118)))</f>
        <v>270.39999999999969</v>
      </c>
      <c r="AJ119" s="14">
        <f>AI119*VLOOKUP('Données projet'!$B$10,Paramètres!$A$1:$I$89,3,0)*VLOOKUP('Données projet'!$B$10,Paramètres!$A$1:$I$89,5,0)</f>
        <v>244.65791999999973</v>
      </c>
      <c r="AK119" s="14">
        <f t="shared" si="89"/>
        <v>59.44058075210863</v>
      </c>
      <c r="AL119" s="22">
        <f t="shared" si="58"/>
        <v>529.63822214325535</v>
      </c>
      <c r="AM119" s="60">
        <f t="shared" si="59"/>
        <v>815.08595189429798</v>
      </c>
      <c r="AN119" s="60">
        <f ca="1">AVERAGE(OFFSET($AM$3,0,0,'Données projet'!$E$10+1,1))-AVERAGE(OFFSET($H$3,0,0,'Données projet'!$E$10+1,1))</f>
        <v>456.86058467343139</v>
      </c>
      <c r="AO119" s="60">
        <f t="shared" si="90"/>
        <v>243.88495931574937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67.849380841193437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2.6923076923076867</v>
      </c>
      <c r="BD119" s="13">
        <f>IF('Données projet'!$A$88&gt;35,BD118+BC119-BL118,IF(A119&lt;'Données projet'!$A$88,$BA$205^A119,IF(A119='Données projet'!$A$88,'Données projet'!$B$88,BD118+BC119-BL118)))</f>
        <v>310.38461538461547</v>
      </c>
      <c r="BE119" s="14">
        <f>BD119*VLOOKUP('Données projet'!$B$11,Paramètres!$A$1:$I$89,3,0)*VLOOKUP('Données projet'!$B$11,Paramètres!$A$1:$I$89,5,0)</f>
        <v>324.4140000000001</v>
      </c>
      <c r="BF119" s="14">
        <f t="shared" si="91"/>
        <v>76.271038659737016</v>
      </c>
      <c r="BG119" s="22">
        <f t="shared" si="61"/>
        <v>697.85977566570875</v>
      </c>
      <c r="BH119" s="60">
        <f t="shared" si="62"/>
        <v>983.30750541675138</v>
      </c>
      <c r="BI119" s="60">
        <f ca="1">AVERAGE(OFFSET($BH$3,0,0,'Données projet'!$E$11+1,1))-AVERAGE(OFFSET($H$3,0,0,'Données projet'!$E$11+1,1))</f>
        <v>518.47226207416952</v>
      </c>
      <c r="BJ119" s="60">
        <f t="shared" si="92"/>
        <v>314.6379787306804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67.849380841193437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3.4</v>
      </c>
      <c r="BY119" s="13">
        <f>IF('Données projet'!$A$114&gt;35,BY118+BX119-CG118,IF(A119&lt;'Données projet'!$A$114,$BV$205^A119,IF(A119='Données projet'!$A$114,'Données projet'!$B$114,BY118+BX119-CG118)))</f>
        <v>270.39999999999969</v>
      </c>
      <c r="BZ119" s="14">
        <f>BY119*VLOOKUP('Données projet'!$B$12,Paramètres!$A$1:$I$89,3,0)*VLOOKUP('Données projet'!$B$12,Paramètres!$A$1:$I$89,5,0)</f>
        <v>291.05855999999966</v>
      </c>
      <c r="CA119" s="14">
        <f t="shared" si="93"/>
        <v>69.29870603564585</v>
      </c>
      <c r="CB119" s="22">
        <f t="shared" si="64"/>
        <v>627.62223834541589</v>
      </c>
      <c r="CC119" s="60">
        <f t="shared" si="65"/>
        <v>913.06996809645852</v>
      </c>
      <c r="CD119" s="60">
        <f ca="1">AVERAGE(OFFSET($CC$3,0,0,'Données projet'!$E$12+1,1))-AVERAGE(OFFSET($H$3,0,0,'Données projet'!$E$12+1,1))</f>
        <v>530.32456073177104</v>
      </c>
      <c r="CE119" s="60">
        <f t="shared" si="94"/>
        <v>279.81519428470625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67.849380841193437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3.4106051316484809E-13</v>
      </c>
      <c r="CU119" s="18">
        <f>CT119*VLOOKUP('Données projet'!$B$13,Paramètres!$A$1:$I$89,3,0)*VLOOKUP('Données projet'!$B$13,Paramètres!$A$1:$I$89,5,0)</f>
        <v>2.9795046430081134E-13</v>
      </c>
      <c r="CV119" s="14">
        <f t="shared" si="95"/>
        <v>3.9419014464513778E-12</v>
      </c>
      <c r="CW119" s="22">
        <f t="shared" si="67"/>
        <v>7.384408744560063E-12</v>
      </c>
      <c r="CX119" s="60">
        <f t="shared" si="68"/>
        <v>285.44772975104996</v>
      </c>
      <c r="CY119" s="60">
        <f ca="1">AVERAGE(OFFSET($CX$3,0,0,'Données projet'!$E$13+1,1))-AVERAGE(OFFSET($H$3,0,0,'Données projet'!$E$13+1,1))</f>
        <v>355.03862261578701</v>
      </c>
      <c r="CZ119" s="60">
        <f t="shared" si="96"/>
        <v>382.84441399266029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67.849380841193437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1.1368683772161603E-13</v>
      </c>
      <c r="DP119" s="18">
        <f>DO119*VLOOKUP('Données projet'!$B$14,Paramètres!$A$1:$I$89,3,0)*VLOOKUP('Données projet'!$B$14,Paramètres!$A$1:$I$89,5,0)</f>
        <v>8.8675733422860506E-14</v>
      </c>
      <c r="DQ119" s="14">
        <f t="shared" si="97"/>
        <v>1.3509285393066301E-12</v>
      </c>
      <c r="DR119" s="22">
        <f t="shared" si="70"/>
        <v>2.5073107750038623E-12</v>
      </c>
      <c r="DS119" s="60">
        <f t="shared" si="71"/>
        <v>285.44772975104507</v>
      </c>
      <c r="DT119" s="60">
        <f ca="1">AVERAGE(OFFSET($DS$3,0,0,'Données projet'!$E$14+1,1))-AVERAGE(OFFSET($H$3,0,0,'Données projet'!$E$14+1,1))</f>
        <v>305.68891030516761</v>
      </c>
      <c r="DU119" s="60">
        <f t="shared" si="98"/>
        <v>296.00275062228275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67.849380841193437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3.4</v>
      </c>
      <c r="EJ119" s="13">
        <f>IF('Données projet'!$A$192&gt;35,EJ118+EI119-ER118,IF(A119&lt;'Données projet'!$A$192,$EG$205^A119,IF(A119='Données projet'!$A$192,'Données projet'!$B$192,EJ118+EI119-ER118)))</f>
        <v>270.39999999999969</v>
      </c>
      <c r="EK119" s="18">
        <f>EJ119*VLOOKUP('Données projet'!$B$15,Paramètres!$A$1:$I$89,3,0)*VLOOKUP('Données projet'!$B$15,Paramètres!$A$1:$I$89,5,0)</f>
        <v>261.53087999999968</v>
      </c>
      <c r="EL119" s="14">
        <f t="shared" si="99"/>
        <v>63.048588127701258</v>
      </c>
      <c r="EM119" s="22">
        <f t="shared" si="73"/>
        <v>565.30924032241239</v>
      </c>
      <c r="EN119" s="60">
        <f t="shared" si="74"/>
        <v>850.75697007345502</v>
      </c>
      <c r="EO119" s="60">
        <f ca="1">AVERAGE(OFFSET($EN$3,0,0,'Données projet'!$E$15+1,1))-AVERAGE(OFFSET($H$3,0,0,'Données projet'!$E$15+1,1))</f>
        <v>483.60545605360528</v>
      </c>
      <c r="EP119" s="60">
        <f t="shared" si="100"/>
        <v>256.96685577560345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67.849380841193437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0" t="e">
        <f t="shared" si="77"/>
        <v>#N/A</v>
      </c>
      <c r="FJ119" s="60" t="e">
        <f ca="1">AVERAGE(OFFSET($FI$3,0,0,'Données projet'!$E$16+1,1))-AVERAGE(OFFSET($H$3,0,0,'Données projet'!$E$16+1,1))</f>
        <v>#N/A</v>
      </c>
      <c r="FK119" s="60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67.849380841193437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0" t="e">
        <f t="shared" si="80"/>
        <v>#N/A</v>
      </c>
      <c r="GE119" s="60" t="e">
        <f ca="1">AVERAGE(OFFSET($GD$3,0,0,'Données projet'!$E$17+1,1))-AVERAGE(OFFSET($H$3,0,0,'Données projet'!$E$17+1,1))</f>
        <v>#N/A</v>
      </c>
      <c r="GF119" s="60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67.849380841193437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4">
        <f>'Scénario référence'!$B$16*5+'Scénario référence'!$B$17*0+'Scénario référence'!$B$18*5</f>
        <v>3.2750000000000004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12.008333333333335</v>
      </c>
      <c r="H120" s="67">
        <f t="shared" si="56"/>
        <v>208.63333333333333</v>
      </c>
      <c r="I120" s="7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67.886689275534593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3.4</v>
      </c>
      <c r="N120" s="14">
        <f>IF('Données projet'!$A$36&gt;35,N119+M120-V119,IF(A120&lt;'Données projet'!$A$36,$K$205^A120,IF(A120='Données projet'!$A$36,'Données projet'!$B$36,N119+M120-V119)))</f>
        <v>273.79999999999967</v>
      </c>
      <c r="O120" s="14">
        <f>N120*VLOOKUP('Données projet'!$B$9,Paramètres!$A$1:$I$89,3,0)*VLOOKUP('Données projet'!$B$9,Paramètres!$A$1:$I$89,5,0)</f>
        <v>277.6331999999997</v>
      </c>
      <c r="P120" s="14">
        <f t="shared" si="87"/>
        <v>66.466589162975581</v>
      </c>
      <c r="Q120" s="22">
        <f t="shared" si="107"/>
        <v>599.30713279218196</v>
      </c>
      <c r="R120" s="60">
        <f t="shared" si="55"/>
        <v>884.89166013580882</v>
      </c>
      <c r="S120" s="60">
        <f ca="1">AVERAGE(OFFSET($R$3,0,0,'Données projet'!$E$9+1,1))-AVERAGE(OFFSET($H$3,0,0,'Données projet'!$E$9+1,1))</f>
        <v>503.64055031157477</v>
      </c>
      <c r="T120" s="60">
        <f t="shared" si="88"/>
        <v>266.76572540460842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67.886689275534593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3.4</v>
      </c>
      <c r="AI120" s="14">
        <f>IF('Données projet'!$A$62&gt;35,AI119+AH120-AQ119,IF(A120&lt;'Données projet'!$A$62,$AF$205^A120,IF(A120='Données projet'!$A$62,'Données projet'!$B$62,AI119+AH120-AQ119)))</f>
        <v>273.79999999999967</v>
      </c>
      <c r="AJ120" s="14">
        <f>AI120*VLOOKUP('Données projet'!$B$10,Paramètres!$A$1:$I$89,3,0)*VLOOKUP('Données projet'!$B$10,Paramètres!$A$1:$I$89,5,0)</f>
        <v>247.73423999999969</v>
      </c>
      <c r="AK120" s="14">
        <f t="shared" si="89"/>
        <v>60.10050566569506</v>
      </c>
      <c r="AL120" s="22">
        <f t="shared" si="58"/>
        <v>536.14551536775173</v>
      </c>
      <c r="AM120" s="60">
        <f t="shared" si="59"/>
        <v>821.73004271137859</v>
      </c>
      <c r="AN120" s="60">
        <f ca="1">AVERAGE(OFFSET($AM$3,0,0,'Données projet'!$E$10+1,1))-AVERAGE(OFFSET($H$3,0,0,'Données projet'!$E$10+1,1))</f>
        <v>456.86058467343139</v>
      </c>
      <c r="AO120" s="60">
        <f t="shared" si="90"/>
        <v>243.88495931574937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67.886689275534593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2.6923076923076867</v>
      </c>
      <c r="BD120" s="13">
        <f>IF('Données projet'!$A$88&gt;35,BD119+BC120-BL119,IF(A120&lt;'Données projet'!$A$88,$BA$205^A120,IF(A120='Données projet'!$A$88,'Données projet'!$B$88,BD119+BC120-BL119)))</f>
        <v>313.07692307692315</v>
      </c>
      <c r="BE120" s="14">
        <f>BD120*VLOOKUP('Données projet'!$B$11,Paramètres!$A$1:$I$89,3,0)*VLOOKUP('Données projet'!$B$11,Paramètres!$A$1:$I$89,5,0)</f>
        <v>327.22800000000012</v>
      </c>
      <c r="BF120" s="14">
        <f t="shared" si="91"/>
        <v>76.855319004101602</v>
      </c>
      <c r="BG120" s="22">
        <f t="shared" si="61"/>
        <v>703.7784472654771</v>
      </c>
      <c r="BH120" s="60">
        <f t="shared" si="62"/>
        <v>989.36297460910396</v>
      </c>
      <c r="BI120" s="60">
        <f ca="1">AVERAGE(OFFSET($BH$3,0,0,'Données projet'!$E$11+1,1))-AVERAGE(OFFSET($H$3,0,0,'Données projet'!$E$11+1,1))</f>
        <v>518.47226207416952</v>
      </c>
      <c r="BJ120" s="60">
        <f t="shared" si="92"/>
        <v>314.6379787306804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67.886689275534593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3.4</v>
      </c>
      <c r="BY120" s="13">
        <f>IF('Données projet'!$A$114&gt;35,BY119+BX120-CG119,IF(A120&lt;'Données projet'!$A$114,$BV$205^A120,IF(A120='Données projet'!$A$114,'Données projet'!$B$114,BY119+BX120-CG119)))</f>
        <v>273.79999999999967</v>
      </c>
      <c r="BZ120" s="14">
        <f>BY120*VLOOKUP('Données projet'!$B$12,Paramètres!$A$1:$I$89,3,0)*VLOOKUP('Données projet'!$B$12,Paramètres!$A$1:$I$89,5,0)</f>
        <v>294.71831999999966</v>
      </c>
      <c r="CA120" s="14">
        <f t="shared" si="93"/>
        <v>70.068078441056045</v>
      </c>
      <c r="CB120" s="22">
        <f t="shared" si="64"/>
        <v>635.33631061817198</v>
      </c>
      <c r="CC120" s="60">
        <f t="shared" si="65"/>
        <v>920.92083796179884</v>
      </c>
      <c r="CD120" s="60">
        <f ca="1">AVERAGE(OFFSET($CC$3,0,0,'Données projet'!$E$12+1,1))-AVERAGE(OFFSET($H$3,0,0,'Données projet'!$E$12+1,1))</f>
        <v>530.32456073177104</v>
      </c>
      <c r="CE120" s="60">
        <f t="shared" si="94"/>
        <v>279.81519428470625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67.886689275534593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3.4106051316484809E-13</v>
      </c>
      <c r="CU120" s="18">
        <f>CT120*VLOOKUP('Données projet'!$B$13,Paramètres!$A$1:$I$89,3,0)*VLOOKUP('Données projet'!$B$13,Paramètres!$A$1:$I$89,5,0)</f>
        <v>2.9795046430081134E-13</v>
      </c>
      <c r="CV120" s="14">
        <f t="shared" si="95"/>
        <v>3.9419014464513778E-12</v>
      </c>
      <c r="CW120" s="22">
        <f t="shared" si="67"/>
        <v>7.384408744560063E-12</v>
      </c>
      <c r="CX120" s="60">
        <f t="shared" si="68"/>
        <v>285.58452734363425</v>
      </c>
      <c r="CY120" s="60">
        <f ca="1">AVERAGE(OFFSET($CX$3,0,0,'Données projet'!$E$13+1,1))-AVERAGE(OFFSET($H$3,0,0,'Données projet'!$E$13+1,1))</f>
        <v>355.03862261578701</v>
      </c>
      <c r="CZ120" s="60">
        <f t="shared" si="96"/>
        <v>382.84441399266029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67.886689275534593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1.1368683772161603E-13</v>
      </c>
      <c r="DP120" s="18">
        <f>DO120*VLOOKUP('Données projet'!$B$14,Paramètres!$A$1:$I$89,3,0)*VLOOKUP('Données projet'!$B$14,Paramètres!$A$1:$I$89,5,0)</f>
        <v>8.8675733422860506E-14</v>
      </c>
      <c r="DQ120" s="14">
        <f t="shared" si="97"/>
        <v>1.3509285393066301E-12</v>
      </c>
      <c r="DR120" s="22">
        <f t="shared" si="70"/>
        <v>2.5073107750038623E-12</v>
      </c>
      <c r="DS120" s="60">
        <f t="shared" si="71"/>
        <v>285.58452734362936</v>
      </c>
      <c r="DT120" s="60">
        <f ca="1">AVERAGE(OFFSET($DS$3,0,0,'Données projet'!$E$14+1,1))-AVERAGE(OFFSET($H$3,0,0,'Données projet'!$E$14+1,1))</f>
        <v>305.68891030516761</v>
      </c>
      <c r="DU120" s="60">
        <f t="shared" si="98"/>
        <v>296.00275062228275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67.886689275534593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3.4</v>
      </c>
      <c r="EJ120" s="13">
        <f>IF('Données projet'!$A$192&gt;35,EJ119+EI120-ER119,IF(A120&lt;'Données projet'!$A$192,$EG$205^A120,IF(A120='Données projet'!$A$192,'Données projet'!$B$192,EJ119+EI120-ER119)))</f>
        <v>273.79999999999967</v>
      </c>
      <c r="EK120" s="18">
        <f>EJ120*VLOOKUP('Données projet'!$B$15,Paramètres!$A$1:$I$89,3,0)*VLOOKUP('Données projet'!$B$15,Paramètres!$A$1:$I$89,5,0)</f>
        <v>264.81935999999968</v>
      </c>
      <c r="EL120" s="14">
        <f t="shared" si="99"/>
        <v>63.748570085237006</v>
      </c>
      <c r="EM120" s="22">
        <f t="shared" si="73"/>
        <v>572.25581156512055</v>
      </c>
      <c r="EN120" s="60">
        <f t="shared" si="74"/>
        <v>857.84033890874741</v>
      </c>
      <c r="EO120" s="60">
        <f ca="1">AVERAGE(OFFSET($EN$3,0,0,'Données projet'!$E$15+1,1))-AVERAGE(OFFSET($H$3,0,0,'Données projet'!$E$15+1,1))</f>
        <v>483.60545605360528</v>
      </c>
      <c r="EP120" s="60">
        <f t="shared" si="100"/>
        <v>256.96685577560345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67.886689275534593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0" t="e">
        <f t="shared" si="77"/>
        <v>#N/A</v>
      </c>
      <c r="FJ120" s="60" t="e">
        <f ca="1">AVERAGE(OFFSET($FI$3,0,0,'Données projet'!$E$16+1,1))-AVERAGE(OFFSET($H$3,0,0,'Données projet'!$E$16+1,1))</f>
        <v>#N/A</v>
      </c>
      <c r="FK120" s="60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67.886689275534593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0" t="e">
        <f t="shared" si="80"/>
        <v>#N/A</v>
      </c>
      <c r="GE120" s="60" t="e">
        <f ca="1">AVERAGE(OFFSET($GD$3,0,0,'Données projet'!$E$17+1,1))-AVERAGE(OFFSET($H$3,0,0,'Données projet'!$E$17+1,1))</f>
        <v>#N/A</v>
      </c>
      <c r="GF120" s="60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67.886689275534593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4">
        <f>'Scénario référence'!$B$16*5+'Scénario référence'!$B$17*0+'Scénario référence'!$B$18*5</f>
        <v>3.2750000000000004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12.008333333333335</v>
      </c>
      <c r="H121" s="67">
        <f t="shared" si="56"/>
        <v>208.63333333333333</v>
      </c>
      <c r="I121" s="7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67.92335049194908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3.4</v>
      </c>
      <c r="N121" s="14">
        <f>IF('Données projet'!$A$36&gt;35,N120+M121-V120,IF(A121&lt;'Données projet'!$A$36,$K$205^A121,IF(A121='Données projet'!$A$36,'Données projet'!$B$36,N120+M121-V120)))</f>
        <v>277.19999999999965</v>
      </c>
      <c r="O121" s="14">
        <f>N121*VLOOKUP('Données projet'!$B$9,Paramètres!$A$1:$I$89,3,0)*VLOOKUP('Données projet'!$B$9,Paramètres!$A$1:$I$89,5,0)</f>
        <v>281.08079999999967</v>
      </c>
      <c r="P121" s="14">
        <f t="shared" si="87"/>
        <v>67.195361752546063</v>
      </c>
      <c r="Q121" s="22">
        <f t="shared" si="107"/>
        <v>606.58098171901713</v>
      </c>
      <c r="R121" s="60">
        <f t="shared" si="55"/>
        <v>892.29993352283043</v>
      </c>
      <c r="S121" s="60">
        <f ca="1">AVERAGE(OFFSET($R$3,0,0,'Données projet'!$E$9+1,1))-AVERAGE(OFFSET($H$3,0,0,'Données projet'!$E$9+1,1))</f>
        <v>503.64055031157477</v>
      </c>
      <c r="T121" s="60">
        <f t="shared" si="88"/>
        <v>266.76572540460842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67.92335049194908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3.4</v>
      </c>
      <c r="AI121" s="14">
        <f>IF('Données projet'!$A$62&gt;35,AI120+AH121-AQ120,IF(A121&lt;'Données projet'!$A$62,$AF$205^A121,IF(A121='Données projet'!$A$62,'Données projet'!$B$62,AI120+AH121-AQ120)))</f>
        <v>277.19999999999965</v>
      </c>
      <c r="AJ121" s="14">
        <f>AI121*VLOOKUP('Données projet'!$B$10,Paramètres!$A$1:$I$89,3,0)*VLOOKUP('Données projet'!$B$10,Paramètres!$A$1:$I$89,5,0)</f>
        <v>250.81055999999967</v>
      </c>
      <c r="AK121" s="14">
        <f t="shared" si="89"/>
        <v>60.759477364108633</v>
      </c>
      <c r="AL121" s="22">
        <f t="shared" si="58"/>
        <v>542.65114840915533</v>
      </c>
      <c r="AM121" s="60">
        <f t="shared" si="59"/>
        <v>828.37010021296862</v>
      </c>
      <c r="AN121" s="60">
        <f ca="1">AVERAGE(OFFSET($AM$3,0,0,'Données projet'!$E$10+1,1))-AVERAGE(OFFSET($H$3,0,0,'Données projet'!$E$10+1,1))</f>
        <v>456.86058467343139</v>
      </c>
      <c r="AO121" s="60">
        <f t="shared" si="90"/>
        <v>243.88495931574937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67.92335049194908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2.6923076923076867</v>
      </c>
      <c r="BD121" s="13">
        <f>IF('Données projet'!$A$88&gt;35,BD120+BC121-BL120,IF(A121&lt;'Données projet'!$A$88,$BA$205^A121,IF(A121='Données projet'!$A$88,'Données projet'!$B$88,BD120+BC121-BL120)))</f>
        <v>315.76923076923083</v>
      </c>
      <c r="BE121" s="14">
        <f>BD121*VLOOKUP('Données projet'!$B$11,Paramètres!$A$1:$I$89,3,0)*VLOOKUP('Données projet'!$B$11,Paramètres!$A$1:$I$89,5,0)</f>
        <v>330.04200000000009</v>
      </c>
      <c r="BF121" s="14">
        <f t="shared" si="91"/>
        <v>77.439014778886985</v>
      </c>
      <c r="BG121" s="22">
        <f t="shared" si="61"/>
        <v>709.69610073989497</v>
      </c>
      <c r="BH121" s="60">
        <f t="shared" si="62"/>
        <v>995.41505254370827</v>
      </c>
      <c r="BI121" s="60">
        <f ca="1">AVERAGE(OFFSET($BH$3,0,0,'Données projet'!$E$11+1,1))-AVERAGE(OFFSET($H$3,0,0,'Données projet'!$E$11+1,1))</f>
        <v>518.47226207416952</v>
      </c>
      <c r="BJ121" s="60">
        <f t="shared" si="92"/>
        <v>314.6379787306804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67.92335049194908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3.4</v>
      </c>
      <c r="BY121" s="13">
        <f>IF('Données projet'!$A$114&gt;35,BY120+BX121-CG120,IF(A121&lt;'Données projet'!$A$114,$BV$205^A121,IF(A121='Données projet'!$A$114,'Données projet'!$B$114,BY120+BX121-CG120)))</f>
        <v>277.19999999999965</v>
      </c>
      <c r="BZ121" s="14">
        <f>BY121*VLOOKUP('Données projet'!$B$12,Paramètres!$A$1:$I$89,3,0)*VLOOKUP('Données projet'!$B$12,Paramètres!$A$1:$I$89,5,0)</f>
        <v>298.37807999999961</v>
      </c>
      <c r="CA121" s="14">
        <f t="shared" si="93"/>
        <v>70.83633954208085</v>
      </c>
      <c r="CB121" s="22">
        <f t="shared" si="64"/>
        <v>643.04844736912344</v>
      </c>
      <c r="CC121" s="60">
        <f t="shared" si="65"/>
        <v>928.76739917293673</v>
      </c>
      <c r="CD121" s="60">
        <f ca="1">AVERAGE(OFFSET($CC$3,0,0,'Données projet'!$E$12+1,1))-AVERAGE(OFFSET($H$3,0,0,'Données projet'!$E$12+1,1))</f>
        <v>530.32456073177104</v>
      </c>
      <c r="CE121" s="60">
        <f t="shared" si="94"/>
        <v>279.81519428470625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67.92335049194908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3.4106051316484809E-13</v>
      </c>
      <c r="CU121" s="18">
        <f>CT121*VLOOKUP('Données projet'!$B$13,Paramètres!$A$1:$I$89,3,0)*VLOOKUP('Données projet'!$B$13,Paramètres!$A$1:$I$89,5,0)</f>
        <v>2.9795046430081134E-13</v>
      </c>
      <c r="CV121" s="14">
        <f t="shared" si="95"/>
        <v>3.9419014464513778E-12</v>
      </c>
      <c r="CW121" s="22">
        <f t="shared" si="67"/>
        <v>7.384408744560063E-12</v>
      </c>
      <c r="CX121" s="60">
        <f t="shared" si="68"/>
        <v>285.71895180382069</v>
      </c>
      <c r="CY121" s="60">
        <f ca="1">AVERAGE(OFFSET($CX$3,0,0,'Données projet'!$E$13+1,1))-AVERAGE(OFFSET($H$3,0,0,'Données projet'!$E$13+1,1))</f>
        <v>355.03862261578701</v>
      </c>
      <c r="CZ121" s="60">
        <f t="shared" si="96"/>
        <v>382.84441399266029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67.92335049194908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1.1368683772161603E-13</v>
      </c>
      <c r="DP121" s="18">
        <f>DO121*VLOOKUP('Données projet'!$B$14,Paramètres!$A$1:$I$89,3,0)*VLOOKUP('Données projet'!$B$14,Paramètres!$A$1:$I$89,5,0)</f>
        <v>8.8675733422860506E-14</v>
      </c>
      <c r="DQ121" s="14">
        <f t="shared" si="97"/>
        <v>1.3509285393066301E-12</v>
      </c>
      <c r="DR121" s="22">
        <f t="shared" si="70"/>
        <v>2.5073107750038623E-12</v>
      </c>
      <c r="DS121" s="60">
        <f t="shared" si="71"/>
        <v>285.7189518038158</v>
      </c>
      <c r="DT121" s="60">
        <f ca="1">AVERAGE(OFFSET($DS$3,0,0,'Données projet'!$E$14+1,1))-AVERAGE(OFFSET($H$3,0,0,'Données projet'!$E$14+1,1))</f>
        <v>305.68891030516761</v>
      </c>
      <c r="DU121" s="60">
        <f t="shared" si="98"/>
        <v>296.00275062228275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67.92335049194908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3.4</v>
      </c>
      <c r="EJ121" s="13">
        <f>IF('Données projet'!$A$192&gt;35,EJ120+EI121-ER120,IF(A121&lt;'Données projet'!$A$192,$EG$205^A121,IF(A121='Données projet'!$A$192,'Données projet'!$B$192,EJ120+EI121-ER120)))</f>
        <v>277.19999999999965</v>
      </c>
      <c r="EK121" s="18">
        <f>EJ121*VLOOKUP('Données projet'!$B$15,Paramètres!$A$1:$I$89,3,0)*VLOOKUP('Données projet'!$B$15,Paramètres!$A$1:$I$89,5,0)</f>
        <v>268.10783999999967</v>
      </c>
      <c r="EL121" s="14">
        <f t="shared" si="99"/>
        <v>64.447540968014124</v>
      </c>
      <c r="EM121" s="22">
        <f t="shared" si="73"/>
        <v>579.20062185262395</v>
      </c>
      <c r="EN121" s="60">
        <f t="shared" si="74"/>
        <v>864.91957365643725</v>
      </c>
      <c r="EO121" s="60">
        <f ca="1">AVERAGE(OFFSET($EN$3,0,0,'Données projet'!$E$15+1,1))-AVERAGE(OFFSET($H$3,0,0,'Données projet'!$E$15+1,1))</f>
        <v>483.60545605360528</v>
      </c>
      <c r="EP121" s="60">
        <f t="shared" si="100"/>
        <v>256.96685577560345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67.92335049194908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0" t="e">
        <f t="shared" si="77"/>
        <v>#N/A</v>
      </c>
      <c r="FJ121" s="60" t="e">
        <f ca="1">AVERAGE(OFFSET($FI$3,0,0,'Données projet'!$E$16+1,1))-AVERAGE(OFFSET($H$3,0,0,'Données projet'!$E$16+1,1))</f>
        <v>#N/A</v>
      </c>
      <c r="FK121" s="60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67.92335049194908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0" t="e">
        <f t="shared" si="80"/>
        <v>#N/A</v>
      </c>
      <c r="GE121" s="60" t="e">
        <f ca="1">AVERAGE(OFFSET($GD$3,0,0,'Données projet'!$E$17+1,1))-AVERAGE(OFFSET($H$3,0,0,'Données projet'!$E$17+1,1))</f>
        <v>#N/A</v>
      </c>
      <c r="GF121" s="60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67.92335049194908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4">
        <f>'Scénario référence'!$B$16*5+'Scénario référence'!$B$17*0+'Scénario référence'!$B$18*5</f>
        <v>3.2750000000000004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12.008333333333335</v>
      </c>
      <c r="H122" s="67">
        <f t="shared" si="56"/>
        <v>208.63333333333333</v>
      </c>
      <c r="I122" s="7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67.959375718220983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3.4</v>
      </c>
      <c r="N122" s="14">
        <f>IF('Données projet'!$A$36&gt;35,N121+M122-V121,IF(A122&lt;'Données projet'!$A$36,$K$205^A122,IF(A122='Données projet'!$A$36,'Données projet'!$B$36,N121+M122-V121)))</f>
        <v>280.59999999999962</v>
      </c>
      <c r="O122" s="14">
        <f>N122*VLOOKUP('Données projet'!$B$9,Paramètres!$A$1:$I$89,3,0)*VLOOKUP('Données projet'!$B$9,Paramètres!$A$1:$I$89,5,0)</f>
        <v>284.52839999999964</v>
      </c>
      <c r="P122" s="14">
        <f t="shared" si="87"/>
        <v>67.923094584210816</v>
      </c>
      <c r="Q122" s="22">
        <f t="shared" si="107"/>
        <v>613.85301973416642</v>
      </c>
      <c r="R122" s="60">
        <f t="shared" si="55"/>
        <v>899.70406403431002</v>
      </c>
      <c r="S122" s="60">
        <f ca="1">AVERAGE(OFFSET($R$3,0,0,'Données projet'!$E$9+1,1))-AVERAGE(OFFSET($H$3,0,0,'Données projet'!$E$9+1,1))</f>
        <v>503.64055031157477</v>
      </c>
      <c r="T122" s="60">
        <f t="shared" si="88"/>
        <v>266.76572540460842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67.959375718220983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3.4</v>
      </c>
      <c r="AI122" s="14">
        <f>IF('Données projet'!$A$62&gt;35,AI121+AH122-AQ121,IF(A122&lt;'Données projet'!$A$62,$AF$205^A122,IF(A122='Données projet'!$A$62,'Données projet'!$B$62,AI121+AH122-AQ121)))</f>
        <v>280.59999999999962</v>
      </c>
      <c r="AJ122" s="14">
        <f>AI122*VLOOKUP('Données projet'!$B$10,Paramètres!$A$1:$I$89,3,0)*VLOOKUP('Données projet'!$B$10,Paramètres!$A$1:$I$89,5,0)</f>
        <v>253.88687999999965</v>
      </c>
      <c r="AK122" s="14">
        <f t="shared" si="89"/>
        <v>61.417508891276917</v>
      </c>
      <c r="AL122" s="22">
        <f t="shared" si="58"/>
        <v>549.15514398563994</v>
      </c>
      <c r="AM122" s="60">
        <f t="shared" si="59"/>
        <v>835.00618828578354</v>
      </c>
      <c r="AN122" s="60">
        <f ca="1">AVERAGE(OFFSET($AM$3,0,0,'Données projet'!$E$10+1,1))-AVERAGE(OFFSET($H$3,0,0,'Données projet'!$E$10+1,1))</f>
        <v>456.86058467343139</v>
      </c>
      <c r="AO122" s="60">
        <f t="shared" si="90"/>
        <v>243.88495931574937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67.959375718220983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2.6923076923076867</v>
      </c>
      <c r="BD122" s="13">
        <f>IF('Données projet'!$A$88&gt;35,BD121+BC122-BL121,IF(A122&lt;'Données projet'!$A$88,$BA$205^A122,IF(A122='Données projet'!$A$88,'Données projet'!$B$88,BD121+BC122-BL121)))</f>
        <v>318.46153846153851</v>
      </c>
      <c r="BE122" s="14">
        <f>BD122*VLOOKUP('Données projet'!$B$11,Paramètres!$A$1:$I$89,3,0)*VLOOKUP('Données projet'!$B$11,Paramètres!$A$1:$I$89,5,0)</f>
        <v>332.85600000000011</v>
      </c>
      <c r="BF122" s="14">
        <f t="shared" si="91"/>
        <v>78.022131545773092</v>
      </c>
      <c r="BG122" s="22">
        <f t="shared" si="61"/>
        <v>715.61274577555503</v>
      </c>
      <c r="BH122" s="60">
        <f t="shared" si="62"/>
        <v>1001.4637900756986</v>
      </c>
      <c r="BI122" s="60">
        <f ca="1">AVERAGE(OFFSET($BH$3,0,0,'Données projet'!$E$11+1,1))-AVERAGE(OFFSET($H$3,0,0,'Données projet'!$E$11+1,1))</f>
        <v>518.47226207416952</v>
      </c>
      <c r="BJ122" s="60">
        <f t="shared" si="92"/>
        <v>314.6379787306804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67.959375718220983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3.4</v>
      </c>
      <c r="BY122" s="13">
        <f>IF('Données projet'!$A$114&gt;35,BY121+BX122-CG121,IF(A122&lt;'Données projet'!$A$114,$BV$205^A122,IF(A122='Données projet'!$A$114,'Données projet'!$B$114,BY121+BX122-CG121)))</f>
        <v>280.59999999999962</v>
      </c>
      <c r="BZ122" s="14">
        <f>BY122*VLOOKUP('Données projet'!$B$12,Paramètres!$A$1:$I$89,3,0)*VLOOKUP('Données projet'!$B$12,Paramètres!$A$1:$I$89,5,0)</f>
        <v>302.03783999999956</v>
      </c>
      <c r="CA122" s="14">
        <f t="shared" si="93"/>
        <v>71.603504545962551</v>
      </c>
      <c r="CB122" s="22">
        <f t="shared" si="64"/>
        <v>650.75867508421732</v>
      </c>
      <c r="CC122" s="60">
        <f t="shared" si="65"/>
        <v>936.60971938436091</v>
      </c>
      <c r="CD122" s="60">
        <f ca="1">AVERAGE(OFFSET($CC$3,0,0,'Données projet'!$E$12+1,1))-AVERAGE(OFFSET($H$3,0,0,'Données projet'!$E$12+1,1))</f>
        <v>530.32456073177104</v>
      </c>
      <c r="CE122" s="60">
        <f t="shared" si="94"/>
        <v>279.81519428470625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67.959375718220983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3.4106051316484809E-13</v>
      </c>
      <c r="CU122" s="18">
        <f>CT122*VLOOKUP('Données projet'!$B$13,Paramètres!$A$1:$I$89,3,0)*VLOOKUP('Données projet'!$B$13,Paramètres!$A$1:$I$89,5,0)</f>
        <v>2.9795046430081134E-13</v>
      </c>
      <c r="CV122" s="14">
        <f t="shared" si="95"/>
        <v>3.9419014464513778E-12</v>
      </c>
      <c r="CW122" s="22">
        <f t="shared" si="67"/>
        <v>7.384408744560063E-12</v>
      </c>
      <c r="CX122" s="60">
        <f t="shared" si="68"/>
        <v>285.85104430015099</v>
      </c>
      <c r="CY122" s="60">
        <f ca="1">AVERAGE(OFFSET($CX$3,0,0,'Données projet'!$E$13+1,1))-AVERAGE(OFFSET($H$3,0,0,'Données projet'!$E$13+1,1))</f>
        <v>355.03862261578701</v>
      </c>
      <c r="CZ122" s="60">
        <f t="shared" si="96"/>
        <v>382.84441399266029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67.959375718220983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1.1368683772161603E-13</v>
      </c>
      <c r="DP122" s="18">
        <f>DO122*VLOOKUP('Données projet'!$B$14,Paramètres!$A$1:$I$89,3,0)*VLOOKUP('Données projet'!$B$14,Paramètres!$A$1:$I$89,5,0)</f>
        <v>8.8675733422860506E-14</v>
      </c>
      <c r="DQ122" s="14">
        <f t="shared" si="97"/>
        <v>1.3509285393066301E-12</v>
      </c>
      <c r="DR122" s="22">
        <f t="shared" si="70"/>
        <v>2.5073107750038623E-12</v>
      </c>
      <c r="DS122" s="60">
        <f t="shared" si="71"/>
        <v>285.8510443001461</v>
      </c>
      <c r="DT122" s="60">
        <f ca="1">AVERAGE(OFFSET($DS$3,0,0,'Données projet'!$E$14+1,1))-AVERAGE(OFFSET($H$3,0,0,'Données projet'!$E$14+1,1))</f>
        <v>305.68891030516761</v>
      </c>
      <c r="DU122" s="60">
        <f t="shared" si="98"/>
        <v>296.00275062228275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67.959375718220983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3.4</v>
      </c>
      <c r="EJ122" s="13">
        <f>IF('Données projet'!$A$192&gt;35,EJ121+EI122-ER121,IF(A122&lt;'Données projet'!$A$192,$EG$205^A122,IF(A122='Données projet'!$A$192,'Données projet'!$B$192,EJ121+EI122-ER121)))</f>
        <v>280.59999999999962</v>
      </c>
      <c r="EK122" s="18">
        <f>EJ122*VLOOKUP('Données projet'!$B$15,Paramètres!$A$1:$I$89,3,0)*VLOOKUP('Données projet'!$B$15,Paramètres!$A$1:$I$89,5,0)</f>
        <v>271.3963199999996</v>
      </c>
      <c r="EL122" s="14">
        <f t="shared" si="99"/>
        <v>65.145514611718866</v>
      </c>
      <c r="EM122" s="22">
        <f t="shared" si="73"/>
        <v>586.14369528207624</v>
      </c>
      <c r="EN122" s="60">
        <f t="shared" si="74"/>
        <v>871.99473958221984</v>
      </c>
      <c r="EO122" s="60">
        <f ca="1">AVERAGE(OFFSET($EN$3,0,0,'Données projet'!$E$15+1,1))-AVERAGE(OFFSET($H$3,0,0,'Données projet'!$E$15+1,1))</f>
        <v>483.60545605360528</v>
      </c>
      <c r="EP122" s="60">
        <f t="shared" si="100"/>
        <v>256.96685577560345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67.959375718220983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0" t="e">
        <f t="shared" si="77"/>
        <v>#N/A</v>
      </c>
      <c r="FJ122" s="60" t="e">
        <f ca="1">AVERAGE(OFFSET($FI$3,0,0,'Données projet'!$E$16+1,1))-AVERAGE(OFFSET($H$3,0,0,'Données projet'!$E$16+1,1))</f>
        <v>#N/A</v>
      </c>
      <c r="FK122" s="60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67.959375718220983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0" t="e">
        <f t="shared" si="80"/>
        <v>#N/A</v>
      </c>
      <c r="GE122" s="60" t="e">
        <f ca="1">AVERAGE(OFFSET($GD$3,0,0,'Données projet'!$E$17+1,1))-AVERAGE(OFFSET($H$3,0,0,'Données projet'!$E$17+1,1))</f>
        <v>#N/A</v>
      </c>
      <c r="GF122" s="60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67.959375718220983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4">
        <f>'Scénario référence'!$B$16*5+'Scénario référence'!$B$17*0+'Scénario référence'!$B$18*5</f>
        <v>3.2750000000000004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12.008333333333335</v>
      </c>
      <c r="H123" s="67">
        <f t="shared" si="56"/>
        <v>208.63333333333333</v>
      </c>
      <c r="I123" s="7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67.994775987357428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3.4</v>
      </c>
      <c r="N123" s="14">
        <f>IF('Données projet'!$A$36&gt;35,N122+M123-V122,IF(A123&lt;'Données projet'!$A$36,$K$205^A123,IF(A123='Données projet'!$A$36,'Données projet'!$B$36,N122+M123-V122)))</f>
        <v>283.9999999999996</v>
      </c>
      <c r="O123" s="14">
        <f>N123*VLOOKUP('Données projet'!$B$9,Paramètres!$A$1:$I$89,3,0)*VLOOKUP('Données projet'!$B$9,Paramètres!$A$1:$I$89,5,0)</f>
        <v>287.9759999999996</v>
      </c>
      <c r="P123" s="14">
        <f t="shared" si="87"/>
        <v>68.649801713863027</v>
      </c>
      <c r="Q123" s="22">
        <f t="shared" si="107"/>
        <v>621.1232713183108</v>
      </c>
      <c r="R123" s="60">
        <f t="shared" si="55"/>
        <v>907.10411660528803</v>
      </c>
      <c r="S123" s="60">
        <f ca="1">AVERAGE(OFFSET($R$3,0,0,'Données projet'!$E$9+1,1))-AVERAGE(OFFSET($H$3,0,0,'Données projet'!$E$9+1,1))</f>
        <v>503.64055031157477</v>
      </c>
      <c r="T123" s="60">
        <f t="shared" si="88"/>
        <v>266.76572540460842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67.994775987357428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3.4</v>
      </c>
      <c r="AI123" s="14">
        <f>IF('Données projet'!$A$62&gt;35,AI122+AH123-AQ122,IF(A123&lt;'Données projet'!$A$62,$AF$205^A123,IF(A123='Données projet'!$A$62,'Données projet'!$B$62,AI122+AH123-AQ122)))</f>
        <v>283.9999999999996</v>
      </c>
      <c r="AJ123" s="14">
        <f>AI123*VLOOKUP('Données projet'!$B$10,Paramètres!$A$1:$I$89,3,0)*VLOOKUP('Données projet'!$B$10,Paramètres!$A$1:$I$89,5,0)</f>
        <v>256.96319999999963</v>
      </c>
      <c r="AK123" s="14">
        <f t="shared" si="89"/>
        <v>62.07461295683791</v>
      </c>
      <c r="AL123" s="22">
        <f t="shared" si="58"/>
        <v>555.65752423315882</v>
      </c>
      <c r="AM123" s="60">
        <f t="shared" si="59"/>
        <v>841.63836952013605</v>
      </c>
      <c r="AN123" s="60">
        <f ca="1">AVERAGE(OFFSET($AM$3,0,0,'Données projet'!$E$10+1,1))-AVERAGE(OFFSET($H$3,0,0,'Données projet'!$E$10+1,1))</f>
        <v>456.86058467343139</v>
      </c>
      <c r="AO123" s="60">
        <f t="shared" si="90"/>
        <v>243.88495931574937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67.994775987357428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2.6923076923076867</v>
      </c>
      <c r="BD123" s="13">
        <f>IF('Données projet'!$A$88&gt;35,BD122+BC123-BL122,IF(A123&lt;'Données projet'!$A$88,$BA$205^A123,IF(A123='Données projet'!$A$88,'Données projet'!$B$88,BD122+BC123-BL122)))</f>
        <v>321.15384615384619</v>
      </c>
      <c r="BE123" s="14">
        <f>BD123*VLOOKUP('Données projet'!$B$11,Paramètres!$A$1:$I$89,3,0)*VLOOKUP('Données projet'!$B$11,Paramètres!$A$1:$I$89,5,0)</f>
        <v>335.67000000000007</v>
      </c>
      <c r="BF123" s="14">
        <f t="shared" si="91"/>
        <v>78.604674766974313</v>
      </c>
      <c r="BG123" s="22">
        <f t="shared" si="61"/>
        <v>721.52839188581368</v>
      </c>
      <c r="BH123" s="60">
        <f t="shared" si="62"/>
        <v>1007.5092371727909</v>
      </c>
      <c r="BI123" s="60">
        <f ca="1">AVERAGE(OFFSET($BH$3,0,0,'Données projet'!$E$11+1,1))-AVERAGE(OFFSET($H$3,0,0,'Données projet'!$E$11+1,1))</f>
        <v>518.47226207416952</v>
      </c>
      <c r="BJ123" s="60">
        <f t="shared" si="92"/>
        <v>314.6379787306804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67.994775987357428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3.4</v>
      </c>
      <c r="BY123" s="13">
        <f>IF('Données projet'!$A$114&gt;35,BY122+BX123-CG122,IF(A123&lt;'Données projet'!$A$114,$BV$205^A123,IF(A123='Données projet'!$A$114,'Données projet'!$B$114,BY122+BX123-CG122)))</f>
        <v>283.9999999999996</v>
      </c>
      <c r="BZ123" s="14">
        <f>BY123*VLOOKUP('Données projet'!$B$12,Paramètres!$A$1:$I$89,3,0)*VLOOKUP('Données projet'!$B$12,Paramètres!$A$1:$I$89,5,0)</f>
        <v>305.69759999999957</v>
      </c>
      <c r="CA123" s="14">
        <f t="shared" si="93"/>
        <v>72.36958827021229</v>
      </c>
      <c r="CB123" s="22">
        <f t="shared" si="64"/>
        <v>658.46701957061907</v>
      </c>
      <c r="CC123" s="60">
        <f t="shared" si="65"/>
        <v>944.4478648575963</v>
      </c>
      <c r="CD123" s="60">
        <f ca="1">AVERAGE(OFFSET($CC$3,0,0,'Données projet'!$E$12+1,1))-AVERAGE(OFFSET($H$3,0,0,'Données projet'!$E$12+1,1))</f>
        <v>530.32456073177104</v>
      </c>
      <c r="CE123" s="60">
        <f t="shared" si="94"/>
        <v>279.81519428470625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67.994775987357428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3.4106051316484809E-13</v>
      </c>
      <c r="CU123" s="18">
        <f>CT123*VLOOKUP('Données projet'!$B$13,Paramètres!$A$1:$I$89,3,0)*VLOOKUP('Données projet'!$B$13,Paramètres!$A$1:$I$89,5,0)</f>
        <v>2.9795046430081134E-13</v>
      </c>
      <c r="CV123" s="14">
        <f t="shared" si="95"/>
        <v>3.9419014464513778E-12</v>
      </c>
      <c r="CW123" s="22">
        <f t="shared" si="67"/>
        <v>7.384408744560063E-12</v>
      </c>
      <c r="CX123" s="60">
        <f t="shared" si="68"/>
        <v>285.98084528698462</v>
      </c>
      <c r="CY123" s="60">
        <f ca="1">AVERAGE(OFFSET($CX$3,0,0,'Données projet'!$E$13+1,1))-AVERAGE(OFFSET($H$3,0,0,'Données projet'!$E$13+1,1))</f>
        <v>355.03862261578701</v>
      </c>
      <c r="CZ123" s="60">
        <f t="shared" si="96"/>
        <v>382.84441399266029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67.994775987357428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1.1368683772161603E-13</v>
      </c>
      <c r="DP123" s="18">
        <f>DO123*VLOOKUP('Données projet'!$B$14,Paramètres!$A$1:$I$89,3,0)*VLOOKUP('Données projet'!$B$14,Paramètres!$A$1:$I$89,5,0)</f>
        <v>8.8675733422860506E-14</v>
      </c>
      <c r="DQ123" s="14">
        <f t="shared" si="97"/>
        <v>1.3509285393066301E-12</v>
      </c>
      <c r="DR123" s="22">
        <f t="shared" si="70"/>
        <v>2.5073107750038623E-12</v>
      </c>
      <c r="DS123" s="60">
        <f t="shared" si="71"/>
        <v>285.98084528697973</v>
      </c>
      <c r="DT123" s="60">
        <f ca="1">AVERAGE(OFFSET($DS$3,0,0,'Données projet'!$E$14+1,1))-AVERAGE(OFFSET($H$3,0,0,'Données projet'!$E$14+1,1))</f>
        <v>305.68891030516761</v>
      </c>
      <c r="DU123" s="60">
        <f t="shared" si="98"/>
        <v>296.00275062228275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67.994775987357428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3.4</v>
      </c>
      <c r="EJ123" s="13">
        <f>IF('Données projet'!$A$192&gt;35,EJ122+EI123-ER122,IF(A123&lt;'Données projet'!$A$192,$EG$205^A123,IF(A123='Données projet'!$A$192,'Données projet'!$B$192,EJ122+EI123-ER122)))</f>
        <v>283.9999999999996</v>
      </c>
      <c r="EK123" s="18">
        <f>EJ123*VLOOKUP('Données projet'!$B$15,Paramètres!$A$1:$I$89,3,0)*VLOOKUP('Données projet'!$B$15,Paramètres!$A$1:$I$89,5,0)</f>
        <v>274.68479999999965</v>
      </c>
      <c r="EL123" s="14">
        <f t="shared" si="99"/>
        <v>65.842504497456602</v>
      </c>
      <c r="EM123" s="22">
        <f t="shared" si="73"/>
        <v>593.08505533306959</v>
      </c>
      <c r="EN123" s="60">
        <f t="shared" si="74"/>
        <v>879.06590062004682</v>
      </c>
      <c r="EO123" s="60">
        <f ca="1">AVERAGE(OFFSET($EN$3,0,0,'Données projet'!$E$15+1,1))-AVERAGE(OFFSET($H$3,0,0,'Données projet'!$E$15+1,1))</f>
        <v>483.60545605360528</v>
      </c>
      <c r="EP123" s="60">
        <f t="shared" si="100"/>
        <v>256.96685577560345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67.994775987357428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0" t="e">
        <f t="shared" si="77"/>
        <v>#N/A</v>
      </c>
      <c r="FJ123" s="60" t="e">
        <f ca="1">AVERAGE(OFFSET($FI$3,0,0,'Données projet'!$E$16+1,1))-AVERAGE(OFFSET($H$3,0,0,'Données projet'!$E$16+1,1))</f>
        <v>#N/A</v>
      </c>
      <c r="FK123" s="60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67.994775987357428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0" t="e">
        <f t="shared" si="80"/>
        <v>#N/A</v>
      </c>
      <c r="GE123" s="60" t="e">
        <f ca="1">AVERAGE(OFFSET($GD$3,0,0,'Données projet'!$E$17+1,1))-AVERAGE(OFFSET($H$3,0,0,'Données projet'!$E$17+1,1))</f>
        <v>#N/A</v>
      </c>
      <c r="GF123" s="60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67.994775987357428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4">
        <f>'Scénario référence'!$B$16*5+'Scénario référence'!$B$17*0+'Scénario référence'!$B$18*5</f>
        <v>3.2750000000000004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12.008333333333335</v>
      </c>
      <c r="H124" s="67">
        <f t="shared" si="56"/>
        <v>208.63333333333333</v>
      </c>
      <c r="I124" s="7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68.029562140967485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3.4</v>
      </c>
      <c r="N124" s="14">
        <f>IF('Données projet'!$A$36&gt;35,N123+M124-V123,IF(A124&lt;'Données projet'!$A$36,$K$205^A124,IF(A124='Données projet'!$A$36,'Données projet'!$B$36,N123+M124-V123)))</f>
        <v>287.39999999999958</v>
      </c>
      <c r="O124" s="14">
        <f>N124*VLOOKUP('Données projet'!$B$9,Paramètres!$A$1:$I$89,3,0)*VLOOKUP('Données projet'!$B$9,Paramètres!$A$1:$I$89,5,0)</f>
        <v>291.42359999999962</v>
      </c>
      <c r="P124" s="14">
        <f t="shared" si="87"/>
        <v>69.375496841482104</v>
      </c>
      <c r="Q124" s="22">
        <f t="shared" si="107"/>
        <v>628.39176033224737</v>
      </c>
      <c r="R124" s="60">
        <f t="shared" si="55"/>
        <v>914.50015484912819</v>
      </c>
      <c r="S124" s="60">
        <f ca="1">AVERAGE(OFFSET($R$3,0,0,'Données projet'!$E$9+1,1))-AVERAGE(OFFSET($H$3,0,0,'Données projet'!$E$9+1,1))</f>
        <v>503.64055031157477</v>
      </c>
      <c r="T124" s="60">
        <f t="shared" si="88"/>
        <v>266.76572540460842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68.029562140967485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3.4</v>
      </c>
      <c r="AI124" s="14">
        <f>IF('Données projet'!$A$62&gt;35,AI123+AH124-AQ123,IF(A124&lt;'Données projet'!$A$62,$AF$205^A124,IF(A124='Données projet'!$A$62,'Données projet'!$B$62,AI123+AH124-AQ123)))</f>
        <v>287.39999999999958</v>
      </c>
      <c r="AJ124" s="14">
        <f>AI124*VLOOKUP('Données projet'!$B$10,Paramètres!$A$1:$I$89,3,0)*VLOOKUP('Données projet'!$B$10,Paramètres!$A$1:$I$89,5,0)</f>
        <v>260.03951999999964</v>
      </c>
      <c r="AK124" s="14">
        <f t="shared" si="89"/>
        <v>62.730801948604821</v>
      </c>
      <c r="AL124" s="22">
        <f t="shared" si="58"/>
        <v>562.15831072715275</v>
      </c>
      <c r="AM124" s="60">
        <f t="shared" si="59"/>
        <v>848.26670524403357</v>
      </c>
      <c r="AN124" s="60">
        <f ca="1">AVERAGE(OFFSET($AM$3,0,0,'Données projet'!$E$10+1,1))-AVERAGE(OFFSET($H$3,0,0,'Données projet'!$E$10+1,1))</f>
        <v>456.86058467343139</v>
      </c>
      <c r="AO124" s="60">
        <f t="shared" si="90"/>
        <v>243.88495931574937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68.029562140967485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2.6923076923076867</v>
      </c>
      <c r="BD124" s="13">
        <f>IF('Données projet'!$A$88&gt;35,BD123+BC124-BL123,IF(A124&lt;'Données projet'!$A$88,$BA$205^A124,IF(A124='Données projet'!$A$88,'Données projet'!$B$88,BD123+BC124-BL123)))</f>
        <v>323.84615384615387</v>
      </c>
      <c r="BE124" s="14">
        <f>BD124*VLOOKUP('Données projet'!$B$11,Paramètres!$A$1:$I$89,3,0)*VLOOKUP('Données projet'!$B$11,Paramètres!$A$1:$I$89,5,0)</f>
        <v>338.48400000000004</v>
      </c>
      <c r="BF124" s="14">
        <f t="shared" si="91"/>
        <v>79.186649807836744</v>
      </c>
      <c r="BG124" s="22">
        <f t="shared" si="61"/>
        <v>727.44304841531573</v>
      </c>
      <c r="BH124" s="60">
        <f t="shared" si="62"/>
        <v>1013.5514429321966</v>
      </c>
      <c r="BI124" s="60">
        <f ca="1">AVERAGE(OFFSET($BH$3,0,0,'Données projet'!$E$11+1,1))-AVERAGE(OFFSET($H$3,0,0,'Données projet'!$E$11+1,1))</f>
        <v>518.47226207416952</v>
      </c>
      <c r="BJ124" s="60">
        <f t="shared" si="92"/>
        <v>314.6379787306804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68.029562140967485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3.4</v>
      </c>
      <c r="BY124" s="13">
        <f>IF('Données projet'!$A$114&gt;35,BY123+BX124-CG123,IF(A124&lt;'Données projet'!$A$114,$BV$205^A124,IF(A124='Données projet'!$A$114,'Données projet'!$B$114,BY123+BX124-CG123)))</f>
        <v>287.39999999999958</v>
      </c>
      <c r="BZ124" s="14">
        <f>BY124*VLOOKUP('Données projet'!$B$12,Paramètres!$A$1:$I$89,3,0)*VLOOKUP('Données projet'!$B$12,Paramètres!$A$1:$I$89,5,0)</f>
        <v>309.35735999999952</v>
      </c>
      <c r="CA124" s="14">
        <f t="shared" si="93"/>
        <v>73.134605157142104</v>
      </c>
      <c r="CB124" s="22">
        <f t="shared" si="64"/>
        <v>666.17350598202165</v>
      </c>
      <c r="CC124" s="60">
        <f t="shared" si="65"/>
        <v>952.28190049890236</v>
      </c>
      <c r="CD124" s="60">
        <f ca="1">AVERAGE(OFFSET($CC$3,0,0,'Données projet'!$E$12+1,1))-AVERAGE(OFFSET($H$3,0,0,'Données projet'!$E$12+1,1))</f>
        <v>530.32456073177104</v>
      </c>
      <c r="CE124" s="60">
        <f t="shared" si="94"/>
        <v>279.81519428470625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68.029562140967485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3.4106051316484809E-13</v>
      </c>
      <c r="CU124" s="18">
        <f>CT124*VLOOKUP('Données projet'!$B$13,Paramètres!$A$1:$I$89,3,0)*VLOOKUP('Données projet'!$B$13,Paramètres!$A$1:$I$89,5,0)</f>
        <v>2.9795046430081134E-13</v>
      </c>
      <c r="CV124" s="14">
        <f t="shared" si="95"/>
        <v>3.9419014464513778E-12</v>
      </c>
      <c r="CW124" s="22">
        <f t="shared" si="67"/>
        <v>7.384408744560063E-12</v>
      </c>
      <c r="CX124" s="60">
        <f t="shared" si="68"/>
        <v>286.10839451688815</v>
      </c>
      <c r="CY124" s="60">
        <f ca="1">AVERAGE(OFFSET($CX$3,0,0,'Données projet'!$E$13+1,1))-AVERAGE(OFFSET($H$3,0,0,'Données projet'!$E$13+1,1))</f>
        <v>355.03862261578701</v>
      </c>
      <c r="CZ124" s="60">
        <f t="shared" si="96"/>
        <v>382.84441399266029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68.029562140967485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1.1368683772161603E-13</v>
      </c>
      <c r="DP124" s="18">
        <f>DO124*VLOOKUP('Données projet'!$B$14,Paramètres!$A$1:$I$89,3,0)*VLOOKUP('Données projet'!$B$14,Paramètres!$A$1:$I$89,5,0)</f>
        <v>8.8675733422860506E-14</v>
      </c>
      <c r="DQ124" s="14">
        <f t="shared" si="97"/>
        <v>1.3509285393066301E-12</v>
      </c>
      <c r="DR124" s="22">
        <f t="shared" si="70"/>
        <v>2.5073107750038623E-12</v>
      </c>
      <c r="DS124" s="60">
        <f t="shared" si="71"/>
        <v>286.10839451688327</v>
      </c>
      <c r="DT124" s="60">
        <f ca="1">AVERAGE(OFFSET($DS$3,0,0,'Données projet'!$E$14+1,1))-AVERAGE(OFFSET($H$3,0,0,'Données projet'!$E$14+1,1))</f>
        <v>305.68891030516761</v>
      </c>
      <c r="DU124" s="60">
        <f t="shared" si="98"/>
        <v>296.00275062228275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68.029562140967485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3.4</v>
      </c>
      <c r="EJ124" s="13">
        <f>IF('Données projet'!$A$192&gt;35,EJ123+EI124-ER123,IF(A124&lt;'Données projet'!$A$192,$EG$205^A124,IF(A124='Données projet'!$A$192,'Données projet'!$B$192,EJ123+EI124-ER123)))</f>
        <v>287.39999999999958</v>
      </c>
      <c r="EK124" s="18">
        <f>EJ124*VLOOKUP('Données projet'!$B$15,Paramètres!$A$1:$I$89,3,0)*VLOOKUP('Données projet'!$B$15,Paramètres!$A$1:$I$89,5,0)</f>
        <v>277.97327999999959</v>
      </c>
      <c r="EL124" s="14">
        <f t="shared" si="99"/>
        <v>66.538523764973078</v>
      </c>
      <c r="EM124" s="22">
        <f t="shared" si="73"/>
        <v>600.02472489066076</v>
      </c>
      <c r="EN124" s="60">
        <f t="shared" si="74"/>
        <v>886.13311940754147</v>
      </c>
      <c r="EO124" s="60">
        <f ca="1">AVERAGE(OFFSET($EN$3,0,0,'Données projet'!$E$15+1,1))-AVERAGE(OFFSET($H$3,0,0,'Données projet'!$E$15+1,1))</f>
        <v>483.60545605360528</v>
      </c>
      <c r="EP124" s="60">
        <f t="shared" si="100"/>
        <v>256.96685577560345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68.029562140967485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0" t="e">
        <f t="shared" si="77"/>
        <v>#N/A</v>
      </c>
      <c r="FJ124" s="60" t="e">
        <f ca="1">AVERAGE(OFFSET($FI$3,0,0,'Données projet'!$E$16+1,1))-AVERAGE(OFFSET($H$3,0,0,'Données projet'!$E$16+1,1))</f>
        <v>#N/A</v>
      </c>
      <c r="FK124" s="60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68.029562140967485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0" t="e">
        <f t="shared" si="80"/>
        <v>#N/A</v>
      </c>
      <c r="GE124" s="60" t="e">
        <f ca="1">AVERAGE(OFFSET($GD$3,0,0,'Données projet'!$E$17+1,1))-AVERAGE(OFFSET($H$3,0,0,'Données projet'!$E$17+1,1))</f>
        <v>#N/A</v>
      </c>
      <c r="GF124" s="60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68.029562140967485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4">
        <f>'Scénario référence'!$B$16*5+'Scénario référence'!$B$17*0+'Scénario référence'!$B$18*5</f>
        <v>3.2750000000000004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12.008333333333335</v>
      </c>
      <c r="H125" s="67">
        <f t="shared" si="56"/>
        <v>208.63333333333333</v>
      </c>
      <c r="I125" s="7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68.0637448325826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3.4</v>
      </c>
      <c r="N125" s="14">
        <f>IF('Données projet'!$A$36&gt;35,N124+M125-V124,IF(A125&lt;'Données projet'!$A$36,$K$205^A125,IF(A125='Données projet'!$A$36,'Données projet'!$B$36,N124+M125-V124)))</f>
        <v>290.79999999999956</v>
      </c>
      <c r="O125" s="14">
        <f>N125*VLOOKUP('Données projet'!$B$9,Paramètres!$A$1:$I$89,3,0)*VLOOKUP('Données projet'!$B$9,Paramètres!$A$1:$I$89,5,0)</f>
        <v>294.87119999999959</v>
      </c>
      <c r="P125" s="14">
        <f t="shared" si="87"/>
        <v>70.100193324247002</v>
      </c>
      <c r="Q125" s="22">
        <f t="shared" si="107"/>
        <v>635.65851003972955</v>
      </c>
      <c r="R125" s="60">
        <f t="shared" si="55"/>
        <v>921.89224109253246</v>
      </c>
      <c r="S125" s="60">
        <f ca="1">AVERAGE(OFFSET($R$3,0,0,'Données projet'!$E$9+1,1))-AVERAGE(OFFSET($H$3,0,0,'Données projet'!$E$9+1,1))</f>
        <v>503.64055031157477</v>
      </c>
      <c r="T125" s="60">
        <f t="shared" si="88"/>
        <v>266.76572540460842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68.0637448325826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3.4</v>
      </c>
      <c r="AI125" s="14">
        <f>IF('Données projet'!$A$62&gt;35,AI124+AH125-AQ124,IF(A125&lt;'Données projet'!$A$62,$AF$205^A125,IF(A125='Données projet'!$A$62,'Données projet'!$B$62,AI124+AH125-AQ124)))</f>
        <v>290.79999999999956</v>
      </c>
      <c r="AJ125" s="14">
        <f>AI125*VLOOKUP('Données projet'!$B$10,Paramètres!$A$1:$I$89,3,0)*VLOOKUP('Données projet'!$B$10,Paramètres!$A$1:$I$89,5,0)</f>
        <v>263.11583999999959</v>
      </c>
      <c r="AK125" s="14">
        <f t="shared" si="89"/>
        <v>63.38608794442333</v>
      </c>
      <c r="AL125" s="22">
        <f t="shared" si="58"/>
        <v>568.65752450320326</v>
      </c>
      <c r="AM125" s="60">
        <f t="shared" si="59"/>
        <v>854.89125555600617</v>
      </c>
      <c r="AN125" s="60">
        <f ca="1">AVERAGE(OFFSET($AM$3,0,0,'Données projet'!$E$10+1,1))-AVERAGE(OFFSET($H$3,0,0,'Données projet'!$E$10+1,1))</f>
        <v>456.86058467343139</v>
      </c>
      <c r="AO125" s="60">
        <f t="shared" si="90"/>
        <v>243.88495931574937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68.0637448325826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2.6923076923076867</v>
      </c>
      <c r="BD125" s="13">
        <f>IF('Données projet'!$A$88&gt;35,BD124+BC125-BL124,IF(A125&lt;'Données projet'!$A$88,$BA$205^A125,IF(A125='Données projet'!$A$88,'Données projet'!$B$88,BD124+BC125-BL124)))</f>
        <v>326.53846153846155</v>
      </c>
      <c r="BE125" s="14">
        <f>BD125*VLOOKUP('Données projet'!$B$11,Paramètres!$A$1:$I$89,3,0)*VLOOKUP('Données projet'!$B$11,Paramètres!$A$1:$I$89,5,0)</f>
        <v>341.298</v>
      </c>
      <c r="BF125" s="14">
        <f t="shared" si="91"/>
        <v>79.768061939346822</v>
      </c>
      <c r="BG125" s="22">
        <f t="shared" si="61"/>
        <v>733.35672454436235</v>
      </c>
      <c r="BH125" s="60">
        <f t="shared" si="62"/>
        <v>1019.5904555971651</v>
      </c>
      <c r="BI125" s="60">
        <f ca="1">AVERAGE(OFFSET($BH$3,0,0,'Données projet'!$E$11+1,1))-AVERAGE(OFFSET($H$3,0,0,'Données projet'!$E$11+1,1))</f>
        <v>518.47226207416952</v>
      </c>
      <c r="BJ125" s="60">
        <f t="shared" si="92"/>
        <v>314.6379787306804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68.0637448325826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3.4</v>
      </c>
      <c r="BY125" s="13">
        <f>IF('Données projet'!$A$114&gt;35,BY124+BX125-CG124,IF(A125&lt;'Données projet'!$A$114,$BV$205^A125,IF(A125='Données projet'!$A$114,'Données projet'!$B$114,BY124+BX125-CG124)))</f>
        <v>290.79999999999956</v>
      </c>
      <c r="BZ125" s="14">
        <f>BY125*VLOOKUP('Données projet'!$B$12,Paramètres!$A$1:$I$89,3,0)*VLOOKUP('Données projet'!$B$12,Paramètres!$A$1:$I$89,5,0)</f>
        <v>313.01711999999952</v>
      </c>
      <c r="CA125" s="14">
        <f t="shared" si="93"/>
        <v>73.898569287689256</v>
      </c>
      <c r="CB125" s="22">
        <f t="shared" si="64"/>
        <v>673.87815884272459</v>
      </c>
      <c r="CC125" s="60">
        <f t="shared" si="65"/>
        <v>960.11188989552738</v>
      </c>
      <c r="CD125" s="60">
        <f ca="1">AVERAGE(OFFSET($CC$3,0,0,'Données projet'!$E$12+1,1))-AVERAGE(OFFSET($H$3,0,0,'Données projet'!$E$12+1,1))</f>
        <v>530.32456073177104</v>
      </c>
      <c r="CE125" s="60">
        <f t="shared" si="94"/>
        <v>279.81519428470625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68.0637448325826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3.4106051316484809E-13</v>
      </c>
      <c r="CU125" s="18">
        <f>CT125*VLOOKUP('Données projet'!$B$13,Paramètres!$A$1:$I$89,3,0)*VLOOKUP('Données projet'!$B$13,Paramètres!$A$1:$I$89,5,0)</f>
        <v>2.9795046430081134E-13</v>
      </c>
      <c r="CV125" s="14">
        <f t="shared" si="95"/>
        <v>3.9419014464513778E-12</v>
      </c>
      <c r="CW125" s="22">
        <f t="shared" si="67"/>
        <v>7.384408744560063E-12</v>
      </c>
      <c r="CX125" s="60">
        <f t="shared" si="68"/>
        <v>286.23373105281024</v>
      </c>
      <c r="CY125" s="60">
        <f ca="1">AVERAGE(OFFSET($CX$3,0,0,'Données projet'!$E$13+1,1))-AVERAGE(OFFSET($H$3,0,0,'Données projet'!$E$13+1,1))</f>
        <v>355.03862261578701</v>
      </c>
      <c r="CZ125" s="60">
        <f t="shared" si="96"/>
        <v>382.84441399266029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68.0637448325826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1.1368683772161603E-13</v>
      </c>
      <c r="DP125" s="18">
        <f>DO125*VLOOKUP('Données projet'!$B$14,Paramètres!$A$1:$I$89,3,0)*VLOOKUP('Données projet'!$B$14,Paramètres!$A$1:$I$89,5,0)</f>
        <v>8.8675733422860506E-14</v>
      </c>
      <c r="DQ125" s="14">
        <f t="shared" si="97"/>
        <v>1.3509285393066301E-12</v>
      </c>
      <c r="DR125" s="22">
        <f t="shared" si="70"/>
        <v>2.5073107750038623E-12</v>
      </c>
      <c r="DS125" s="60">
        <f t="shared" si="71"/>
        <v>286.23373105280535</v>
      </c>
      <c r="DT125" s="60">
        <f ca="1">AVERAGE(OFFSET($DS$3,0,0,'Données projet'!$E$14+1,1))-AVERAGE(OFFSET($H$3,0,0,'Données projet'!$E$14+1,1))</f>
        <v>305.68891030516761</v>
      </c>
      <c r="DU125" s="60">
        <f t="shared" si="98"/>
        <v>296.00275062228275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68.0637448325826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3.4</v>
      </c>
      <c r="EJ125" s="13">
        <f>IF('Données projet'!$A$192&gt;35,EJ124+EI125-ER124,IF(A125&lt;'Données projet'!$A$192,$EG$205^A125,IF(A125='Données projet'!$A$192,'Données projet'!$B$192,EJ124+EI125-ER124)))</f>
        <v>290.79999999999956</v>
      </c>
      <c r="EK125" s="18">
        <f>EJ125*VLOOKUP('Données projet'!$B$15,Paramètres!$A$1:$I$89,3,0)*VLOOKUP('Données projet'!$B$15,Paramètres!$A$1:$I$89,5,0)</f>
        <v>281.26175999999958</v>
      </c>
      <c r="EL125" s="14">
        <f t="shared" si="99"/>
        <v>67.233585225232218</v>
      </c>
      <c r="EM125" s="22">
        <f t="shared" si="73"/>
        <v>606.96272626727875</v>
      </c>
      <c r="EN125" s="60">
        <f t="shared" si="74"/>
        <v>893.19645732008166</v>
      </c>
      <c r="EO125" s="60">
        <f ca="1">AVERAGE(OFFSET($EN$3,0,0,'Données projet'!$E$15+1,1))-AVERAGE(OFFSET($H$3,0,0,'Données projet'!$E$15+1,1))</f>
        <v>483.60545605360528</v>
      </c>
      <c r="EP125" s="60">
        <f t="shared" si="100"/>
        <v>256.96685577560345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68.0637448325826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0" t="e">
        <f t="shared" si="77"/>
        <v>#N/A</v>
      </c>
      <c r="FJ125" s="60" t="e">
        <f ca="1">AVERAGE(OFFSET($FI$3,0,0,'Données projet'!$E$16+1,1))-AVERAGE(OFFSET($H$3,0,0,'Données projet'!$E$16+1,1))</f>
        <v>#N/A</v>
      </c>
      <c r="FK125" s="60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68.0637448325826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0" t="e">
        <f t="shared" si="80"/>
        <v>#N/A</v>
      </c>
      <c r="GE125" s="60" t="e">
        <f ca="1">AVERAGE(OFFSET($GD$3,0,0,'Données projet'!$E$17+1,1))-AVERAGE(OFFSET($H$3,0,0,'Données projet'!$E$17+1,1))</f>
        <v>#N/A</v>
      </c>
      <c r="GF125" s="60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68.0637448325826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4">
        <f>'Scénario référence'!$B$16*5+'Scénario référence'!$B$17*0+'Scénario référence'!$B$18*5</f>
        <v>3.2750000000000004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12.008333333333335</v>
      </c>
      <c r="H126" s="67">
        <f t="shared" si="56"/>
        <v>208.63333333333333</v>
      </c>
      <c r="I126" s="7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68.097334530919241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3.4</v>
      </c>
      <c r="N126" s="14">
        <f>IF('Données projet'!$A$36&gt;35,N125+M126-V125,IF(A126&lt;'Données projet'!$A$36,$K$205^A126,IF(A126='Données projet'!$A$36,'Données projet'!$B$36,N125+M126-V125)))</f>
        <v>294.19999999999953</v>
      </c>
      <c r="O126" s="14">
        <f>N126*VLOOKUP('Données projet'!$B$9,Paramètres!$A$1:$I$89,3,0)*VLOOKUP('Données projet'!$B$9,Paramètres!$A$1:$I$89,5,0)</f>
        <v>298.31879999999956</v>
      </c>
      <c r="P126" s="14">
        <f t="shared" si="87"/>
        <v>70.823904189019785</v>
      </c>
      <c r="Q126" s="22">
        <f t="shared" si="107"/>
        <v>642.92354312920872</v>
      </c>
      <c r="R126" s="60">
        <f t="shared" si="55"/>
        <v>929.28043640924602</v>
      </c>
      <c r="S126" s="60">
        <f ca="1">AVERAGE(OFFSET($R$3,0,0,'Données projet'!$E$9+1,1))-AVERAGE(OFFSET($H$3,0,0,'Données projet'!$E$9+1,1))</f>
        <v>503.64055031157477</v>
      </c>
      <c r="T126" s="60">
        <f t="shared" si="88"/>
        <v>266.76572540460842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68.097334530919241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3.4</v>
      </c>
      <c r="AI126" s="14">
        <f>IF('Données projet'!$A$62&gt;35,AI125+AH126-AQ125,IF(A126&lt;'Données projet'!$A$62,$AF$205^A126,IF(A126='Données projet'!$A$62,'Données projet'!$B$62,AI125+AH126-AQ125)))</f>
        <v>294.19999999999953</v>
      </c>
      <c r="AJ126" s="14">
        <f>AI126*VLOOKUP('Données projet'!$B$10,Paramètres!$A$1:$I$89,3,0)*VLOOKUP('Données projet'!$B$10,Paramètres!$A$1:$I$89,5,0)</f>
        <v>266.19215999999955</v>
      </c>
      <c r="AK126" s="14">
        <f t="shared" si="89"/>
        <v>64.040482723459647</v>
      </c>
      <c r="AL126" s="22">
        <f t="shared" si="58"/>
        <v>575.15518607669139</v>
      </c>
      <c r="AM126" s="60">
        <f t="shared" si="59"/>
        <v>861.51207935672869</v>
      </c>
      <c r="AN126" s="60">
        <f ca="1">AVERAGE(OFFSET($AM$3,0,0,'Données projet'!$E$10+1,1))-AVERAGE(OFFSET($H$3,0,0,'Données projet'!$E$10+1,1))</f>
        <v>456.86058467343139</v>
      </c>
      <c r="AO126" s="60">
        <f t="shared" si="90"/>
        <v>243.88495931574937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68.097334530919241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2.6923076923076867</v>
      </c>
      <c r="BD126" s="13">
        <f>IF('Données projet'!$A$88&gt;35,BD125+BC126-BL125,IF(A126&lt;'Données projet'!$A$88,$BA$205^A126,IF(A126='Données projet'!$A$88,'Données projet'!$B$88,BD125+BC126-BL125)))</f>
        <v>329.23076923076923</v>
      </c>
      <c r="BE126" s="14">
        <f>BD126*VLOOKUP('Données projet'!$B$11,Paramètres!$A$1:$I$89,3,0)*VLOOKUP('Données projet'!$B$11,Paramètres!$A$1:$I$89,5,0)</f>
        <v>344.11200000000002</v>
      </c>
      <c r="BF126" s="14">
        <f t="shared" si="91"/>
        <v>80.34891634055505</v>
      </c>
      <c r="BG126" s="22">
        <f t="shared" si="61"/>
        <v>739.26942929313338</v>
      </c>
      <c r="BH126" s="60">
        <f t="shared" si="62"/>
        <v>1025.6263225731707</v>
      </c>
      <c r="BI126" s="60">
        <f ca="1">AVERAGE(OFFSET($BH$3,0,0,'Données projet'!$E$11+1,1))-AVERAGE(OFFSET($H$3,0,0,'Données projet'!$E$11+1,1))</f>
        <v>518.47226207416952</v>
      </c>
      <c r="BJ126" s="60">
        <f t="shared" si="92"/>
        <v>314.6379787306804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68.097334530919241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3.4</v>
      </c>
      <c r="BY126" s="13">
        <f>IF('Données projet'!$A$114&gt;35,BY125+BX126-CG125,IF(A126&lt;'Données projet'!$A$114,$BV$205^A126,IF(A126='Données projet'!$A$114,'Données projet'!$B$114,BY125+BX126-CG125)))</f>
        <v>294.19999999999953</v>
      </c>
      <c r="BZ126" s="14">
        <f>BY126*VLOOKUP('Données projet'!$B$12,Paramètres!$A$1:$I$89,3,0)*VLOOKUP('Données projet'!$B$12,Paramètres!$A$1:$I$89,5,0)</f>
        <v>316.67687999999947</v>
      </c>
      <c r="CA126" s="14">
        <f t="shared" si="93"/>
        <v>74.661494394575769</v>
      </c>
      <c r="CB126" s="22">
        <f t="shared" si="64"/>
        <v>681.58100207055179</v>
      </c>
      <c r="CC126" s="60">
        <f t="shared" si="65"/>
        <v>967.93789535058909</v>
      </c>
      <c r="CD126" s="60">
        <f ca="1">AVERAGE(OFFSET($CC$3,0,0,'Données projet'!$E$12+1,1))-AVERAGE(OFFSET($H$3,0,0,'Données projet'!$E$12+1,1))</f>
        <v>530.32456073177104</v>
      </c>
      <c r="CE126" s="60">
        <f t="shared" si="94"/>
        <v>279.81519428470625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68.097334530919241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3.4106051316484809E-13</v>
      </c>
      <c r="CU126" s="18">
        <f>CT126*VLOOKUP('Données projet'!$B$13,Paramètres!$A$1:$I$89,3,0)*VLOOKUP('Données projet'!$B$13,Paramètres!$A$1:$I$89,5,0)</f>
        <v>2.9795046430081134E-13</v>
      </c>
      <c r="CV126" s="14">
        <f t="shared" si="95"/>
        <v>3.9419014464513778E-12</v>
      </c>
      <c r="CW126" s="22">
        <f t="shared" si="67"/>
        <v>7.384408744560063E-12</v>
      </c>
      <c r="CX126" s="60">
        <f t="shared" si="68"/>
        <v>286.35689328004463</v>
      </c>
      <c r="CY126" s="60">
        <f ca="1">AVERAGE(OFFSET($CX$3,0,0,'Données projet'!$E$13+1,1))-AVERAGE(OFFSET($H$3,0,0,'Données projet'!$E$13+1,1))</f>
        <v>355.03862261578701</v>
      </c>
      <c r="CZ126" s="60">
        <f t="shared" si="96"/>
        <v>382.84441399266029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68.097334530919241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1.1368683772161603E-13</v>
      </c>
      <c r="DP126" s="18">
        <f>DO126*VLOOKUP('Données projet'!$B$14,Paramètres!$A$1:$I$89,3,0)*VLOOKUP('Données projet'!$B$14,Paramètres!$A$1:$I$89,5,0)</f>
        <v>8.8675733422860506E-14</v>
      </c>
      <c r="DQ126" s="14">
        <f t="shared" si="97"/>
        <v>1.3509285393066301E-12</v>
      </c>
      <c r="DR126" s="22">
        <f t="shared" si="70"/>
        <v>2.5073107750038623E-12</v>
      </c>
      <c r="DS126" s="60">
        <f t="shared" si="71"/>
        <v>286.35689328003974</v>
      </c>
      <c r="DT126" s="60">
        <f ca="1">AVERAGE(OFFSET($DS$3,0,0,'Données projet'!$E$14+1,1))-AVERAGE(OFFSET($H$3,0,0,'Données projet'!$E$14+1,1))</f>
        <v>305.68891030516761</v>
      </c>
      <c r="DU126" s="60">
        <f t="shared" si="98"/>
        <v>296.00275062228275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68.097334530919241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3.4</v>
      </c>
      <c r="EJ126" s="13">
        <f>IF('Données projet'!$A$192&gt;35,EJ125+EI126-ER125,IF(A126&lt;'Données projet'!$A$192,$EG$205^A126,IF(A126='Données projet'!$A$192,'Données projet'!$B$192,EJ125+EI126-ER125)))</f>
        <v>294.19999999999953</v>
      </c>
      <c r="EK126" s="18">
        <f>EJ126*VLOOKUP('Données projet'!$B$15,Paramètres!$A$1:$I$89,3,0)*VLOOKUP('Données projet'!$B$15,Paramètres!$A$1:$I$89,5,0)</f>
        <v>284.55023999999958</v>
      </c>
      <c r="EL126" s="14">
        <f t="shared" si="99"/>
        <v>67.927701372388498</v>
      </c>
      <c r="EM126" s="22">
        <f t="shared" si="73"/>
        <v>613.89908122357576</v>
      </c>
      <c r="EN126" s="60">
        <f t="shared" si="74"/>
        <v>900.25597450361306</v>
      </c>
      <c r="EO126" s="60">
        <f ca="1">AVERAGE(OFFSET($EN$3,0,0,'Données projet'!$E$15+1,1))-AVERAGE(OFFSET($H$3,0,0,'Données projet'!$E$15+1,1))</f>
        <v>483.60545605360528</v>
      </c>
      <c r="EP126" s="60">
        <f t="shared" si="100"/>
        <v>256.96685577560345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68.097334530919241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0" t="e">
        <f t="shared" si="77"/>
        <v>#N/A</v>
      </c>
      <c r="FJ126" s="60" t="e">
        <f ca="1">AVERAGE(OFFSET($FI$3,0,0,'Données projet'!$E$16+1,1))-AVERAGE(OFFSET($H$3,0,0,'Données projet'!$E$16+1,1))</f>
        <v>#N/A</v>
      </c>
      <c r="FK126" s="60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68.097334530919241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0" t="e">
        <f t="shared" si="80"/>
        <v>#N/A</v>
      </c>
      <c r="GE126" s="60" t="e">
        <f ca="1">AVERAGE(OFFSET($GD$3,0,0,'Données projet'!$E$17+1,1))-AVERAGE(OFFSET($H$3,0,0,'Données projet'!$E$17+1,1))</f>
        <v>#N/A</v>
      </c>
      <c r="GF126" s="60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68.097334530919241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4">
        <f>'Scénario référence'!$B$16*5+'Scénario référence'!$B$17*0+'Scénario référence'!$B$18*5</f>
        <v>3.2750000000000004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12.008333333333335</v>
      </c>
      <c r="H127" s="67">
        <f t="shared" si="56"/>
        <v>208.63333333333333</v>
      </c>
      <c r="I127" s="7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68.130341523085065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3.4</v>
      </c>
      <c r="N127" s="14">
        <f>IF('Données projet'!$A$36&gt;35,N126+M127-V126,IF(A127&lt;'Données projet'!$A$36,$K$205^A127,IF(A127='Données projet'!$A$36,'Données projet'!$B$36,N126+M127-V126)))</f>
        <v>297.59999999999951</v>
      </c>
      <c r="O127" s="14">
        <f>N127*VLOOKUP('Données projet'!$B$9,Paramètres!$A$1:$I$89,3,0)*VLOOKUP('Données projet'!$B$9,Paramètres!$A$1:$I$89,5,0)</f>
        <v>301.76639999999952</v>
      </c>
      <c r="P127" s="14">
        <f t="shared" si="87"/>
        <v>71.546642144235236</v>
      </c>
      <c r="Q127" s="22">
        <f t="shared" si="107"/>
        <v>650.18688173454223</v>
      </c>
      <c r="R127" s="60">
        <f t="shared" si="55"/>
        <v>936.66480065252085</v>
      </c>
      <c r="S127" s="60">
        <f ca="1">AVERAGE(OFFSET($R$3,0,0,'Données projet'!$E$9+1,1))-AVERAGE(OFFSET($H$3,0,0,'Données projet'!$E$9+1,1))</f>
        <v>503.64055031157477</v>
      </c>
      <c r="T127" s="60">
        <f t="shared" si="88"/>
        <v>266.76572540460842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68.130341523085065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3.4</v>
      </c>
      <c r="AI127" s="14">
        <f>IF('Données projet'!$A$62&gt;35,AI126+AH127-AQ126,IF(A127&lt;'Données projet'!$A$62,$AF$205^A127,IF(A127='Données projet'!$A$62,'Données projet'!$B$62,AI126+AH127-AQ126)))</f>
        <v>297.59999999999951</v>
      </c>
      <c r="AJ127" s="14">
        <f>AI127*VLOOKUP('Données projet'!$B$10,Paramètres!$A$1:$I$89,3,0)*VLOOKUP('Données projet'!$B$10,Paramètres!$A$1:$I$89,5,0)</f>
        <v>269.26847999999956</v>
      </c>
      <c r="AK127" s="14">
        <f t="shared" si="89"/>
        <v>64.693997776951122</v>
      </c>
      <c r="AL127" s="22">
        <f t="shared" si="58"/>
        <v>581.65131546152236</v>
      </c>
      <c r="AM127" s="60">
        <f t="shared" si="59"/>
        <v>868.12923437950099</v>
      </c>
      <c r="AN127" s="60">
        <f ca="1">AVERAGE(OFFSET($AM$3,0,0,'Données projet'!$E$10+1,1))-AVERAGE(OFFSET($H$3,0,0,'Données projet'!$E$10+1,1))</f>
        <v>456.86058467343139</v>
      </c>
      <c r="AO127" s="60">
        <f t="shared" si="90"/>
        <v>243.88495931574937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68.130341523085065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2.6923076923076867</v>
      </c>
      <c r="BD127" s="13">
        <f>IF('Données projet'!$A$88&gt;35,BD126+BC127-BL126,IF(A127&lt;'Données projet'!$A$88,$BA$205^A127,IF(A127='Données projet'!$A$88,'Données projet'!$B$88,BD126+BC127-BL126)))</f>
        <v>331.92307692307691</v>
      </c>
      <c r="BE127" s="14">
        <f>BD127*VLOOKUP('Données projet'!$B$11,Paramètres!$A$1:$I$89,3,0)*VLOOKUP('Données projet'!$B$11,Paramètres!$A$1:$I$89,5,0)</f>
        <v>346.92600000000004</v>
      </c>
      <c r="BF127" s="14">
        <f t="shared" si="91"/>
        <v>80.929218100917566</v>
      </c>
      <c r="BG127" s="22">
        <f t="shared" si="61"/>
        <v>745.18117152576485</v>
      </c>
      <c r="BH127" s="60">
        <f t="shared" si="62"/>
        <v>1031.6590904437435</v>
      </c>
      <c r="BI127" s="60">
        <f ca="1">AVERAGE(OFFSET($BH$3,0,0,'Données projet'!$E$11+1,1))-AVERAGE(OFFSET($H$3,0,0,'Données projet'!$E$11+1,1))</f>
        <v>518.47226207416952</v>
      </c>
      <c r="BJ127" s="60">
        <f t="shared" si="92"/>
        <v>314.6379787306804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68.130341523085065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3.4</v>
      </c>
      <c r="BY127" s="13">
        <f>IF('Données projet'!$A$114&gt;35,BY126+BX127-CG126,IF(A127&lt;'Données projet'!$A$114,$BV$205^A127,IF(A127='Données projet'!$A$114,'Données projet'!$B$114,BY126+BX127-CG126)))</f>
        <v>297.59999999999951</v>
      </c>
      <c r="BZ127" s="14">
        <f>BY127*VLOOKUP('Données projet'!$B$12,Paramètres!$A$1:$I$89,3,0)*VLOOKUP('Données projet'!$B$12,Paramètres!$A$1:$I$89,5,0)</f>
        <v>320.33663999999948</v>
      </c>
      <c r="CA127" s="14">
        <f t="shared" si="93"/>
        <v>75.423393874842361</v>
      </c>
      <c r="CB127" s="22">
        <f t="shared" si="64"/>
        <v>689.28205899868283</v>
      </c>
      <c r="CC127" s="60">
        <f t="shared" si="65"/>
        <v>975.75997791666146</v>
      </c>
      <c r="CD127" s="60">
        <f ca="1">AVERAGE(OFFSET($CC$3,0,0,'Données projet'!$E$12+1,1))-AVERAGE(OFFSET($H$3,0,0,'Données projet'!$E$12+1,1))</f>
        <v>530.32456073177104</v>
      </c>
      <c r="CE127" s="60">
        <f t="shared" si="94"/>
        <v>279.81519428470625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68.130341523085065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3.4106051316484809E-13</v>
      </c>
      <c r="CU127" s="18">
        <f>CT127*VLOOKUP('Données projet'!$B$13,Paramètres!$A$1:$I$89,3,0)*VLOOKUP('Données projet'!$B$13,Paramètres!$A$1:$I$89,5,0)</f>
        <v>2.9795046430081134E-13</v>
      </c>
      <c r="CV127" s="14">
        <f t="shared" si="95"/>
        <v>3.9419014464513778E-12</v>
      </c>
      <c r="CW127" s="22">
        <f t="shared" si="67"/>
        <v>7.384408744560063E-12</v>
      </c>
      <c r="CX127" s="60">
        <f t="shared" si="68"/>
        <v>286.47791891798596</v>
      </c>
      <c r="CY127" s="60">
        <f ca="1">AVERAGE(OFFSET($CX$3,0,0,'Données projet'!$E$13+1,1))-AVERAGE(OFFSET($H$3,0,0,'Données projet'!$E$13+1,1))</f>
        <v>355.03862261578701</v>
      </c>
      <c r="CZ127" s="60">
        <f t="shared" si="96"/>
        <v>382.84441399266029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68.130341523085065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1.1368683772161603E-13</v>
      </c>
      <c r="DP127" s="18">
        <f>DO127*VLOOKUP('Données projet'!$B$14,Paramètres!$A$1:$I$89,3,0)*VLOOKUP('Données projet'!$B$14,Paramètres!$A$1:$I$89,5,0)</f>
        <v>8.8675733422860506E-14</v>
      </c>
      <c r="DQ127" s="14">
        <f t="shared" si="97"/>
        <v>1.3509285393066301E-12</v>
      </c>
      <c r="DR127" s="22">
        <f t="shared" si="70"/>
        <v>2.5073107750038623E-12</v>
      </c>
      <c r="DS127" s="60">
        <f t="shared" si="71"/>
        <v>286.47791891798107</v>
      </c>
      <c r="DT127" s="60">
        <f ca="1">AVERAGE(OFFSET($DS$3,0,0,'Données projet'!$E$14+1,1))-AVERAGE(OFFSET($H$3,0,0,'Données projet'!$E$14+1,1))</f>
        <v>305.68891030516761</v>
      </c>
      <c r="DU127" s="60">
        <f t="shared" si="98"/>
        <v>296.00275062228275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68.130341523085065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3.4</v>
      </c>
      <c r="EJ127" s="13">
        <f>IF('Données projet'!$A$192&gt;35,EJ126+EI127-ER126,IF(A127&lt;'Données projet'!$A$192,$EG$205^A127,IF(A127='Données projet'!$A$192,'Données projet'!$B$192,EJ126+EI127-ER126)))</f>
        <v>297.59999999999951</v>
      </c>
      <c r="EK127" s="18">
        <f>EJ127*VLOOKUP('Données projet'!$B$15,Paramètres!$A$1:$I$89,3,0)*VLOOKUP('Données projet'!$B$15,Paramètres!$A$1:$I$89,5,0)</f>
        <v>287.83871999999951</v>
      </c>
      <c r="EL127" s="14">
        <f t="shared" si="99"/>
        <v>68.620884395190174</v>
      </c>
      <c r="EM127" s="22">
        <f t="shared" si="73"/>
        <v>620.83381098828875</v>
      </c>
      <c r="EN127" s="60">
        <f t="shared" si="74"/>
        <v>907.31172990626737</v>
      </c>
      <c r="EO127" s="60">
        <f ca="1">AVERAGE(OFFSET($EN$3,0,0,'Données projet'!$E$15+1,1))-AVERAGE(OFFSET($H$3,0,0,'Données projet'!$E$15+1,1))</f>
        <v>483.60545605360528</v>
      </c>
      <c r="EP127" s="60">
        <f t="shared" si="100"/>
        <v>256.96685577560345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68.130341523085065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0" t="e">
        <f t="shared" si="77"/>
        <v>#N/A</v>
      </c>
      <c r="FJ127" s="60" t="e">
        <f ca="1">AVERAGE(OFFSET($FI$3,0,0,'Données projet'!$E$16+1,1))-AVERAGE(OFFSET($H$3,0,0,'Données projet'!$E$16+1,1))</f>
        <v>#N/A</v>
      </c>
      <c r="FK127" s="60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68.130341523085065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0" t="e">
        <f t="shared" si="80"/>
        <v>#N/A</v>
      </c>
      <c r="GE127" s="60" t="e">
        <f ca="1">AVERAGE(OFFSET($GD$3,0,0,'Données projet'!$E$17+1,1))-AVERAGE(OFFSET($H$3,0,0,'Données projet'!$E$17+1,1))</f>
        <v>#N/A</v>
      </c>
      <c r="GF127" s="60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68.130341523085065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4">
        <f>'Scénario référence'!$B$16*5+'Scénario référence'!$B$17*0+'Scénario référence'!$B$18*5</f>
        <v>3.2750000000000004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12.008333333333335</v>
      </c>
      <c r="H128" s="67">
        <f t="shared" si="56"/>
        <v>208.63333333333333</v>
      </c>
      <c r="I128" s="7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68.162775917729363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>
        <f>VLOOKUP(A128,'Données projet'!$A$35:$I$55,2,0)</f>
        <v>301</v>
      </c>
      <c r="L128" s="13">
        <f>VLOOKUP(A128,'Données projet'!$A$35:$I$55,9,0)</f>
        <v>3.4</v>
      </c>
      <c r="M128" s="13">
        <f t="array" ref="M128">INDEX(L:L,MIN(IF(ISNUMBER(L128:L324),ROW(L128:L324),"")))</f>
        <v>3.4</v>
      </c>
      <c r="N128" s="14">
        <f>IF('Données projet'!$A$36&gt;35,N127+M128-V127,IF(A128&lt;'Données projet'!$A$36,$K$205^A128,IF(A128='Données projet'!$A$36,'Données projet'!$B$36,N127+M128-V127)))</f>
        <v>300.99999999999949</v>
      </c>
      <c r="O128" s="14">
        <f>N128*VLOOKUP('Données projet'!$B$9,Paramètres!$A$1:$I$89,3,0)*VLOOKUP('Données projet'!$B$9,Paramètres!$A$1:$I$89,5,0)</f>
        <v>305.21399999999949</v>
      </c>
      <c r="P128" s="14">
        <f t="shared" si="87"/>
        <v>72.268419591231208</v>
      </c>
      <c r="Q128" s="22">
        <f t="shared" si="107"/>
        <v>657.44854745472685</v>
      </c>
      <c r="R128" s="60">
        <f t="shared" si="55"/>
        <v>944.04539248640117</v>
      </c>
      <c r="S128" s="60">
        <f ca="1">AVERAGE(OFFSET($R$3,0,0,'Données projet'!$E$9+1,1))-AVERAGE(OFFSET($H$3,0,0,'Données projet'!$E$9+1,1))</f>
        <v>503.64055031157477</v>
      </c>
      <c r="T128" s="60">
        <f t="shared" si="88"/>
        <v>266.76572540460842</v>
      </c>
      <c r="U128" s="16">
        <f>IF(ISNA(VLOOKUP(A128,'Données projet'!$A$35:$I$55,3,0)),0,VLOOKUP(A128,'Données projet'!$A$35:$I$55,3,0))</f>
        <v>11</v>
      </c>
      <c r="V128" s="16">
        <f>IF(ISNA(VLOOKUP(A128,'Données projet'!$A$35:$I$55,4,0)),0,VLOOKUP(A128,'Données projet'!$A$35:$I$55,4,0))</f>
        <v>33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68.162775917729363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>
        <f>VLOOKUP(A128,'Données projet'!$A$61:$I$81,2,0)</f>
        <v>301</v>
      </c>
      <c r="AG128" s="13">
        <f>VLOOKUP(A128,'Données projet'!$A$61:$I$81,9,0)</f>
        <v>3.4</v>
      </c>
      <c r="AH128" s="13">
        <f t="array" ref="AH128">INDEX(AG:AG,MIN(IF(ISNUMBER(AG128:AG324),ROW(AG128:AG324),"")))</f>
        <v>3.4</v>
      </c>
      <c r="AI128" s="14">
        <f>IF('Données projet'!$A$62&gt;35,AI127+AH128-AQ127,IF(A128&lt;'Données projet'!$A$62,$AF$205^A128,IF(A128='Données projet'!$A$62,'Données projet'!$B$62,AI127+AH128-AQ127)))</f>
        <v>300.99999999999949</v>
      </c>
      <c r="AJ128" s="14">
        <f>AI128*VLOOKUP('Données projet'!$B$10,Paramètres!$A$1:$I$89,3,0)*VLOOKUP('Données projet'!$B$10,Paramètres!$A$1:$I$89,5,0)</f>
        <v>272.34479999999957</v>
      </c>
      <c r="AK128" s="14">
        <f t="shared" si="89"/>
        <v>65.346644318451652</v>
      </c>
      <c r="AL128" s="22">
        <f t="shared" si="58"/>
        <v>588.14593218796915</v>
      </c>
      <c r="AM128" s="60">
        <f t="shared" si="59"/>
        <v>874.74277721964347</v>
      </c>
      <c r="AN128" s="60">
        <f ca="1">AVERAGE(OFFSET($AM$3,0,0,'Données projet'!$E$10+1,1))-AVERAGE(OFFSET($H$3,0,0,'Données projet'!$E$10+1,1))</f>
        <v>456.86058467343139</v>
      </c>
      <c r="AO128" s="60">
        <f t="shared" si="90"/>
        <v>243.88495931574937</v>
      </c>
      <c r="AP128" s="16">
        <f>IF(ISNA(VLOOKUP(A128,'Données projet'!$A$61:$I$81,3,0)),0,VLOOKUP(A128,'Données projet'!$A$61:$I$81,3,0))</f>
        <v>11</v>
      </c>
      <c r="AQ128" s="16">
        <f>IF(ISNA(VLOOKUP(A128,'Données projet'!$A$61:$I$81,4,0)),0,VLOOKUP(A128,'Données projet'!$A$61:$I$81,4,0))</f>
        <v>33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68.162775917729363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2.6923076923076867</v>
      </c>
      <c r="BD128" s="13">
        <f>IF('Données projet'!$A$88&gt;35,BD127+BC128-BL127,IF(A128&lt;'Données projet'!$A$88,$BA$205^A128,IF(A128='Données projet'!$A$88,'Données projet'!$B$88,BD127+BC128-BL127)))</f>
        <v>334.61538461538458</v>
      </c>
      <c r="BE128" s="14">
        <f>BD128*VLOOKUP('Données projet'!$B$11,Paramètres!$A$1:$I$89,3,0)*VLOOKUP('Données projet'!$B$11,Paramètres!$A$1:$I$89,5,0)</f>
        <v>349.74</v>
      </c>
      <c r="BF128" s="14">
        <f t="shared" si="91"/>
        <v>81.508972222560132</v>
      </c>
      <c r="BG128" s="22">
        <f t="shared" si="61"/>
        <v>751.09195995429218</v>
      </c>
      <c r="BH128" s="60">
        <f t="shared" si="62"/>
        <v>1037.6888049859665</v>
      </c>
      <c r="BI128" s="60">
        <f ca="1">AVERAGE(OFFSET($BH$3,0,0,'Données projet'!$E$11+1,1))-AVERAGE(OFFSET($H$3,0,0,'Données projet'!$E$11+1,1))</f>
        <v>518.47226207416952</v>
      </c>
      <c r="BJ128" s="60">
        <f t="shared" si="92"/>
        <v>314.6379787306804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68.162775917729363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>
        <f>VLOOKUP(A128,'Données projet'!$A$113:$I$133,2,0)</f>
        <v>301</v>
      </c>
      <c r="BW128" s="13">
        <f>VLOOKUP(A128,'Données projet'!$A$113:$I$133,9,0)</f>
        <v>3.4</v>
      </c>
      <c r="BX128" s="13">
        <f t="array" ref="BX128">INDEX(BW:BW,MIN(IF(ISNUMBER(BW128:BW324),ROW(BW128:BW324),"")))</f>
        <v>3.4</v>
      </c>
      <c r="BY128" s="13">
        <f>IF('Données projet'!$A$114&gt;35,BY127+BX128-CG127,IF(A128&lt;'Données projet'!$A$114,$BV$205^A128,IF(A128='Données projet'!$A$114,'Données projet'!$B$114,BY127+BX128-CG127)))</f>
        <v>300.99999999999949</v>
      </c>
      <c r="BZ128" s="14">
        <f>BY128*VLOOKUP('Données projet'!$B$12,Paramètres!$A$1:$I$89,3,0)*VLOOKUP('Données projet'!$B$12,Paramètres!$A$1:$I$89,5,0)</f>
        <v>323.99639999999943</v>
      </c>
      <c r="CA128" s="14">
        <f t="shared" si="93"/>
        <v>76.184280801792866</v>
      </c>
      <c r="CB128" s="22">
        <f t="shared" si="64"/>
        <v>696.98135239645478</v>
      </c>
      <c r="CC128" s="60">
        <f t="shared" si="65"/>
        <v>983.5781974281291</v>
      </c>
      <c r="CD128" s="60">
        <f ca="1">AVERAGE(OFFSET($CC$3,0,0,'Données projet'!$E$12+1,1))-AVERAGE(OFFSET($H$3,0,0,'Données projet'!$E$12+1,1))</f>
        <v>530.32456073177104</v>
      </c>
      <c r="CE128" s="60">
        <f t="shared" si="94"/>
        <v>279.81519428470625</v>
      </c>
      <c r="CF128" s="16">
        <f>IF(ISNA(VLOOKUP(A128,'Données projet'!$A$113:$I$133,3,0)),0,VLOOKUP(A128,'Données projet'!$A$113:$I$133,3,0))</f>
        <v>11</v>
      </c>
      <c r="CG128" s="16">
        <f>IF(ISNA(VLOOKUP(A128,'Données projet'!$A$113:$I$133,4,0)),0,VLOOKUP(A128,'Données projet'!$A$113:$I$133,4,0))</f>
        <v>33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68.162775917729363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3.4106051316484809E-13</v>
      </c>
      <c r="CU128" s="18">
        <f>CT128*VLOOKUP('Données projet'!$B$13,Paramètres!$A$1:$I$89,3,0)*VLOOKUP('Données projet'!$B$13,Paramètres!$A$1:$I$89,5,0)</f>
        <v>2.9795046430081134E-13</v>
      </c>
      <c r="CV128" s="14">
        <f t="shared" si="95"/>
        <v>3.9419014464513778E-12</v>
      </c>
      <c r="CW128" s="22">
        <f t="shared" si="67"/>
        <v>7.384408744560063E-12</v>
      </c>
      <c r="CX128" s="60">
        <f t="shared" si="68"/>
        <v>286.59684503168171</v>
      </c>
      <c r="CY128" s="60">
        <f ca="1">AVERAGE(OFFSET($CX$3,0,0,'Données projet'!$E$13+1,1))-AVERAGE(OFFSET($H$3,0,0,'Données projet'!$E$13+1,1))</f>
        <v>355.03862261578701</v>
      </c>
      <c r="CZ128" s="60">
        <f t="shared" si="96"/>
        <v>382.84441399266029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68.162775917729363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1.1368683772161603E-13</v>
      </c>
      <c r="DP128" s="18">
        <f>DO128*VLOOKUP('Données projet'!$B$14,Paramètres!$A$1:$I$89,3,0)*VLOOKUP('Données projet'!$B$14,Paramètres!$A$1:$I$89,5,0)</f>
        <v>8.8675733422860506E-14</v>
      </c>
      <c r="DQ128" s="14">
        <f t="shared" si="97"/>
        <v>1.3509285393066301E-12</v>
      </c>
      <c r="DR128" s="22">
        <f t="shared" si="70"/>
        <v>2.5073107750038623E-12</v>
      </c>
      <c r="DS128" s="60">
        <f t="shared" si="71"/>
        <v>286.59684503167682</v>
      </c>
      <c r="DT128" s="60">
        <f ca="1">AVERAGE(OFFSET($DS$3,0,0,'Données projet'!$E$14+1,1))-AVERAGE(OFFSET($H$3,0,0,'Données projet'!$E$14+1,1))</f>
        <v>305.68891030516761</v>
      </c>
      <c r="DU128" s="60">
        <f t="shared" si="98"/>
        <v>296.00275062228275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68.162775917729363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>
        <f>VLOOKUP(A128,'Données projet'!$A$191:$I$211,2,0)</f>
        <v>301</v>
      </c>
      <c r="EH128" s="13">
        <f>VLOOKUP(A128,'Données projet'!$A$191:$I$211,9,0)</f>
        <v>3.4</v>
      </c>
      <c r="EI128" s="13">
        <f t="array" ref="EI128">INDEX(EH:EH,MIN(IF(ISNUMBER(EH128:EH324),ROW(EH128:EH324),"")))</f>
        <v>3.4</v>
      </c>
      <c r="EJ128" s="13">
        <f>IF('Données projet'!$A$192&gt;35,EJ127+EI128-ER127,IF(A128&lt;'Données projet'!$A$192,$EG$205^A128,IF(A128='Données projet'!$A$192,'Données projet'!$B$192,EJ127+EI128-ER127)))</f>
        <v>300.99999999999949</v>
      </c>
      <c r="EK128" s="18">
        <f>EJ128*VLOOKUP('Données projet'!$B$15,Paramètres!$A$1:$I$89,3,0)*VLOOKUP('Données projet'!$B$15,Paramètres!$A$1:$I$89,5,0)</f>
        <v>291.1271999999995</v>
      </c>
      <c r="EL128" s="14">
        <f t="shared" si="99"/>
        <v>69.313146187847238</v>
      </c>
      <c r="EM128" s="22">
        <f t="shared" si="73"/>
        <v>627.76693627716634</v>
      </c>
      <c r="EN128" s="60">
        <f t="shared" si="74"/>
        <v>914.36378130884066</v>
      </c>
      <c r="EO128" s="60">
        <f ca="1">AVERAGE(OFFSET($EN$3,0,0,'Données projet'!$E$15+1,1))-AVERAGE(OFFSET($H$3,0,0,'Données projet'!$E$15+1,1))</f>
        <v>483.60545605360528</v>
      </c>
      <c r="EP128" s="60">
        <f t="shared" si="100"/>
        <v>256.96685577560345</v>
      </c>
      <c r="EQ128" s="16">
        <f>IF(ISNA(VLOOKUP(A128,'Données projet'!$A$191:$I$211,3,0)),0,VLOOKUP(A128,'Données projet'!$A$191:$I$211,3,0))</f>
        <v>11</v>
      </c>
      <c r="ER128" s="16">
        <f>IF(ISNA(VLOOKUP(A128,'Données projet'!$A$191:$I$211,4,0)),0,VLOOKUP(A128,'Données projet'!$A$191:$I$211,4,0))</f>
        <v>33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68.162775917729363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0" t="e">
        <f t="shared" si="77"/>
        <v>#N/A</v>
      </c>
      <c r="FJ128" s="60" t="e">
        <f ca="1">AVERAGE(OFFSET($FI$3,0,0,'Données projet'!$E$16+1,1))-AVERAGE(OFFSET($H$3,0,0,'Données projet'!$E$16+1,1))</f>
        <v>#N/A</v>
      </c>
      <c r="FK128" s="60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68.162775917729363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0" t="e">
        <f t="shared" si="80"/>
        <v>#N/A</v>
      </c>
      <c r="GE128" s="60" t="e">
        <f ca="1">AVERAGE(OFFSET($GD$3,0,0,'Données projet'!$E$17+1,1))-AVERAGE(OFFSET($H$3,0,0,'Données projet'!$E$17+1,1))</f>
        <v>#N/A</v>
      </c>
      <c r="GF128" s="60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68.162775917729363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4">
        <f>'Scénario référence'!$B$16*5+'Scénario référence'!$B$17*0+'Scénario référence'!$B$18*5</f>
        <v>3.2750000000000004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12.008333333333335</v>
      </c>
      <c r="H129" s="67">
        <f t="shared" si="56"/>
        <v>208.63333333333333</v>
      </c>
      <c r="I129" s="7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68.194647648139053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</v>
      </c>
      <c r="N129" s="14">
        <f>IF('Données projet'!$A$36&gt;35,N128+M129-V128,IF(A129&lt;'Données projet'!$A$36,$K$205^A129,IF(A129='Données projet'!$A$36,'Données projet'!$B$36,N128+M129-V128)))</f>
        <v>270.99999999999949</v>
      </c>
      <c r="O129" s="14">
        <f>N129*VLOOKUP('Données projet'!$B$9,Paramètres!$A$1:$I$89,3,0)*VLOOKUP('Données projet'!$B$9,Paramètres!$A$1:$I$89,5,0)</f>
        <v>274.79399999999947</v>
      </c>
      <c r="P129" s="14">
        <f t="shared" si="87"/>
        <v>65.865632600455413</v>
      </c>
      <c r="Q129" s="22">
        <f t="shared" si="107"/>
        <v>593.31552677912566</v>
      </c>
      <c r="R129" s="60">
        <f t="shared" si="55"/>
        <v>880.02923482230221</v>
      </c>
      <c r="S129" s="60">
        <f ca="1">AVERAGE(OFFSET($R$3,0,0,'Données projet'!$E$9+1,1))-AVERAGE(OFFSET($H$3,0,0,'Données projet'!$E$9+1,1))</f>
        <v>503.64055031157477</v>
      </c>
      <c r="T129" s="60">
        <f t="shared" si="88"/>
        <v>266.76572540460842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68.194647648139053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3</v>
      </c>
      <c r="AI129" s="14">
        <f>IF('Données projet'!$A$62&gt;35,AI128+AH129-AQ128,IF(A129&lt;'Données projet'!$A$62,$AF$205^A129,IF(A129='Données projet'!$A$62,'Données projet'!$B$62,AI128+AH129-AQ128)))</f>
        <v>270.99999999999949</v>
      </c>
      <c r="AJ129" s="14">
        <f>AI129*VLOOKUP('Données projet'!$B$10,Paramètres!$A$1:$I$89,3,0)*VLOOKUP('Données projet'!$B$10,Paramètres!$A$1:$I$89,5,0)</f>
        <v>245.20079999999953</v>
      </c>
      <c r="AK129" s="14">
        <f t="shared" si="89"/>
        <v>59.557107941433628</v>
      </c>
      <c r="AL129" s="22">
        <f t="shared" si="58"/>
        <v>530.78668966466273</v>
      </c>
      <c r="AM129" s="60">
        <f t="shared" si="59"/>
        <v>817.50039770783928</v>
      </c>
      <c r="AN129" s="60">
        <f ca="1">AVERAGE(OFFSET($AM$3,0,0,'Données projet'!$E$10+1,1))-AVERAGE(OFFSET($H$3,0,0,'Données projet'!$E$10+1,1))</f>
        <v>456.86058467343139</v>
      </c>
      <c r="AO129" s="60">
        <f t="shared" si="90"/>
        <v>243.88495931574937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68.194647648139053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2.6923076923076867</v>
      </c>
      <c r="BD129" s="13">
        <f>IF('Données projet'!$A$88&gt;35,BD128+BC129-BL128,IF(A129&lt;'Données projet'!$A$88,$BA$205^A129,IF(A129='Données projet'!$A$88,'Données projet'!$B$88,BD128+BC129-BL128)))</f>
        <v>337.30769230769226</v>
      </c>
      <c r="BE129" s="14">
        <f>BD129*VLOOKUP('Données projet'!$B$11,Paramètres!$A$1:$I$89,3,0)*VLOOKUP('Données projet'!$B$11,Paramètres!$A$1:$I$89,5,0)</f>
        <v>352.55399999999997</v>
      </c>
      <c r="BF129" s="14">
        <f t="shared" si="91"/>
        <v>82.088183622467099</v>
      </c>
      <c r="BG129" s="22">
        <f t="shared" si="61"/>
        <v>757.00180314246347</v>
      </c>
      <c r="BH129" s="60">
        <f t="shared" si="62"/>
        <v>1043.71551118564</v>
      </c>
      <c r="BI129" s="60">
        <f ca="1">AVERAGE(OFFSET($BH$3,0,0,'Données projet'!$E$11+1,1))-AVERAGE(OFFSET($H$3,0,0,'Données projet'!$E$11+1,1))</f>
        <v>518.47226207416952</v>
      </c>
      <c r="BJ129" s="60">
        <f t="shared" si="92"/>
        <v>314.6379787306804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68.194647648139053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3</v>
      </c>
      <c r="BY129" s="13">
        <f>IF('Données projet'!$A$114&gt;35,BY128+BX129-CG128,IF(A129&lt;'Données projet'!$A$114,$BV$205^A129,IF(A129='Données projet'!$A$114,'Données projet'!$B$114,BY128+BX129-CG128)))</f>
        <v>270.99999999999949</v>
      </c>
      <c r="BZ129" s="14">
        <f>BY129*VLOOKUP('Données projet'!$B$12,Paramètres!$A$1:$I$89,3,0)*VLOOKUP('Données projet'!$B$12,Paramètres!$A$1:$I$89,5,0)</f>
        <v>291.70439999999945</v>
      </c>
      <c r="CA129" s="14">
        <f t="shared" si="93"/>
        <v>69.434559073015549</v>
      </c>
      <c r="CB129" s="22">
        <f t="shared" si="64"/>
        <v>628.98368705216785</v>
      </c>
      <c r="CC129" s="60">
        <f t="shared" si="65"/>
        <v>915.69739509534429</v>
      </c>
      <c r="CD129" s="60">
        <f ca="1">AVERAGE(OFFSET($CC$3,0,0,'Données projet'!$E$12+1,1))-AVERAGE(OFFSET($H$3,0,0,'Données projet'!$E$12+1,1))</f>
        <v>530.32456073177104</v>
      </c>
      <c r="CE129" s="60">
        <f t="shared" si="94"/>
        <v>279.81519428470625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68.194647648139053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3.4106051316484809E-13</v>
      </c>
      <c r="CU129" s="18">
        <f>CT129*VLOOKUP('Données projet'!$B$13,Paramètres!$A$1:$I$89,3,0)*VLOOKUP('Données projet'!$B$13,Paramètres!$A$1:$I$89,5,0)</f>
        <v>2.9795046430081134E-13</v>
      </c>
      <c r="CV129" s="14">
        <f t="shared" si="95"/>
        <v>3.9419014464513778E-12</v>
      </c>
      <c r="CW129" s="22">
        <f t="shared" si="67"/>
        <v>7.384408744560063E-12</v>
      </c>
      <c r="CX129" s="60">
        <f t="shared" si="68"/>
        <v>286.71370804318389</v>
      </c>
      <c r="CY129" s="60">
        <f ca="1">AVERAGE(OFFSET($CX$3,0,0,'Données projet'!$E$13+1,1))-AVERAGE(OFFSET($H$3,0,0,'Données projet'!$E$13+1,1))</f>
        <v>355.03862261578701</v>
      </c>
      <c r="CZ129" s="60">
        <f t="shared" si="96"/>
        <v>382.84441399266029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68.194647648139053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1.1368683772161603E-13</v>
      </c>
      <c r="DP129" s="18">
        <f>DO129*VLOOKUP('Données projet'!$B$14,Paramètres!$A$1:$I$89,3,0)*VLOOKUP('Données projet'!$B$14,Paramètres!$A$1:$I$89,5,0)</f>
        <v>8.8675733422860506E-14</v>
      </c>
      <c r="DQ129" s="14">
        <f t="shared" si="97"/>
        <v>1.3509285393066301E-12</v>
      </c>
      <c r="DR129" s="22">
        <f t="shared" si="70"/>
        <v>2.5073107750038623E-12</v>
      </c>
      <c r="DS129" s="60">
        <f t="shared" si="71"/>
        <v>286.713708043179</v>
      </c>
      <c r="DT129" s="60">
        <f ca="1">AVERAGE(OFFSET($DS$3,0,0,'Données projet'!$E$14+1,1))-AVERAGE(OFFSET($H$3,0,0,'Données projet'!$E$14+1,1))</f>
        <v>305.68891030516761</v>
      </c>
      <c r="DU129" s="60">
        <f t="shared" si="98"/>
        <v>296.00275062228275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68.194647648139053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3</v>
      </c>
      <c r="EJ129" s="13">
        <f>IF('Données projet'!$A$192&gt;35,EJ128+EI129-ER128,IF(A129&lt;'Données projet'!$A$192,$EG$205^A129,IF(A129='Données projet'!$A$192,'Données projet'!$B$192,EJ128+EI129-ER128)))</f>
        <v>270.99999999999949</v>
      </c>
      <c r="EK129" s="18">
        <f>EJ129*VLOOKUP('Données projet'!$B$15,Paramètres!$A$1:$I$89,3,0)*VLOOKUP('Données projet'!$B$15,Paramètres!$A$1:$I$89,5,0)</f>
        <v>262.11119999999949</v>
      </c>
      <c r="EL129" s="14">
        <f t="shared" si="99"/>
        <v>63.172188447086931</v>
      </c>
      <c r="EM129" s="22">
        <f t="shared" si="73"/>
        <v>566.53523487867551</v>
      </c>
      <c r="EN129" s="60">
        <f t="shared" si="74"/>
        <v>853.24894292185195</v>
      </c>
      <c r="EO129" s="60">
        <f ca="1">AVERAGE(OFFSET($EN$3,0,0,'Données projet'!$E$15+1,1))-AVERAGE(OFFSET($H$3,0,0,'Données projet'!$E$15+1,1))</f>
        <v>483.60545605360528</v>
      </c>
      <c r="EP129" s="60">
        <f t="shared" si="100"/>
        <v>256.96685577560345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68.194647648139053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0" t="e">
        <f t="shared" si="77"/>
        <v>#N/A</v>
      </c>
      <c r="FJ129" s="60" t="e">
        <f ca="1">AVERAGE(OFFSET($FI$3,0,0,'Données projet'!$E$16+1,1))-AVERAGE(OFFSET($H$3,0,0,'Données projet'!$E$16+1,1))</f>
        <v>#N/A</v>
      </c>
      <c r="FK129" s="60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68.194647648139053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0" t="e">
        <f t="shared" si="80"/>
        <v>#N/A</v>
      </c>
      <c r="GE129" s="60" t="e">
        <f ca="1">AVERAGE(OFFSET($GD$3,0,0,'Données projet'!$E$17+1,1))-AVERAGE(OFFSET($H$3,0,0,'Données projet'!$E$17+1,1))</f>
        <v>#N/A</v>
      </c>
      <c r="GF129" s="60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68.194647648139053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4">
        <f>'Scénario référence'!$B$16*5+'Scénario référence'!$B$17*0+'Scénario référence'!$B$18*5</f>
        <v>3.2750000000000004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12.008333333333335</v>
      </c>
      <c r="H130" s="67">
        <f t="shared" si="56"/>
        <v>208.63333333333333</v>
      </c>
      <c r="I130" s="7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68.225966475280643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</v>
      </c>
      <c r="N130" s="14">
        <f>IF('Données projet'!$A$36&gt;35,N129+M130-V129,IF(A130&lt;'Données projet'!$A$36,$K$205^A130,IF(A130='Données projet'!$A$36,'Données projet'!$B$36,N129+M130-V129)))</f>
        <v>273.99999999999949</v>
      </c>
      <c r="O130" s="14">
        <f>N130*VLOOKUP('Données projet'!$B$9,Paramètres!$A$1:$I$89,3,0)*VLOOKUP('Données projet'!$B$9,Paramètres!$A$1:$I$89,5,0)</f>
        <v>277.8359999999995</v>
      </c>
      <c r="P130" s="14">
        <f t="shared" si="87"/>
        <v>66.509487177652204</v>
      </c>
      <c r="Q130" s="22">
        <f t="shared" si="107"/>
        <v>599.73505683440999</v>
      </c>
      <c r="R130" s="60">
        <f t="shared" si="55"/>
        <v>886.56360057710572</v>
      </c>
      <c r="S130" s="60">
        <f ca="1">AVERAGE(OFFSET($R$3,0,0,'Données projet'!$E$9+1,1))-AVERAGE(OFFSET($H$3,0,0,'Données projet'!$E$9+1,1))</f>
        <v>503.64055031157477</v>
      </c>
      <c r="T130" s="60">
        <f t="shared" si="88"/>
        <v>266.76572540460842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68.225966475280643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3</v>
      </c>
      <c r="AI130" s="14">
        <f>IF('Données projet'!$A$62&gt;35,AI129+AH130-AQ129,IF(A130&lt;'Données projet'!$A$62,$AF$205^A130,IF(A130='Données projet'!$A$62,'Données projet'!$B$62,AI129+AH130-AQ129)))</f>
        <v>273.99999999999949</v>
      </c>
      <c r="AJ130" s="14">
        <f>AI130*VLOOKUP('Données projet'!$B$10,Paramètres!$A$1:$I$89,3,0)*VLOOKUP('Données projet'!$B$10,Paramètres!$A$1:$I$89,5,0)</f>
        <v>247.91519999999954</v>
      </c>
      <c r="AK130" s="14">
        <f t="shared" si="89"/>
        <v>60.139294964297356</v>
      </c>
      <c r="AL130" s="22">
        <f t="shared" si="58"/>
        <v>536.52824539615051</v>
      </c>
      <c r="AM130" s="60">
        <f t="shared" si="59"/>
        <v>823.35678913884612</v>
      </c>
      <c r="AN130" s="60">
        <f ca="1">AVERAGE(OFFSET($AM$3,0,0,'Données projet'!$E$10+1,1))-AVERAGE(OFFSET($H$3,0,0,'Données projet'!$E$10+1,1))</f>
        <v>456.86058467343139</v>
      </c>
      <c r="AO130" s="60">
        <f t="shared" si="90"/>
        <v>243.88495931574937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68.225966475280643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2.6923076923076867</v>
      </c>
      <c r="BD130" s="13">
        <f>IF('Données projet'!$A$88&gt;35,BD129+BC130-BL129,IF(A130&lt;'Données projet'!$A$88,$BA$205^A130,IF(A130='Données projet'!$A$88,'Données projet'!$B$88,BD129+BC130-BL129)))</f>
        <v>339.99999999999994</v>
      </c>
      <c r="BE130" s="14">
        <f>BD130*VLOOKUP('Données projet'!$B$11,Paramètres!$A$1:$I$89,3,0)*VLOOKUP('Données projet'!$B$11,Paramètres!$A$1:$I$89,5,0)</f>
        <v>355.36799999999999</v>
      </c>
      <c r="BF130" s="14">
        <f t="shared" si="91"/>
        <v>82.666857134597876</v>
      </c>
      <c r="BG130" s="22">
        <f t="shared" si="61"/>
        <v>762.91070950942458</v>
      </c>
      <c r="BH130" s="60">
        <f t="shared" si="62"/>
        <v>1049.7392532521203</v>
      </c>
      <c r="BI130" s="60">
        <f ca="1">AVERAGE(OFFSET($BH$3,0,0,'Données projet'!$E$11+1,1))-AVERAGE(OFFSET($H$3,0,0,'Données projet'!$E$11+1,1))</f>
        <v>518.47226207416952</v>
      </c>
      <c r="BJ130" s="60">
        <f t="shared" si="92"/>
        <v>314.6379787306804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68.225966475280643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3</v>
      </c>
      <c r="BY130" s="13">
        <f>IF('Données projet'!$A$114&gt;35,BY129+BX130-CG129,IF(A130&lt;'Données projet'!$A$114,$BV$205^A130,IF(A130='Données projet'!$A$114,'Données projet'!$B$114,BY129+BX130-CG129)))</f>
        <v>273.99999999999949</v>
      </c>
      <c r="BZ130" s="14">
        <f>BY130*VLOOKUP('Données projet'!$B$12,Paramètres!$A$1:$I$89,3,0)*VLOOKUP('Données projet'!$B$12,Paramètres!$A$1:$I$89,5,0)</f>
        <v>294.93359999999944</v>
      </c>
      <c r="CA130" s="14">
        <f t="shared" si="93"/>
        <v>70.113300882814755</v>
      </c>
      <c r="CB130" s="22">
        <f t="shared" si="64"/>
        <v>635.79001903756807</v>
      </c>
      <c r="CC130" s="60">
        <f t="shared" si="65"/>
        <v>922.6185627802638</v>
      </c>
      <c r="CD130" s="60">
        <f ca="1">AVERAGE(OFFSET($CC$3,0,0,'Données projet'!$E$12+1,1))-AVERAGE(OFFSET($H$3,0,0,'Données projet'!$E$12+1,1))</f>
        <v>530.32456073177104</v>
      </c>
      <c r="CE130" s="60">
        <f t="shared" si="94"/>
        <v>279.81519428470625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68.225966475280643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3.4106051316484809E-13</v>
      </c>
      <c r="CU130" s="18">
        <f>CT130*VLOOKUP('Données projet'!$B$13,Paramètres!$A$1:$I$89,3,0)*VLOOKUP('Données projet'!$B$13,Paramètres!$A$1:$I$89,5,0)</f>
        <v>2.9795046430081134E-13</v>
      </c>
      <c r="CV130" s="14">
        <f t="shared" si="95"/>
        <v>3.9419014464513778E-12</v>
      </c>
      <c r="CW130" s="22">
        <f t="shared" si="67"/>
        <v>7.384408744560063E-12</v>
      </c>
      <c r="CX130" s="60">
        <f t="shared" si="68"/>
        <v>286.82854374270306</v>
      </c>
      <c r="CY130" s="60">
        <f ca="1">AVERAGE(OFFSET($CX$3,0,0,'Données projet'!$E$13+1,1))-AVERAGE(OFFSET($H$3,0,0,'Données projet'!$E$13+1,1))</f>
        <v>355.03862261578701</v>
      </c>
      <c r="CZ130" s="60">
        <f t="shared" si="96"/>
        <v>382.84441399266029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68.225966475280643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1.1368683772161603E-13</v>
      </c>
      <c r="DP130" s="18">
        <f>DO130*VLOOKUP('Données projet'!$B$14,Paramètres!$A$1:$I$89,3,0)*VLOOKUP('Données projet'!$B$14,Paramètres!$A$1:$I$89,5,0)</f>
        <v>8.8675733422860506E-14</v>
      </c>
      <c r="DQ130" s="14">
        <f t="shared" si="97"/>
        <v>1.3509285393066301E-12</v>
      </c>
      <c r="DR130" s="22">
        <f t="shared" si="70"/>
        <v>2.5073107750038623E-12</v>
      </c>
      <c r="DS130" s="60">
        <f t="shared" si="71"/>
        <v>286.82854374269817</v>
      </c>
      <c r="DT130" s="60">
        <f ca="1">AVERAGE(OFFSET($DS$3,0,0,'Données projet'!$E$14+1,1))-AVERAGE(OFFSET($H$3,0,0,'Données projet'!$E$14+1,1))</f>
        <v>305.68891030516761</v>
      </c>
      <c r="DU130" s="60">
        <f t="shared" si="98"/>
        <v>296.00275062228275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68.225966475280643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3</v>
      </c>
      <c r="EJ130" s="13">
        <f>IF('Données projet'!$A$192&gt;35,EJ129+EI130-ER129,IF(A130&lt;'Données projet'!$A$192,$EG$205^A130,IF(A130='Données projet'!$A$192,'Données projet'!$B$192,EJ129+EI130-ER129)))</f>
        <v>273.99999999999949</v>
      </c>
      <c r="EK130" s="18">
        <f>EJ130*VLOOKUP('Données projet'!$B$15,Paramètres!$A$1:$I$89,3,0)*VLOOKUP('Données projet'!$B$15,Paramètres!$A$1:$I$89,5,0)</f>
        <v>265.01279999999952</v>
      </c>
      <c r="EL130" s="14">
        <f t="shared" si="99"/>
        <v>63.789713870852616</v>
      </c>
      <c r="EM130" s="22">
        <f t="shared" si="73"/>
        <v>572.66437832506745</v>
      </c>
      <c r="EN130" s="60">
        <f t="shared" si="74"/>
        <v>859.49292206776317</v>
      </c>
      <c r="EO130" s="60">
        <f ca="1">AVERAGE(OFFSET($EN$3,0,0,'Données projet'!$E$15+1,1))-AVERAGE(OFFSET($H$3,0,0,'Données projet'!$E$15+1,1))</f>
        <v>483.60545605360528</v>
      </c>
      <c r="EP130" s="60">
        <f t="shared" si="100"/>
        <v>256.96685577560345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68.225966475280643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0" t="e">
        <f t="shared" si="77"/>
        <v>#N/A</v>
      </c>
      <c r="FJ130" s="60" t="e">
        <f ca="1">AVERAGE(OFFSET($FI$3,0,0,'Données projet'!$E$16+1,1))-AVERAGE(OFFSET($H$3,0,0,'Données projet'!$E$16+1,1))</f>
        <v>#N/A</v>
      </c>
      <c r="FK130" s="60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68.225966475280643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0" t="e">
        <f t="shared" si="80"/>
        <v>#N/A</v>
      </c>
      <c r="GE130" s="60" t="e">
        <f ca="1">AVERAGE(OFFSET($GD$3,0,0,'Données projet'!$E$17+1,1))-AVERAGE(OFFSET($H$3,0,0,'Données projet'!$E$17+1,1))</f>
        <v>#N/A</v>
      </c>
      <c r="GF130" s="60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68.225966475280643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4">
        <f>'Scénario référence'!$B$16*5+'Scénario référence'!$B$17*0+'Scénario référence'!$B$18*5</f>
        <v>3.2750000000000004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12.008333333333335</v>
      </c>
      <c r="H131" s="67">
        <f t="shared" si="56"/>
        <v>208.63333333333333</v>
      </c>
      <c r="I131" s="7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68.256741990789735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</v>
      </c>
      <c r="N131" s="14">
        <f>IF('Données projet'!$A$36&gt;35,N130+M131-V130,IF(A131&lt;'Données projet'!$A$36,$K$205^A131,IF(A131='Données projet'!$A$36,'Données projet'!$B$36,N130+M131-V130)))</f>
        <v>276.99999999999949</v>
      </c>
      <c r="O131" s="14">
        <f>N131*VLOOKUP('Données projet'!$B$9,Paramètres!$A$1:$I$89,3,0)*VLOOKUP('Données projet'!$B$9,Paramètres!$A$1:$I$89,5,0)</f>
        <v>280.87799999999947</v>
      </c>
      <c r="P131" s="14">
        <f t="shared" si="87"/>
        <v>67.152521698072249</v>
      </c>
      <c r="Q131" s="22">
        <f t="shared" ref="Q131:Q153" si="108">(O131+P131)*0.475*44/12</f>
        <v>606.15315862414161</v>
      </c>
      <c r="R131" s="60">
        <f t="shared" ref="R131:R194" si="109">Q131+(I131+J131)*44/12</f>
        <v>893.09454592370389</v>
      </c>
      <c r="S131" s="60">
        <f ca="1">AVERAGE(OFFSET($R$3,0,0,'Données projet'!$E$9+1,1))-AVERAGE(OFFSET($H$3,0,0,'Données projet'!$E$9+1,1))</f>
        <v>503.64055031157477</v>
      </c>
      <c r="T131" s="60">
        <f t="shared" si="88"/>
        <v>266.76572540460842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68.256741990789735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3</v>
      </c>
      <c r="AI131" s="14">
        <f>IF('Données projet'!$A$62&gt;35,AI130+AH131-AQ130,IF(A131&lt;'Données projet'!$A$62,$AF$205^A131,IF(A131='Données projet'!$A$62,'Données projet'!$B$62,AI130+AH131-AQ130)))</f>
        <v>276.99999999999949</v>
      </c>
      <c r="AJ131" s="14">
        <f>AI131*VLOOKUP('Données projet'!$B$10,Paramètres!$A$1:$I$89,3,0)*VLOOKUP('Données projet'!$B$10,Paramètres!$A$1:$I$89,5,0)</f>
        <v>250.62959999999953</v>
      </c>
      <c r="AK131" s="14">
        <f t="shared" si="89"/>
        <v>60.720740474356262</v>
      </c>
      <c r="AL131" s="22">
        <f t="shared" si="58"/>
        <v>542.26850965950291</v>
      </c>
      <c r="AM131" s="60">
        <f t="shared" si="59"/>
        <v>829.20989695906519</v>
      </c>
      <c r="AN131" s="60">
        <f ca="1">AVERAGE(OFFSET($AM$3,0,0,'Données projet'!$E$10+1,1))-AVERAGE(OFFSET($H$3,0,0,'Données projet'!$E$10+1,1))</f>
        <v>456.86058467343139</v>
      </c>
      <c r="AO131" s="60">
        <f t="shared" si="90"/>
        <v>243.88495931574937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68.256741990789735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2.6923076923076867</v>
      </c>
      <c r="BD131" s="13">
        <f>IF('Données projet'!$A$88&gt;35,BD130+BC131-BL130,IF(A131&lt;'Données projet'!$A$88,$BA$205^A131,IF(A131='Données projet'!$A$88,'Données projet'!$B$88,BD130+BC131-BL130)))</f>
        <v>342.69230769230762</v>
      </c>
      <c r="BE131" s="14">
        <f>BD131*VLOOKUP('Données projet'!$B$11,Paramètres!$A$1:$I$89,3,0)*VLOOKUP('Données projet'!$B$11,Paramètres!$A$1:$I$89,5,0)</f>
        <v>358.18199999999996</v>
      </c>
      <c r="BF131" s="14">
        <f t="shared" si="91"/>
        <v>83.244997511935352</v>
      </c>
      <c r="BG131" s="22">
        <f t="shared" si="61"/>
        <v>768.81868733328736</v>
      </c>
      <c r="BH131" s="60">
        <f t="shared" si="62"/>
        <v>1055.7600746328496</v>
      </c>
      <c r="BI131" s="60">
        <f ca="1">AVERAGE(OFFSET($BH$3,0,0,'Données projet'!$E$11+1,1))-AVERAGE(OFFSET($H$3,0,0,'Données projet'!$E$11+1,1))</f>
        <v>518.47226207416952</v>
      </c>
      <c r="BJ131" s="60">
        <f t="shared" si="92"/>
        <v>314.6379787306804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68.256741990789735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3</v>
      </c>
      <c r="BY131" s="13">
        <f>IF('Données projet'!$A$114&gt;35,BY130+BX131-CG130,IF(A131&lt;'Données projet'!$A$114,$BV$205^A131,IF(A131='Données projet'!$A$114,'Données projet'!$B$114,BY130+BX131-CG130)))</f>
        <v>276.99999999999949</v>
      </c>
      <c r="BZ131" s="14">
        <f>BY131*VLOOKUP('Données projet'!$B$12,Paramètres!$A$1:$I$89,3,0)*VLOOKUP('Données projet'!$B$12,Paramètres!$A$1:$I$89,5,0)</f>
        <v>298.16279999999944</v>
      </c>
      <c r="CA131" s="14">
        <f t="shared" si="93"/>
        <v>70.791178201095988</v>
      </c>
      <c r="CB131" s="22">
        <f t="shared" si="64"/>
        <v>642.59484536690786</v>
      </c>
      <c r="CC131" s="60">
        <f t="shared" si="65"/>
        <v>929.53623266647014</v>
      </c>
      <c r="CD131" s="60">
        <f ca="1">AVERAGE(OFFSET($CC$3,0,0,'Données projet'!$E$12+1,1))-AVERAGE(OFFSET($H$3,0,0,'Données projet'!$E$12+1,1))</f>
        <v>530.32456073177104</v>
      </c>
      <c r="CE131" s="60">
        <f t="shared" si="94"/>
        <v>279.81519428470625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68.256741990789735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3.4106051316484809E-13</v>
      </c>
      <c r="CU131" s="18">
        <f>CT131*VLOOKUP('Données projet'!$B$13,Paramètres!$A$1:$I$89,3,0)*VLOOKUP('Données projet'!$B$13,Paramètres!$A$1:$I$89,5,0)</f>
        <v>2.9795046430081134E-13</v>
      </c>
      <c r="CV131" s="14">
        <f t="shared" si="95"/>
        <v>3.9419014464513778E-12</v>
      </c>
      <c r="CW131" s="22">
        <f t="shared" si="67"/>
        <v>7.384408744560063E-12</v>
      </c>
      <c r="CX131" s="60">
        <f t="shared" si="68"/>
        <v>286.94138729956973</v>
      </c>
      <c r="CY131" s="60">
        <f ca="1">AVERAGE(OFFSET($CX$3,0,0,'Données projet'!$E$13+1,1))-AVERAGE(OFFSET($H$3,0,0,'Données projet'!$E$13+1,1))</f>
        <v>355.03862261578701</v>
      </c>
      <c r="CZ131" s="60">
        <f t="shared" si="96"/>
        <v>382.84441399266029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68.256741990789735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1.1368683772161603E-13</v>
      </c>
      <c r="DP131" s="18">
        <f>DO131*VLOOKUP('Données projet'!$B$14,Paramètres!$A$1:$I$89,3,0)*VLOOKUP('Données projet'!$B$14,Paramètres!$A$1:$I$89,5,0)</f>
        <v>8.8675733422860506E-14</v>
      </c>
      <c r="DQ131" s="14">
        <f t="shared" si="97"/>
        <v>1.3509285393066301E-12</v>
      </c>
      <c r="DR131" s="22">
        <f t="shared" si="70"/>
        <v>2.5073107750038623E-12</v>
      </c>
      <c r="DS131" s="60">
        <f t="shared" si="71"/>
        <v>286.94138729956484</v>
      </c>
      <c r="DT131" s="60">
        <f ca="1">AVERAGE(OFFSET($DS$3,0,0,'Données projet'!$E$14+1,1))-AVERAGE(OFFSET($H$3,0,0,'Données projet'!$E$14+1,1))</f>
        <v>305.68891030516761</v>
      </c>
      <c r="DU131" s="60">
        <f t="shared" si="98"/>
        <v>296.00275062228275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68.256741990789735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3</v>
      </c>
      <c r="EJ131" s="13">
        <f>IF('Données projet'!$A$192&gt;35,EJ130+EI131-ER130,IF(A131&lt;'Données projet'!$A$192,$EG$205^A131,IF(A131='Données projet'!$A$192,'Données projet'!$B$192,EJ130+EI131-ER130)))</f>
        <v>276.99999999999949</v>
      </c>
      <c r="EK131" s="18">
        <f>EJ131*VLOOKUP('Données projet'!$B$15,Paramètres!$A$1:$I$89,3,0)*VLOOKUP('Données projet'!$B$15,Paramètres!$A$1:$I$89,5,0)</f>
        <v>267.91439999999949</v>
      </c>
      <c r="EL131" s="14">
        <f t="shared" si="99"/>
        <v>64.406452772433894</v>
      </c>
      <c r="EM131" s="22">
        <f t="shared" si="73"/>
        <v>578.79215191198807</v>
      </c>
      <c r="EN131" s="60">
        <f t="shared" si="74"/>
        <v>865.73353921155035</v>
      </c>
      <c r="EO131" s="60">
        <f ca="1">AVERAGE(OFFSET($EN$3,0,0,'Données projet'!$E$15+1,1))-AVERAGE(OFFSET($H$3,0,0,'Données projet'!$E$15+1,1))</f>
        <v>483.60545605360528</v>
      </c>
      <c r="EP131" s="60">
        <f t="shared" si="100"/>
        <v>256.96685577560345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68.256741990789735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0" t="e">
        <f t="shared" si="77"/>
        <v>#N/A</v>
      </c>
      <c r="FJ131" s="60" t="e">
        <f ca="1">AVERAGE(OFFSET($FI$3,0,0,'Données projet'!$E$16+1,1))-AVERAGE(OFFSET($H$3,0,0,'Données projet'!$E$16+1,1))</f>
        <v>#N/A</v>
      </c>
      <c r="FK131" s="60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68.256741990789735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0" t="e">
        <f t="shared" si="80"/>
        <v>#N/A</v>
      </c>
      <c r="GE131" s="60" t="e">
        <f ca="1">AVERAGE(OFFSET($GD$3,0,0,'Données projet'!$E$17+1,1))-AVERAGE(OFFSET($H$3,0,0,'Données projet'!$E$17+1,1))</f>
        <v>#N/A</v>
      </c>
      <c r="GF131" s="60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68.256741990789735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4">
        <f>'Scénario référence'!$B$16*5+'Scénario référence'!$B$17*0+'Scénario référence'!$B$18*5</f>
        <v>3.2750000000000004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12.008333333333335</v>
      </c>
      <c r="H132" s="67">
        <f t="shared" ref="H132:H195" si="110">(B132+E132+F132)*44/12+(C132+D132)*0.475*44/12</f>
        <v>208.63333333333333</v>
      </c>
      <c r="I132" s="7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68.286983619908483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</v>
      </c>
      <c r="N132" s="14">
        <f>IF('Données projet'!$A$36&gt;35,N131+M132-V131,IF(A132&lt;'Données projet'!$A$36,$K$205^A132,IF(A132='Données projet'!$A$36,'Données projet'!$B$36,N131+M132-V131)))</f>
        <v>279.99999999999949</v>
      </c>
      <c r="O132" s="14">
        <f>N132*VLOOKUP('Données projet'!$B$9,Paramètres!$A$1:$I$89,3,0)*VLOOKUP('Données projet'!$B$9,Paramètres!$A$1:$I$89,5,0)</f>
        <v>283.9199999999995</v>
      </c>
      <c r="P132" s="14">
        <f t="shared" si="87"/>
        <v>67.794746071143507</v>
      </c>
      <c r="Q132" s="22">
        <f t="shared" si="108"/>
        <v>612.56984940724067</v>
      </c>
      <c r="R132" s="60">
        <f t="shared" si="109"/>
        <v>899.62212268023836</v>
      </c>
      <c r="S132" s="60">
        <f ca="1">AVERAGE(OFFSET($R$3,0,0,'Données projet'!$E$9+1,1))-AVERAGE(OFFSET($H$3,0,0,'Données projet'!$E$9+1,1))</f>
        <v>503.64055031157477</v>
      </c>
      <c r="T132" s="60">
        <f t="shared" si="88"/>
        <v>266.76572540460842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68.286983619908483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3</v>
      </c>
      <c r="AI132" s="14">
        <f>IF('Données projet'!$A$62&gt;35,AI131+AH132-AQ131,IF(A132&lt;'Données projet'!$A$62,$AF$205^A132,IF(A132='Données projet'!$A$62,'Données projet'!$B$62,AI131+AH132-AQ131)))</f>
        <v>279.99999999999949</v>
      </c>
      <c r="AJ132" s="14">
        <f>AI132*VLOOKUP('Données projet'!$B$10,Paramètres!$A$1:$I$89,3,0)*VLOOKUP('Données projet'!$B$10,Paramètres!$A$1:$I$89,5,0)</f>
        <v>253.34399999999954</v>
      </c>
      <c r="AK132" s="14">
        <f t="shared" si="89"/>
        <v>61.301453431926198</v>
      </c>
      <c r="AL132" s="22">
        <f t="shared" ref="AL132:AL153" si="112">(AJ132+AK132)*0.475*44/12</f>
        <v>548.00749806060389</v>
      </c>
      <c r="AM132" s="60">
        <f t="shared" ref="AM132:AM195" si="113">AL132+(AD132+AE132)*44/12</f>
        <v>835.0597713336017</v>
      </c>
      <c r="AN132" s="60">
        <f ca="1">AVERAGE(OFFSET($AM$3,0,0,'Données projet'!$E$10+1,1))-AVERAGE(OFFSET($H$3,0,0,'Données projet'!$E$10+1,1))</f>
        <v>456.86058467343139</v>
      </c>
      <c r="AO132" s="60">
        <f t="shared" si="90"/>
        <v>243.88495931574937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68.286983619908483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2.6923076923076867</v>
      </c>
      <c r="BD132" s="13">
        <f>IF('Données projet'!$A$88&gt;35,BD131+BC132-BL131,IF(A132&lt;'Données projet'!$A$88,$BA$205^A132,IF(A132='Données projet'!$A$88,'Données projet'!$B$88,BD131+BC132-BL131)))</f>
        <v>345.3846153846153</v>
      </c>
      <c r="BE132" s="14">
        <f>BD132*VLOOKUP('Données projet'!$B$11,Paramètres!$A$1:$I$89,3,0)*VLOOKUP('Données projet'!$B$11,Paramètres!$A$1:$I$89,5,0)</f>
        <v>360.99599999999992</v>
      </c>
      <c r="BF132" s="14">
        <f t="shared" si="91"/>
        <v>83.822609428467757</v>
      </c>
      <c r="BG132" s="22">
        <f t="shared" ref="BG132:BG153" si="115">(BE132+BF132)*0.475*44/12</f>
        <v>774.72574475458123</v>
      </c>
      <c r="BH132" s="60">
        <f t="shared" ref="BH132:BH195" si="116">BG132+(AY132+AZ132)*44/12</f>
        <v>1061.778018027579</v>
      </c>
      <c r="BI132" s="60">
        <f ca="1">AVERAGE(OFFSET($BH$3,0,0,'Données projet'!$E$11+1,1))-AVERAGE(OFFSET($H$3,0,0,'Données projet'!$E$11+1,1))</f>
        <v>518.47226207416952</v>
      </c>
      <c r="BJ132" s="60">
        <f t="shared" si="92"/>
        <v>314.6379787306804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68.286983619908483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3</v>
      </c>
      <c r="BY132" s="13">
        <f>IF('Données projet'!$A$114&gt;35,BY131+BX132-CG131,IF(A132&lt;'Données projet'!$A$114,$BV$205^A132,IF(A132='Données projet'!$A$114,'Données projet'!$B$114,BY131+BX132-CG131)))</f>
        <v>279.99999999999949</v>
      </c>
      <c r="BZ132" s="14">
        <f>BY132*VLOOKUP('Données projet'!$B$12,Paramètres!$A$1:$I$89,3,0)*VLOOKUP('Données projet'!$B$12,Paramètres!$A$1:$I$89,5,0)</f>
        <v>301.39199999999943</v>
      </c>
      <c r="CA132" s="14">
        <f t="shared" si="93"/>
        <v>71.468201474229161</v>
      </c>
      <c r="CB132" s="22">
        <f t="shared" ref="CB132:CB153" si="118">(BZ132+CA132)*0.475*44/12</f>
        <v>649.39818423428142</v>
      </c>
      <c r="CC132" s="60">
        <f t="shared" ref="CC132:CC195" si="119">CB132+(BT132+BU132)*44/12</f>
        <v>936.45045750727922</v>
      </c>
      <c r="CD132" s="60">
        <f ca="1">AVERAGE(OFFSET($CC$3,0,0,'Données projet'!$E$12+1,1))-AVERAGE(OFFSET($H$3,0,0,'Données projet'!$E$12+1,1))</f>
        <v>530.32456073177104</v>
      </c>
      <c r="CE132" s="60">
        <f t="shared" si="94"/>
        <v>279.81519428470625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68.286983619908483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3.4106051316484809E-13</v>
      </c>
      <c r="CU132" s="18">
        <f>CT132*VLOOKUP('Données projet'!$B$13,Paramètres!$A$1:$I$89,3,0)*VLOOKUP('Données projet'!$B$13,Paramètres!$A$1:$I$89,5,0)</f>
        <v>2.9795046430081134E-13</v>
      </c>
      <c r="CV132" s="14">
        <f t="shared" si="95"/>
        <v>3.9419014464513778E-12</v>
      </c>
      <c r="CW132" s="22">
        <f t="shared" ref="CW132:CW153" si="121">(CU132+CV132)*0.475*44/12</f>
        <v>7.384408744560063E-12</v>
      </c>
      <c r="CX132" s="60">
        <f t="shared" ref="CX132:CX195" si="122">CW132+(CO132+CP132)*44/12</f>
        <v>287.05227327300514</v>
      </c>
      <c r="CY132" s="60">
        <f ca="1">AVERAGE(OFFSET($CX$3,0,0,'Données projet'!$E$13+1,1))-AVERAGE(OFFSET($H$3,0,0,'Données projet'!$E$13+1,1))</f>
        <v>355.03862261578701</v>
      </c>
      <c r="CZ132" s="60">
        <f t="shared" si="96"/>
        <v>382.84441399266029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68.286983619908483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1.1368683772161603E-13</v>
      </c>
      <c r="DP132" s="18">
        <f>DO132*VLOOKUP('Données projet'!$B$14,Paramètres!$A$1:$I$89,3,0)*VLOOKUP('Données projet'!$B$14,Paramètres!$A$1:$I$89,5,0)</f>
        <v>8.8675733422860506E-14</v>
      </c>
      <c r="DQ132" s="14">
        <f t="shared" si="97"/>
        <v>1.3509285393066301E-12</v>
      </c>
      <c r="DR132" s="22">
        <f t="shared" ref="DR132:DR153" si="124">(DP132+DQ132)*0.475*44/12</f>
        <v>2.5073107750038623E-12</v>
      </c>
      <c r="DS132" s="60">
        <f t="shared" ref="DS132:DS195" si="125">DR132+(DJ132+DK132)*44/12</f>
        <v>287.05227327300025</v>
      </c>
      <c r="DT132" s="60">
        <f ca="1">AVERAGE(OFFSET($DS$3,0,0,'Données projet'!$E$14+1,1))-AVERAGE(OFFSET($H$3,0,0,'Données projet'!$E$14+1,1))</f>
        <v>305.68891030516761</v>
      </c>
      <c r="DU132" s="60">
        <f t="shared" si="98"/>
        <v>296.00275062228275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68.286983619908483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3</v>
      </c>
      <c r="EJ132" s="13">
        <f>IF('Données projet'!$A$192&gt;35,EJ131+EI132-ER131,IF(A132&lt;'Données projet'!$A$192,$EG$205^A132,IF(A132='Données projet'!$A$192,'Données projet'!$B$192,EJ131+EI132-ER131)))</f>
        <v>279.99999999999949</v>
      </c>
      <c r="EK132" s="18">
        <f>EJ132*VLOOKUP('Données projet'!$B$15,Paramètres!$A$1:$I$89,3,0)*VLOOKUP('Données projet'!$B$15,Paramètres!$A$1:$I$89,5,0)</f>
        <v>270.81599999999952</v>
      </c>
      <c r="EL132" s="14">
        <f t="shared" si="99"/>
        <v>65.022414656032197</v>
      </c>
      <c r="EM132" s="22">
        <f t="shared" ref="EM132:EM153" si="127">(EK132+EL132)*0.475*44/12</f>
        <v>584.91857219258861</v>
      </c>
      <c r="EN132" s="60">
        <f t="shared" ref="EN132:EN195" si="128">EM132+(EE132+EF132)*44/12</f>
        <v>871.97084546558631</v>
      </c>
      <c r="EO132" s="60">
        <f ca="1">AVERAGE(OFFSET($EN$3,0,0,'Données projet'!$E$15+1,1))-AVERAGE(OFFSET($H$3,0,0,'Données projet'!$E$15+1,1))</f>
        <v>483.60545605360528</v>
      </c>
      <c r="EP132" s="60">
        <f t="shared" si="100"/>
        <v>256.96685577560345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68.286983619908483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0" t="e">
        <f t="shared" ref="FI132:FI195" si="131">FH132+(EZ132+FA132)*44/12</f>
        <v>#N/A</v>
      </c>
      <c r="FJ132" s="60" t="e">
        <f ca="1">AVERAGE(OFFSET($FI$3,0,0,'Données projet'!$E$16+1,1))-AVERAGE(OFFSET($H$3,0,0,'Données projet'!$E$16+1,1))</f>
        <v>#N/A</v>
      </c>
      <c r="FK132" s="60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68.286983619908483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0" t="e">
        <f t="shared" ref="GD132:GD195" si="134">GC132+(FU132+FV132)*44/12</f>
        <v>#N/A</v>
      </c>
      <c r="GE132" s="60" t="e">
        <f ca="1">AVERAGE(OFFSET($GD$3,0,0,'Données projet'!$E$17+1,1))-AVERAGE(OFFSET($H$3,0,0,'Données projet'!$E$17+1,1))</f>
        <v>#N/A</v>
      </c>
      <c r="GF132" s="60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68.286983619908483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4">
        <f>'Scénario référence'!$B$16*5+'Scénario référence'!$B$17*0+'Scénario référence'!$B$18*5</f>
        <v>3.2750000000000004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12.008333333333335</v>
      </c>
      <c r="H133" s="67">
        <f t="shared" si="110"/>
        <v>208.63333333333333</v>
      </c>
      <c r="I133" s="7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68.316700624372189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3</v>
      </c>
      <c r="N133" s="14">
        <f>IF('Données projet'!$A$36&gt;35,N132+M133-V132,IF(A133&lt;'Données projet'!$A$36,$K$205^A133,IF(A133='Données projet'!$A$36,'Données projet'!$B$36,N132+M133-V132)))</f>
        <v>282.99999999999949</v>
      </c>
      <c r="O133" s="14">
        <f>N133*VLOOKUP('Données projet'!$B$9,Paramètres!$A$1:$I$89,3,0)*VLOOKUP('Données projet'!$B$9,Paramètres!$A$1:$I$89,5,0)</f>
        <v>286.96199999999948</v>
      </c>
      <c r="P133" s="14">
        <f t="shared" ref="P133:P196" si="141">EXP(-1.0587+0.8836*LN(O133)+0.284)</f>
        <v>68.43616998171774</v>
      </c>
      <c r="Q133" s="22">
        <f t="shared" si="108"/>
        <v>618.9851460514908</v>
      </c>
      <c r="R133" s="60">
        <f t="shared" si="109"/>
        <v>906.14638167418889</v>
      </c>
      <c r="S133" s="60">
        <f ca="1">AVERAGE(OFFSET($R$3,0,0,'Données projet'!$E$9+1,1))-AVERAGE(OFFSET($H$3,0,0,'Données projet'!$E$9+1,1))</f>
        <v>503.64055031157477</v>
      </c>
      <c r="T133" s="60">
        <f t="shared" ref="T133:T196" si="142">$T$3</f>
        <v>266.76572540460842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68.316700624372189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3</v>
      </c>
      <c r="AI133" s="14">
        <f>IF('Données projet'!$A$62&gt;35,AI132+AH133-AQ132,IF(A133&lt;'Données projet'!$A$62,$AF$205^A133,IF(A133='Données projet'!$A$62,'Données projet'!$B$62,AI132+AH133-AQ132)))</f>
        <v>282.99999999999949</v>
      </c>
      <c r="AJ133" s="14">
        <f>AI133*VLOOKUP('Données projet'!$B$10,Paramètres!$A$1:$I$89,3,0)*VLOOKUP('Données projet'!$B$10,Paramètres!$A$1:$I$89,5,0)</f>
        <v>256.05839999999955</v>
      </c>
      <c r="AK133" s="14">
        <f t="shared" ref="AK133:AK153" si="143">EXP(-1.0587+0.8836*LN(AJ133)+0.284)</f>
        <v>61.881442594256377</v>
      </c>
      <c r="AL133" s="22">
        <f t="shared" si="112"/>
        <v>553.74522585166233</v>
      </c>
      <c r="AM133" s="60">
        <f t="shared" si="113"/>
        <v>840.90646147436041</v>
      </c>
      <c r="AN133" s="60">
        <f ca="1">AVERAGE(OFFSET($AM$3,0,0,'Données projet'!$E$10+1,1))-AVERAGE(OFFSET($H$3,0,0,'Données projet'!$E$10+1,1))</f>
        <v>456.86058467343139</v>
      </c>
      <c r="AO133" s="60">
        <f t="shared" ref="AO133:AO196" si="144">$AO$3</f>
        <v>243.88495931574937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68.316700624372189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>
        <f>VLOOKUP(A133,'Données projet'!$A$87:$I$107,2,0)</f>
        <v>348.07692307692304</v>
      </c>
      <c r="BB133" s="13">
        <f>VLOOKUP(A133,'Données projet'!$A$87:$I$107,9,0)</f>
        <v>2.6923076923076867</v>
      </c>
      <c r="BC133" s="13">
        <f t="array" ref="BC133">INDEX(BB:BB,MIN(IF(ISNUMBER(BB133:BB329),ROW(BB133:BB329),"")))</f>
        <v>2.6923076923076867</v>
      </c>
      <c r="BD133" s="13">
        <f>IF('Données projet'!$A$88&gt;35,BD132+BC133-BL132,IF(A133&lt;'Données projet'!$A$88,$BA$205^A133,IF(A133='Données projet'!$A$88,'Données projet'!$B$88,BD132+BC133-BL132)))</f>
        <v>348.07692307692298</v>
      </c>
      <c r="BE133" s="14">
        <f>BD133*VLOOKUP('Données projet'!$B$11,Paramètres!$A$1:$I$89,3,0)*VLOOKUP('Données projet'!$B$11,Paramètres!$A$1:$I$89,5,0)</f>
        <v>363.80999999999995</v>
      </c>
      <c r="BF133" s="14">
        <f t="shared" ref="BF133:BF153" si="145">EXP(-1.0587+0.8836*LN(BE133)+0.284)</f>
        <v>84.39969748110623</v>
      </c>
      <c r="BG133" s="22">
        <f t="shared" si="115"/>
        <v>780.63188977959317</v>
      </c>
      <c r="BH133" s="60">
        <f t="shared" si="116"/>
        <v>1067.7931254022913</v>
      </c>
      <c r="BI133" s="60">
        <f ca="1">AVERAGE(OFFSET($BH$3,0,0,'Données projet'!$E$11+1,1))-AVERAGE(OFFSET($H$3,0,0,'Données projet'!$E$11+1,1))</f>
        <v>518.47226207416952</v>
      </c>
      <c r="BJ133" s="60">
        <f t="shared" ref="BJ133:BJ196" si="146">$BJ$3</f>
        <v>314.6379787306804</v>
      </c>
      <c r="BK133" s="16">
        <f>IF(ISNA(VLOOKUP(A133,'Données projet'!$A$87:$I$107,3,0)),0,VLOOKUP(A133,'Données projet'!$A$87:$I$107,3,0))</f>
        <v>11</v>
      </c>
      <c r="BL133" s="16">
        <f>IF(ISNA(VLOOKUP(A133,'Données projet'!$A$87:$I$107,4,0)),0,VLOOKUP(A133,'Données projet'!$A$87:$I$107,4,0))</f>
        <v>348.07692307692304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68.316700624372189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3</v>
      </c>
      <c r="BY133" s="13">
        <f>IF('Données projet'!$A$114&gt;35,BY132+BX133-CG132,IF(A133&lt;'Données projet'!$A$114,$BV$205^A133,IF(A133='Données projet'!$A$114,'Données projet'!$B$114,BY132+BX133-CG132)))</f>
        <v>282.99999999999949</v>
      </c>
      <c r="BZ133" s="14">
        <f>BY133*VLOOKUP('Données projet'!$B$12,Paramètres!$A$1:$I$89,3,0)*VLOOKUP('Données projet'!$B$12,Paramètres!$A$1:$I$89,5,0)</f>
        <v>304.62119999999948</v>
      </c>
      <c r="CA133" s="14">
        <f t="shared" ref="CA133:CA153" si="147">EXP(-1.0587+0.8836*LN(BZ133)+0.284)</f>
        <v>72.144380911839335</v>
      </c>
      <c r="CB133" s="22">
        <f t="shared" si="118"/>
        <v>656.20005342145259</v>
      </c>
      <c r="CC133" s="60">
        <f t="shared" si="119"/>
        <v>943.36128904415068</v>
      </c>
      <c r="CD133" s="60">
        <f ca="1">AVERAGE(OFFSET($CC$3,0,0,'Données projet'!$E$12+1,1))-AVERAGE(OFFSET($H$3,0,0,'Données projet'!$E$12+1,1))</f>
        <v>530.32456073177104</v>
      </c>
      <c r="CE133" s="60">
        <f t="shared" ref="CE133:CE196" si="148">$CE$3</f>
        <v>279.81519428470625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68.316700624372189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3.4106051316484809E-13</v>
      </c>
      <c r="CU133" s="18">
        <f>CT133*VLOOKUP('Données projet'!$B$13,Paramètres!$A$1:$I$89,3,0)*VLOOKUP('Données projet'!$B$13,Paramètres!$A$1:$I$89,5,0)</f>
        <v>2.9795046430081134E-13</v>
      </c>
      <c r="CV133" s="14">
        <f t="shared" ref="CV133:CV153" si="149">EXP(-1.0587+0.8836*LN(CU133)+0.284)</f>
        <v>3.9419014464513778E-12</v>
      </c>
      <c r="CW133" s="22">
        <f t="shared" si="121"/>
        <v>7.384408744560063E-12</v>
      </c>
      <c r="CX133" s="60">
        <f t="shared" si="122"/>
        <v>287.16123562270542</v>
      </c>
      <c r="CY133" s="60">
        <f ca="1">AVERAGE(OFFSET($CX$3,0,0,'Données projet'!$E$13+1,1))-AVERAGE(OFFSET($H$3,0,0,'Données projet'!$E$13+1,1))</f>
        <v>355.03862261578701</v>
      </c>
      <c r="CZ133" s="60">
        <f t="shared" ref="CZ133:CZ196" si="150">$CZ$3</f>
        <v>382.84441399266029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68.316700624372189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1.1368683772161603E-13</v>
      </c>
      <c r="DP133" s="18">
        <f>DO133*VLOOKUP('Données projet'!$B$14,Paramètres!$A$1:$I$89,3,0)*VLOOKUP('Données projet'!$B$14,Paramètres!$A$1:$I$89,5,0)</f>
        <v>8.8675733422860506E-14</v>
      </c>
      <c r="DQ133" s="14">
        <f t="shared" ref="DQ133:DQ153" si="151">EXP(-1.0587+0.8836*LN(DP133)+0.284)</f>
        <v>1.3509285393066301E-12</v>
      </c>
      <c r="DR133" s="22">
        <f t="shared" si="124"/>
        <v>2.5073107750038623E-12</v>
      </c>
      <c r="DS133" s="60">
        <f t="shared" si="125"/>
        <v>287.16123562270053</v>
      </c>
      <c r="DT133" s="60">
        <f ca="1">AVERAGE(OFFSET($DS$3,0,0,'Données projet'!$E$14+1,1))-AVERAGE(OFFSET($H$3,0,0,'Données projet'!$E$14+1,1))</f>
        <v>305.68891030516761</v>
      </c>
      <c r="DU133" s="60">
        <f t="shared" ref="DU133:DU196" si="152">$DU$3</f>
        <v>296.00275062228275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68.316700624372189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3</v>
      </c>
      <c r="EJ133" s="13">
        <f>IF('Données projet'!$A$192&gt;35,EJ132+EI133-ER132,IF(A133&lt;'Données projet'!$A$192,$EG$205^A133,IF(A133='Données projet'!$A$192,'Données projet'!$B$192,EJ132+EI133-ER132)))</f>
        <v>282.99999999999949</v>
      </c>
      <c r="EK133" s="18">
        <f>EJ133*VLOOKUP('Données projet'!$B$15,Paramètres!$A$1:$I$89,3,0)*VLOOKUP('Données projet'!$B$15,Paramètres!$A$1:$I$89,5,0)</f>
        <v>273.71759999999955</v>
      </c>
      <c r="EL133" s="14">
        <f t="shared" ref="EL133:EL153" si="153">EXP(-1.0587+0.8836*LN(EK133)+0.284)</f>
        <v>65.637608810456612</v>
      </c>
      <c r="EM133" s="22">
        <f t="shared" si="127"/>
        <v>591.04365534487772</v>
      </c>
      <c r="EN133" s="60">
        <f t="shared" si="128"/>
        <v>878.20489096757569</v>
      </c>
      <c r="EO133" s="60">
        <f ca="1">AVERAGE(OFFSET($EN$3,0,0,'Données projet'!$E$15+1,1))-AVERAGE(OFFSET($H$3,0,0,'Données projet'!$E$15+1,1))</f>
        <v>483.60545605360528</v>
      </c>
      <c r="EP133" s="60">
        <f t="shared" ref="EP133:EP196" si="154">$EP$3</f>
        <v>256.96685577560345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68.316700624372189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0" t="e">
        <f t="shared" si="131"/>
        <v>#N/A</v>
      </c>
      <c r="FJ133" s="60" t="e">
        <f ca="1">AVERAGE(OFFSET($FI$3,0,0,'Données projet'!$E$16+1,1))-AVERAGE(OFFSET($H$3,0,0,'Données projet'!$E$16+1,1))</f>
        <v>#N/A</v>
      </c>
      <c r="FK133" s="60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68.316700624372189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0" t="e">
        <f t="shared" si="134"/>
        <v>#N/A</v>
      </c>
      <c r="GE133" s="60" t="e">
        <f ca="1">AVERAGE(OFFSET($GD$3,0,0,'Données projet'!$E$17+1,1))-AVERAGE(OFFSET($H$3,0,0,'Données projet'!$E$17+1,1))</f>
        <v>#N/A</v>
      </c>
      <c r="GF133" s="60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68.316700624372189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4">
        <f>'Scénario référence'!$B$16*5+'Scénario référence'!$B$17*0+'Scénario référence'!$B$18*5</f>
        <v>3.2750000000000004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12.008333333333335</v>
      </c>
      <c r="H134" s="67">
        <f t="shared" si="110"/>
        <v>208.63333333333333</v>
      </c>
      <c r="I134" s="7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68.345902105245713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3</v>
      </c>
      <c r="N134" s="14">
        <f>IF('Données projet'!$A$36&gt;35,N133+M134-V133,IF(A134&lt;'Données projet'!$A$36,$K$205^A134,IF(A134='Données projet'!$A$36,'Données projet'!$B$36,N133+M134-V133)))</f>
        <v>285.99999999999949</v>
      </c>
      <c r="O134" s="14">
        <f>N134*VLOOKUP('Données projet'!$B$9,Paramètres!$A$1:$I$89,3,0)*VLOOKUP('Données projet'!$B$9,Paramètres!$A$1:$I$89,5,0)</f>
        <v>290.00399999999951</v>
      </c>
      <c r="P134" s="14">
        <f t="shared" si="141"/>
        <v>69.07680289748582</v>
      </c>
      <c r="Q134" s="22">
        <f t="shared" si="108"/>
        <v>625.39906504645353</v>
      </c>
      <c r="R134" s="60">
        <f t="shared" si="109"/>
        <v>912.66737276568779</v>
      </c>
      <c r="S134" s="60">
        <f ca="1">AVERAGE(OFFSET($R$3,0,0,'Données projet'!$E$9+1,1))-AVERAGE(OFFSET($H$3,0,0,'Données projet'!$E$9+1,1))</f>
        <v>503.64055031157477</v>
      </c>
      <c r="T134" s="60">
        <f t="shared" si="142"/>
        <v>266.76572540460842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68.345902105245713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3</v>
      </c>
      <c r="AI134" s="14">
        <f>IF('Données projet'!$A$62&gt;35,AI133+AH134-AQ133,IF(A134&lt;'Données projet'!$A$62,$AF$205^A134,IF(A134='Données projet'!$A$62,'Données projet'!$B$62,AI133+AH134-AQ133)))</f>
        <v>285.99999999999949</v>
      </c>
      <c r="AJ134" s="14">
        <f>AI134*VLOOKUP('Données projet'!$B$10,Paramètres!$A$1:$I$89,3,0)*VLOOKUP('Données projet'!$B$10,Paramètres!$A$1:$I$89,5,0)</f>
        <v>258.77279999999951</v>
      </c>
      <c r="AK134" s="14">
        <f t="shared" si="143"/>
        <v>62.460716522234527</v>
      </c>
      <c r="AL134" s="22">
        <f t="shared" si="112"/>
        <v>559.48170794289092</v>
      </c>
      <c r="AM134" s="60">
        <f t="shared" si="113"/>
        <v>846.75001566212518</v>
      </c>
      <c r="AN134" s="60">
        <f ca="1">AVERAGE(OFFSET($AM$3,0,0,'Données projet'!$E$10+1,1))-AVERAGE(OFFSET($H$3,0,0,'Données projet'!$E$10+1,1))</f>
        <v>456.86058467343139</v>
      </c>
      <c r="AO134" s="60">
        <f t="shared" si="144"/>
        <v>243.88495931574937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68.345902105245713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-5.6843418860808015E-14</v>
      </c>
      <c r="BE134" s="14">
        <f>BD134*VLOOKUP('Données projet'!$B$11,Paramètres!$A$1:$I$89,3,0)*VLOOKUP('Données projet'!$B$11,Paramètres!$A$1:$I$89,5,0)</f>
        <v>-5.9412741393316544E-14</v>
      </c>
      <c r="BF134" s="14" t="e">
        <f t="shared" si="145"/>
        <v>#NUM!</v>
      </c>
      <c r="BG134" s="22" t="e">
        <f t="shared" si="115"/>
        <v>#NUM!</v>
      </c>
      <c r="BH134" s="60" t="e">
        <f t="shared" si="116"/>
        <v>#NUM!</v>
      </c>
      <c r="BI134" s="60">
        <f ca="1">AVERAGE(OFFSET($BH$3,0,0,'Données projet'!$E$11+1,1))-AVERAGE(OFFSET($H$3,0,0,'Données projet'!$E$11+1,1))</f>
        <v>518.47226207416952</v>
      </c>
      <c r="BJ134" s="60">
        <f t="shared" si="146"/>
        <v>314.6379787306804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68.345902105245713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3</v>
      </c>
      <c r="BY134" s="13">
        <f>IF('Données projet'!$A$114&gt;35,BY133+BX134-CG133,IF(A134&lt;'Données projet'!$A$114,$BV$205^A134,IF(A134='Données projet'!$A$114,'Données projet'!$B$114,BY133+BX134-CG133)))</f>
        <v>285.99999999999949</v>
      </c>
      <c r="BZ134" s="14">
        <f>BY134*VLOOKUP('Données projet'!$B$12,Paramètres!$A$1:$I$89,3,0)*VLOOKUP('Données projet'!$B$12,Paramètres!$A$1:$I$89,5,0)</f>
        <v>307.85039999999947</v>
      </c>
      <c r="CA134" s="14">
        <f t="shared" si="147"/>
        <v>72.819726494623666</v>
      </c>
      <c r="CB134" s="22">
        <f t="shared" si="118"/>
        <v>663.00047031146858</v>
      </c>
      <c r="CC134" s="60">
        <f t="shared" si="119"/>
        <v>950.26877803070283</v>
      </c>
      <c r="CD134" s="60">
        <f ca="1">AVERAGE(OFFSET($CC$3,0,0,'Données projet'!$E$12+1,1))-AVERAGE(OFFSET($H$3,0,0,'Données projet'!$E$12+1,1))</f>
        <v>530.32456073177104</v>
      </c>
      <c r="CE134" s="60">
        <f t="shared" si="148"/>
        <v>279.81519428470625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68.345902105245713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3.4106051316484809E-13</v>
      </c>
      <c r="CU134" s="18">
        <f>CT134*VLOOKUP('Données projet'!$B$13,Paramètres!$A$1:$I$89,3,0)*VLOOKUP('Données projet'!$B$13,Paramètres!$A$1:$I$89,5,0)</f>
        <v>2.9795046430081134E-13</v>
      </c>
      <c r="CV134" s="14">
        <f t="shared" si="149"/>
        <v>3.9419014464513778E-12</v>
      </c>
      <c r="CW134" s="22">
        <f t="shared" si="121"/>
        <v>7.384408744560063E-12</v>
      </c>
      <c r="CX134" s="60">
        <f t="shared" si="122"/>
        <v>287.2683077192417</v>
      </c>
      <c r="CY134" s="60">
        <f ca="1">AVERAGE(OFFSET($CX$3,0,0,'Données projet'!$E$13+1,1))-AVERAGE(OFFSET($H$3,0,0,'Données projet'!$E$13+1,1))</f>
        <v>355.03862261578701</v>
      </c>
      <c r="CZ134" s="60">
        <f t="shared" si="150"/>
        <v>382.84441399266029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68.345902105245713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1.1368683772161603E-13</v>
      </c>
      <c r="DP134" s="18">
        <f>DO134*VLOOKUP('Données projet'!$B$14,Paramètres!$A$1:$I$89,3,0)*VLOOKUP('Données projet'!$B$14,Paramètres!$A$1:$I$89,5,0)</f>
        <v>8.8675733422860506E-14</v>
      </c>
      <c r="DQ134" s="14">
        <f t="shared" si="151"/>
        <v>1.3509285393066301E-12</v>
      </c>
      <c r="DR134" s="22">
        <f t="shared" si="124"/>
        <v>2.5073107750038623E-12</v>
      </c>
      <c r="DS134" s="60">
        <f t="shared" si="125"/>
        <v>287.26830771923682</v>
      </c>
      <c r="DT134" s="60">
        <f ca="1">AVERAGE(OFFSET($DS$3,0,0,'Données projet'!$E$14+1,1))-AVERAGE(OFFSET($H$3,0,0,'Données projet'!$E$14+1,1))</f>
        <v>305.68891030516761</v>
      </c>
      <c r="DU134" s="60">
        <f t="shared" si="152"/>
        <v>296.00275062228275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68.345902105245713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3</v>
      </c>
      <c r="EJ134" s="13">
        <f>IF('Données projet'!$A$192&gt;35,EJ133+EI134-ER133,IF(A134&lt;'Données projet'!$A$192,$EG$205^A134,IF(A134='Données projet'!$A$192,'Données projet'!$B$192,EJ133+EI134-ER133)))</f>
        <v>285.99999999999949</v>
      </c>
      <c r="EK134" s="18">
        <f>EJ134*VLOOKUP('Données projet'!$B$15,Paramètres!$A$1:$I$89,3,0)*VLOOKUP('Données projet'!$B$15,Paramètres!$A$1:$I$89,5,0)</f>
        <v>276.61919999999952</v>
      </c>
      <c r="EL134" s="14">
        <f t="shared" si="153"/>
        <v>66.252044316235398</v>
      </c>
      <c r="EM134" s="22">
        <f t="shared" si="127"/>
        <v>597.16741718410913</v>
      </c>
      <c r="EN134" s="60">
        <f t="shared" si="128"/>
        <v>884.4357249033435</v>
      </c>
      <c r="EO134" s="60">
        <f ca="1">AVERAGE(OFFSET($EN$3,0,0,'Données projet'!$E$15+1,1))-AVERAGE(OFFSET($H$3,0,0,'Données projet'!$E$15+1,1))</f>
        <v>483.60545605360528</v>
      </c>
      <c r="EP134" s="60">
        <f t="shared" si="154"/>
        <v>256.96685577560345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68.345902105245713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0" t="e">
        <f t="shared" si="131"/>
        <v>#N/A</v>
      </c>
      <c r="FJ134" s="60" t="e">
        <f ca="1">AVERAGE(OFFSET($FI$3,0,0,'Données projet'!$E$16+1,1))-AVERAGE(OFFSET($H$3,0,0,'Données projet'!$E$16+1,1))</f>
        <v>#N/A</v>
      </c>
      <c r="FK134" s="60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68.345902105245713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0" t="e">
        <f t="shared" si="134"/>
        <v>#N/A</v>
      </c>
      <c r="GE134" s="60" t="e">
        <f ca="1">AVERAGE(OFFSET($GD$3,0,0,'Données projet'!$E$17+1,1))-AVERAGE(OFFSET($H$3,0,0,'Données projet'!$E$17+1,1))</f>
        <v>#N/A</v>
      </c>
      <c r="GF134" s="60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68.345902105245713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4">
        <f>'Scénario référence'!$B$16*5+'Scénario référence'!$B$17*0+'Scénario référence'!$B$18*5</f>
        <v>3.2750000000000004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12.008333333333335</v>
      </c>
      <c r="H135" s="67">
        <f t="shared" si="110"/>
        <v>208.63333333333333</v>
      </c>
      <c r="I135" s="7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68.374597005710797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3</v>
      </c>
      <c r="N135" s="14">
        <f>IF('Données projet'!$A$36&gt;35,N134+M135-V134,IF(A135&lt;'Données projet'!$A$36,$K$205^A135,IF(A135='Données projet'!$A$36,'Données projet'!$B$36,N134+M135-V134)))</f>
        <v>288.99999999999949</v>
      </c>
      <c r="O135" s="14">
        <f>N135*VLOOKUP('Données projet'!$B$9,Paramètres!$A$1:$I$89,3,0)*VLOOKUP('Données projet'!$B$9,Paramètres!$A$1:$I$89,5,0)</f>
        <v>293.04599999999954</v>
      </c>
      <c r="P135" s="14">
        <f t="shared" si="141"/>
        <v>69.716654076072487</v>
      </c>
      <c r="Q135" s="22">
        <f t="shared" si="108"/>
        <v>631.81162251582543</v>
      </c>
      <c r="R135" s="60">
        <f t="shared" si="109"/>
        <v>919.18514487009838</v>
      </c>
      <c r="S135" s="60">
        <f ca="1">AVERAGE(OFFSET($R$3,0,0,'Données projet'!$E$9+1,1))-AVERAGE(OFFSET($H$3,0,0,'Données projet'!$E$9+1,1))</f>
        <v>503.64055031157477</v>
      </c>
      <c r="T135" s="60">
        <f t="shared" si="142"/>
        <v>266.76572540460842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68.374597005710797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3</v>
      </c>
      <c r="AI135" s="14">
        <f>IF('Données projet'!$A$62&gt;35,AI134+AH135-AQ134,IF(A135&lt;'Données projet'!$A$62,$AF$205^A135,IF(A135='Données projet'!$A$62,'Données projet'!$B$62,AI134+AH135-AQ134)))</f>
        <v>288.99999999999949</v>
      </c>
      <c r="AJ135" s="14">
        <f>AI135*VLOOKUP('Données projet'!$B$10,Paramètres!$A$1:$I$89,3,0)*VLOOKUP('Données projet'!$B$10,Paramètres!$A$1:$I$89,5,0)</f>
        <v>261.48719999999952</v>
      </c>
      <c r="AK135" s="14">
        <f t="shared" si="143"/>
        <v>63.039283586802277</v>
      </c>
      <c r="AL135" s="22">
        <f t="shared" si="112"/>
        <v>565.21695891367983</v>
      </c>
      <c r="AM135" s="60">
        <f t="shared" si="113"/>
        <v>852.59048126795278</v>
      </c>
      <c r="AN135" s="60">
        <f ca="1">AVERAGE(OFFSET($AM$3,0,0,'Données projet'!$E$10+1,1))-AVERAGE(OFFSET($H$3,0,0,'Données projet'!$E$10+1,1))</f>
        <v>456.86058467343139</v>
      </c>
      <c r="AO135" s="60">
        <f t="shared" si="144"/>
        <v>243.88495931574937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68.374597005710797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-5.6843418860808015E-14</v>
      </c>
      <c r="BE135" s="14">
        <f>BD135*VLOOKUP('Données projet'!$B$11,Paramètres!$A$1:$I$89,3,0)*VLOOKUP('Données projet'!$B$11,Paramètres!$A$1:$I$89,5,0)</f>
        <v>-5.9412741393316544E-14</v>
      </c>
      <c r="BF135" s="14" t="e">
        <f t="shared" si="145"/>
        <v>#NUM!</v>
      </c>
      <c r="BG135" s="22" t="e">
        <f t="shared" si="115"/>
        <v>#NUM!</v>
      </c>
      <c r="BH135" s="60" t="e">
        <f t="shared" si="116"/>
        <v>#NUM!</v>
      </c>
      <c r="BI135" s="60">
        <f ca="1">AVERAGE(OFFSET($BH$3,0,0,'Données projet'!$E$11+1,1))-AVERAGE(OFFSET($H$3,0,0,'Données projet'!$E$11+1,1))</f>
        <v>518.47226207416952</v>
      </c>
      <c r="BJ135" s="60">
        <f t="shared" si="146"/>
        <v>314.6379787306804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68.374597005710797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3</v>
      </c>
      <c r="BY135" s="13">
        <f>IF('Données projet'!$A$114&gt;35,BY134+BX135-CG134,IF(A135&lt;'Données projet'!$A$114,$BV$205^A135,IF(A135='Données projet'!$A$114,'Données projet'!$B$114,BY134+BX135-CG134)))</f>
        <v>288.99999999999949</v>
      </c>
      <c r="BZ135" s="14">
        <f>BY135*VLOOKUP('Données projet'!$B$12,Paramètres!$A$1:$I$89,3,0)*VLOOKUP('Données projet'!$B$12,Paramètres!$A$1:$I$89,5,0)</f>
        <v>311.0795999999994</v>
      </c>
      <c r="CA135" s="14">
        <f t="shared" si="147"/>
        <v>73.494247981831052</v>
      </c>
      <c r="CB135" s="22">
        <f t="shared" si="118"/>
        <v>669.79945190168803</v>
      </c>
      <c r="CC135" s="60">
        <f t="shared" si="119"/>
        <v>957.17297425596098</v>
      </c>
      <c r="CD135" s="60">
        <f ca="1">AVERAGE(OFFSET($CC$3,0,0,'Données projet'!$E$12+1,1))-AVERAGE(OFFSET($H$3,0,0,'Données projet'!$E$12+1,1))</f>
        <v>530.32456073177104</v>
      </c>
      <c r="CE135" s="60">
        <f t="shared" si="148"/>
        <v>279.81519428470625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68.374597005710797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3.4106051316484809E-13</v>
      </c>
      <c r="CU135" s="18">
        <f>CT135*VLOOKUP('Données projet'!$B$13,Paramètres!$A$1:$I$89,3,0)*VLOOKUP('Données projet'!$B$13,Paramètres!$A$1:$I$89,5,0)</f>
        <v>2.9795046430081134E-13</v>
      </c>
      <c r="CV135" s="14">
        <f t="shared" si="149"/>
        <v>3.9419014464513778E-12</v>
      </c>
      <c r="CW135" s="22">
        <f t="shared" si="121"/>
        <v>7.384408744560063E-12</v>
      </c>
      <c r="CX135" s="60">
        <f t="shared" si="122"/>
        <v>287.37352235428028</v>
      </c>
      <c r="CY135" s="60">
        <f ca="1">AVERAGE(OFFSET($CX$3,0,0,'Données projet'!$E$13+1,1))-AVERAGE(OFFSET($H$3,0,0,'Données projet'!$E$13+1,1))</f>
        <v>355.03862261578701</v>
      </c>
      <c r="CZ135" s="60">
        <f t="shared" si="150"/>
        <v>382.84441399266029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68.374597005710797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1.1368683772161603E-13</v>
      </c>
      <c r="DP135" s="18">
        <f>DO135*VLOOKUP('Données projet'!$B$14,Paramètres!$A$1:$I$89,3,0)*VLOOKUP('Données projet'!$B$14,Paramètres!$A$1:$I$89,5,0)</f>
        <v>8.8675733422860506E-14</v>
      </c>
      <c r="DQ135" s="14">
        <f t="shared" si="151"/>
        <v>1.3509285393066301E-12</v>
      </c>
      <c r="DR135" s="22">
        <f t="shared" si="124"/>
        <v>2.5073107750038623E-12</v>
      </c>
      <c r="DS135" s="60">
        <f t="shared" si="125"/>
        <v>287.37352235427539</v>
      </c>
      <c r="DT135" s="60">
        <f ca="1">AVERAGE(OFFSET($DS$3,0,0,'Données projet'!$E$14+1,1))-AVERAGE(OFFSET($H$3,0,0,'Données projet'!$E$14+1,1))</f>
        <v>305.68891030516761</v>
      </c>
      <c r="DU135" s="60">
        <f t="shared" si="152"/>
        <v>296.00275062228275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68.374597005710797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3</v>
      </c>
      <c r="EJ135" s="13">
        <f>IF('Données projet'!$A$192&gt;35,EJ134+EI135-ER134,IF(A135&lt;'Données projet'!$A$192,$EG$205^A135,IF(A135='Données projet'!$A$192,'Données projet'!$B$192,EJ134+EI135-ER134)))</f>
        <v>288.99999999999949</v>
      </c>
      <c r="EK135" s="18">
        <f>EJ135*VLOOKUP('Données projet'!$B$15,Paramètres!$A$1:$I$89,3,0)*VLOOKUP('Données projet'!$B$15,Paramètres!$A$1:$I$89,5,0)</f>
        <v>279.52079999999955</v>
      </c>
      <c r="EL135" s="14">
        <f t="shared" si="153"/>
        <v>66.865730052421526</v>
      </c>
      <c r="EM135" s="22">
        <f t="shared" si="127"/>
        <v>603.28987317463339</v>
      </c>
      <c r="EN135" s="60">
        <f t="shared" si="128"/>
        <v>890.66339552890622</v>
      </c>
      <c r="EO135" s="60">
        <f ca="1">AVERAGE(OFFSET($EN$3,0,0,'Données projet'!$E$15+1,1))-AVERAGE(OFFSET($H$3,0,0,'Données projet'!$E$15+1,1))</f>
        <v>483.60545605360528</v>
      </c>
      <c r="EP135" s="60">
        <f t="shared" si="154"/>
        <v>256.96685577560345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68.374597005710797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0" t="e">
        <f t="shared" si="131"/>
        <v>#N/A</v>
      </c>
      <c r="FJ135" s="60" t="e">
        <f ca="1">AVERAGE(OFFSET($FI$3,0,0,'Données projet'!$E$16+1,1))-AVERAGE(OFFSET($H$3,0,0,'Données projet'!$E$16+1,1))</f>
        <v>#N/A</v>
      </c>
      <c r="FK135" s="60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68.374597005710797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0" t="e">
        <f t="shared" si="134"/>
        <v>#N/A</v>
      </c>
      <c r="GE135" s="60" t="e">
        <f ca="1">AVERAGE(OFFSET($GD$3,0,0,'Données projet'!$E$17+1,1))-AVERAGE(OFFSET($H$3,0,0,'Données projet'!$E$17+1,1))</f>
        <v>#N/A</v>
      </c>
      <c r="GF135" s="60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68.374597005710797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4">
        <f>'Scénario référence'!$B$16*5+'Scénario référence'!$B$17*0+'Scénario référence'!$B$18*5</f>
        <v>3.2750000000000004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12.008333333333335</v>
      </c>
      <c r="H136" s="67">
        <f t="shared" si="110"/>
        <v>208.63333333333333</v>
      </c>
      <c r="I136" s="7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68.402794113805015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3</v>
      </c>
      <c r="N136" s="14">
        <f>IF('Données projet'!$A$36&gt;35,N135+M136-V135,IF(A136&lt;'Données projet'!$A$36,$K$205^A136,IF(A136='Données projet'!$A$36,'Données projet'!$B$36,N135+M136-V135)))</f>
        <v>291.99999999999949</v>
      </c>
      <c r="O136" s="14">
        <f>N136*VLOOKUP('Données projet'!$B$9,Paramètres!$A$1:$I$89,3,0)*VLOOKUP('Données projet'!$B$9,Paramètres!$A$1:$I$89,5,0)</f>
        <v>296.08799999999951</v>
      </c>
      <c r="P136" s="14">
        <f t="shared" si="141"/>
        <v>70.355732571828923</v>
      </c>
      <c r="Q136" s="22">
        <f t="shared" si="108"/>
        <v>638.22283422926773</v>
      </c>
      <c r="R136" s="60">
        <f t="shared" si="109"/>
        <v>925.69974597988607</v>
      </c>
      <c r="S136" s="60">
        <f ca="1">AVERAGE(OFFSET($R$3,0,0,'Données projet'!$E$9+1,1))-AVERAGE(OFFSET($H$3,0,0,'Données projet'!$E$9+1,1))</f>
        <v>503.64055031157477</v>
      </c>
      <c r="T136" s="60">
        <f t="shared" si="142"/>
        <v>266.76572540460842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68.402794113805015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3</v>
      </c>
      <c r="AI136" s="14">
        <f>IF('Données projet'!$A$62&gt;35,AI135+AH136-AQ135,IF(A136&lt;'Données projet'!$A$62,$AF$205^A136,IF(A136='Données projet'!$A$62,'Données projet'!$B$62,AI135+AH136-AQ135)))</f>
        <v>291.99999999999949</v>
      </c>
      <c r="AJ136" s="14">
        <f>AI136*VLOOKUP('Données projet'!$B$10,Paramètres!$A$1:$I$89,3,0)*VLOOKUP('Données projet'!$B$10,Paramètres!$A$1:$I$89,5,0)</f>
        <v>264.20159999999953</v>
      </c>
      <c r="AK136" s="14">
        <f t="shared" si="143"/>
        <v>63.617151975096654</v>
      </c>
      <c r="AL136" s="22">
        <f t="shared" si="112"/>
        <v>570.95099302329243</v>
      </c>
      <c r="AM136" s="60">
        <f t="shared" si="113"/>
        <v>858.42790477391077</v>
      </c>
      <c r="AN136" s="60">
        <f ca="1">AVERAGE(OFFSET($AM$3,0,0,'Données projet'!$E$10+1,1))-AVERAGE(OFFSET($H$3,0,0,'Données projet'!$E$10+1,1))</f>
        <v>456.86058467343139</v>
      </c>
      <c r="AO136" s="60">
        <f t="shared" si="144"/>
        <v>243.88495931574937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68.402794113805015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-5.6843418860808015E-14</v>
      </c>
      <c r="BE136" s="14">
        <f>BD136*VLOOKUP('Données projet'!$B$11,Paramètres!$A$1:$I$89,3,0)*VLOOKUP('Données projet'!$B$11,Paramètres!$A$1:$I$89,5,0)</f>
        <v>-5.9412741393316544E-14</v>
      </c>
      <c r="BF136" s="14" t="e">
        <f t="shared" si="145"/>
        <v>#NUM!</v>
      </c>
      <c r="BG136" s="22" t="e">
        <f t="shared" si="115"/>
        <v>#NUM!</v>
      </c>
      <c r="BH136" s="60" t="e">
        <f t="shared" si="116"/>
        <v>#NUM!</v>
      </c>
      <c r="BI136" s="60">
        <f ca="1">AVERAGE(OFFSET($BH$3,0,0,'Données projet'!$E$11+1,1))-AVERAGE(OFFSET($H$3,0,0,'Données projet'!$E$11+1,1))</f>
        <v>518.47226207416952</v>
      </c>
      <c r="BJ136" s="60">
        <f t="shared" si="146"/>
        <v>314.6379787306804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68.402794113805015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3</v>
      </c>
      <c r="BY136" s="13">
        <f>IF('Données projet'!$A$114&gt;35,BY135+BX136-CG135,IF(A136&lt;'Données projet'!$A$114,$BV$205^A136,IF(A136='Données projet'!$A$114,'Données projet'!$B$114,BY135+BX136-CG135)))</f>
        <v>291.99999999999949</v>
      </c>
      <c r="BZ136" s="14">
        <f>BY136*VLOOKUP('Données projet'!$B$12,Paramètres!$A$1:$I$89,3,0)*VLOOKUP('Données projet'!$B$12,Paramètres!$A$1:$I$89,5,0)</f>
        <v>314.30879999999939</v>
      </c>
      <c r="CA136" s="14">
        <f t="shared" si="147"/>
        <v>74.16795491842224</v>
      </c>
      <c r="CB136" s="22">
        <f t="shared" si="118"/>
        <v>676.59701481625098</v>
      </c>
      <c r="CC136" s="60">
        <f t="shared" si="119"/>
        <v>964.07392656686943</v>
      </c>
      <c r="CD136" s="60">
        <f ca="1">AVERAGE(OFFSET($CC$3,0,0,'Données projet'!$E$12+1,1))-AVERAGE(OFFSET($H$3,0,0,'Données projet'!$E$12+1,1))</f>
        <v>530.32456073177104</v>
      </c>
      <c r="CE136" s="60">
        <f t="shared" si="148"/>
        <v>279.81519428470625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68.402794113805015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3.4106051316484809E-13</v>
      </c>
      <c r="CU136" s="18">
        <f>CT136*VLOOKUP('Données projet'!$B$13,Paramètres!$A$1:$I$89,3,0)*VLOOKUP('Données projet'!$B$13,Paramètres!$A$1:$I$89,5,0)</f>
        <v>2.9795046430081134E-13</v>
      </c>
      <c r="CV136" s="14">
        <f t="shared" si="149"/>
        <v>3.9419014464513778E-12</v>
      </c>
      <c r="CW136" s="22">
        <f t="shared" si="121"/>
        <v>7.384408744560063E-12</v>
      </c>
      <c r="CX136" s="60">
        <f t="shared" si="122"/>
        <v>287.47691175062579</v>
      </c>
      <c r="CY136" s="60">
        <f ca="1">AVERAGE(OFFSET($CX$3,0,0,'Données projet'!$E$13+1,1))-AVERAGE(OFFSET($H$3,0,0,'Données projet'!$E$13+1,1))</f>
        <v>355.03862261578701</v>
      </c>
      <c r="CZ136" s="60">
        <f t="shared" si="150"/>
        <v>382.84441399266029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68.402794113805015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1.1368683772161603E-13</v>
      </c>
      <c r="DP136" s="18">
        <f>DO136*VLOOKUP('Données projet'!$B$14,Paramètres!$A$1:$I$89,3,0)*VLOOKUP('Données projet'!$B$14,Paramètres!$A$1:$I$89,5,0)</f>
        <v>8.8675733422860506E-14</v>
      </c>
      <c r="DQ136" s="14">
        <f t="shared" si="151"/>
        <v>1.3509285393066301E-12</v>
      </c>
      <c r="DR136" s="22">
        <f t="shared" si="124"/>
        <v>2.5073107750038623E-12</v>
      </c>
      <c r="DS136" s="60">
        <f t="shared" si="125"/>
        <v>287.4769117506209</v>
      </c>
      <c r="DT136" s="60">
        <f ca="1">AVERAGE(OFFSET($DS$3,0,0,'Données projet'!$E$14+1,1))-AVERAGE(OFFSET($H$3,0,0,'Données projet'!$E$14+1,1))</f>
        <v>305.68891030516761</v>
      </c>
      <c r="DU136" s="60">
        <f t="shared" si="152"/>
        <v>296.00275062228275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68.402794113805015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3</v>
      </c>
      <c r="EJ136" s="13">
        <f>IF('Données projet'!$A$192&gt;35,EJ135+EI136-ER135,IF(A136&lt;'Données projet'!$A$192,$EG$205^A136,IF(A136='Données projet'!$A$192,'Données projet'!$B$192,EJ135+EI136-ER135)))</f>
        <v>291.99999999999949</v>
      </c>
      <c r="EK136" s="18">
        <f>EJ136*VLOOKUP('Données projet'!$B$15,Paramètres!$A$1:$I$89,3,0)*VLOOKUP('Données projet'!$B$15,Paramètres!$A$1:$I$89,5,0)</f>
        <v>282.42239999999953</v>
      </c>
      <c r="EL136" s="14">
        <f t="shared" si="153"/>
        <v>67.478674703106122</v>
      </c>
      <c r="EM136" s="22">
        <f t="shared" si="127"/>
        <v>609.41103844124234</v>
      </c>
      <c r="EN136" s="60">
        <f t="shared" si="128"/>
        <v>896.88795019186068</v>
      </c>
      <c r="EO136" s="60">
        <f ca="1">AVERAGE(OFFSET($EN$3,0,0,'Données projet'!$E$15+1,1))-AVERAGE(OFFSET($H$3,0,0,'Données projet'!$E$15+1,1))</f>
        <v>483.60545605360528</v>
      </c>
      <c r="EP136" s="60">
        <f t="shared" si="154"/>
        <v>256.96685577560345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68.402794113805015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0" t="e">
        <f t="shared" si="131"/>
        <v>#N/A</v>
      </c>
      <c r="FJ136" s="60" t="e">
        <f ca="1">AVERAGE(OFFSET($FI$3,0,0,'Données projet'!$E$16+1,1))-AVERAGE(OFFSET($H$3,0,0,'Données projet'!$E$16+1,1))</f>
        <v>#N/A</v>
      </c>
      <c r="FK136" s="60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68.402794113805015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0" t="e">
        <f t="shared" si="134"/>
        <v>#N/A</v>
      </c>
      <c r="GE136" s="60" t="e">
        <f ca="1">AVERAGE(OFFSET($GD$3,0,0,'Données projet'!$E$17+1,1))-AVERAGE(OFFSET($H$3,0,0,'Données projet'!$E$17+1,1))</f>
        <v>#N/A</v>
      </c>
      <c r="GF136" s="60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68.402794113805015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4">
        <f>'Scénario référence'!$B$16*5+'Scénario référence'!$B$17*0+'Scénario référence'!$B$18*5</f>
        <v>3.2750000000000004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12.008333333333335</v>
      </c>
      <c r="H137" s="67">
        <f t="shared" si="110"/>
        <v>208.63333333333333</v>
      </c>
      <c r="I137" s="7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68.430502065113075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3</v>
      </c>
      <c r="N137" s="14">
        <f>IF('Données projet'!$A$36&gt;35,N136+M137-V136,IF(A137&lt;'Données projet'!$A$36,$K$205^A137,IF(A137='Données projet'!$A$36,'Données projet'!$B$36,N136+M137-V136)))</f>
        <v>294.99999999999949</v>
      </c>
      <c r="O137" s="14">
        <f>N137*VLOOKUP('Données projet'!$B$9,Paramètres!$A$1:$I$89,3,0)*VLOOKUP('Données projet'!$B$9,Paramètres!$A$1:$I$89,5,0)</f>
        <v>299.12999999999954</v>
      </c>
      <c r="P137" s="14">
        <f t="shared" si="141"/>
        <v>70.994047242337146</v>
      </c>
      <c r="Q137" s="22">
        <f t="shared" si="108"/>
        <v>644.63271561373642</v>
      </c>
      <c r="R137" s="60">
        <f t="shared" si="109"/>
        <v>932.21122318581774</v>
      </c>
      <c r="S137" s="60">
        <f ca="1">AVERAGE(OFFSET($R$3,0,0,'Données projet'!$E$9+1,1))-AVERAGE(OFFSET($H$3,0,0,'Données projet'!$E$9+1,1))</f>
        <v>503.64055031157477</v>
      </c>
      <c r="T137" s="60">
        <f t="shared" si="142"/>
        <v>266.76572540460842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68.430502065113075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3</v>
      </c>
      <c r="AI137" s="14">
        <f>IF('Données projet'!$A$62&gt;35,AI136+AH137-AQ136,IF(A137&lt;'Données projet'!$A$62,$AF$205^A137,IF(A137='Données projet'!$A$62,'Données projet'!$B$62,AI136+AH137-AQ136)))</f>
        <v>294.99999999999949</v>
      </c>
      <c r="AJ137" s="14">
        <f>AI137*VLOOKUP('Données projet'!$B$10,Paramètres!$A$1:$I$89,3,0)*VLOOKUP('Données projet'!$B$10,Paramètres!$A$1:$I$89,5,0)</f>
        <v>266.91599999999949</v>
      </c>
      <c r="AK137" s="14">
        <f t="shared" si="143"/>
        <v>64.194329696332062</v>
      </c>
      <c r="AL137" s="22">
        <f t="shared" si="112"/>
        <v>576.68382422111074</v>
      </c>
      <c r="AM137" s="60">
        <f t="shared" si="113"/>
        <v>864.26233179319206</v>
      </c>
      <c r="AN137" s="60">
        <f ca="1">AVERAGE(OFFSET($AM$3,0,0,'Données projet'!$E$10+1,1))-AVERAGE(OFFSET($H$3,0,0,'Données projet'!$E$10+1,1))</f>
        <v>456.86058467343139</v>
      </c>
      <c r="AO137" s="60">
        <f t="shared" si="144"/>
        <v>243.88495931574937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68.430502065113075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-5.6843418860808015E-14</v>
      </c>
      <c r="BE137" s="14">
        <f>BD137*VLOOKUP('Données projet'!$B$11,Paramètres!$A$1:$I$89,3,0)*VLOOKUP('Données projet'!$B$11,Paramètres!$A$1:$I$89,5,0)</f>
        <v>-5.9412741393316544E-14</v>
      </c>
      <c r="BF137" s="14" t="e">
        <f t="shared" si="145"/>
        <v>#NUM!</v>
      </c>
      <c r="BG137" s="22" t="e">
        <f t="shared" si="115"/>
        <v>#NUM!</v>
      </c>
      <c r="BH137" s="60" t="e">
        <f t="shared" si="116"/>
        <v>#NUM!</v>
      </c>
      <c r="BI137" s="60">
        <f ca="1">AVERAGE(OFFSET($BH$3,0,0,'Données projet'!$E$11+1,1))-AVERAGE(OFFSET($H$3,0,0,'Données projet'!$E$11+1,1))</f>
        <v>518.47226207416952</v>
      </c>
      <c r="BJ137" s="60">
        <f t="shared" si="146"/>
        <v>314.6379787306804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68.430502065113075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3</v>
      </c>
      <c r="BY137" s="13">
        <f>IF('Données projet'!$A$114&gt;35,BY136+BX137-CG136,IF(A137&lt;'Données projet'!$A$114,$BV$205^A137,IF(A137='Données projet'!$A$114,'Données projet'!$B$114,BY136+BX137-CG136)))</f>
        <v>294.99999999999949</v>
      </c>
      <c r="BZ137" s="14">
        <f>BY137*VLOOKUP('Données projet'!$B$12,Paramètres!$A$1:$I$89,3,0)*VLOOKUP('Données projet'!$B$12,Paramètres!$A$1:$I$89,5,0)</f>
        <v>317.53799999999944</v>
      </c>
      <c r="CA137" s="14">
        <f t="shared" si="147"/>
        <v>74.84085664192699</v>
      </c>
      <c r="CB137" s="22">
        <f t="shared" si="118"/>
        <v>683.3931753180218</v>
      </c>
      <c r="CC137" s="60">
        <f t="shared" si="119"/>
        <v>970.97168289010301</v>
      </c>
      <c r="CD137" s="60">
        <f ca="1">AVERAGE(OFFSET($CC$3,0,0,'Données projet'!$E$12+1,1))-AVERAGE(OFFSET($H$3,0,0,'Données projet'!$E$12+1,1))</f>
        <v>530.32456073177104</v>
      </c>
      <c r="CE137" s="60">
        <f t="shared" si="148"/>
        <v>279.81519428470625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68.430502065113075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3.4106051316484809E-13</v>
      </c>
      <c r="CU137" s="18">
        <f>CT137*VLOOKUP('Données projet'!$B$13,Paramètres!$A$1:$I$89,3,0)*VLOOKUP('Données projet'!$B$13,Paramètres!$A$1:$I$89,5,0)</f>
        <v>2.9795046430081134E-13</v>
      </c>
      <c r="CV137" s="14">
        <f t="shared" si="149"/>
        <v>3.9419014464513778E-12</v>
      </c>
      <c r="CW137" s="22">
        <f t="shared" si="121"/>
        <v>7.384408744560063E-12</v>
      </c>
      <c r="CX137" s="60">
        <f t="shared" si="122"/>
        <v>287.57850757208865</v>
      </c>
      <c r="CY137" s="60">
        <f ca="1">AVERAGE(OFFSET($CX$3,0,0,'Données projet'!$E$13+1,1))-AVERAGE(OFFSET($H$3,0,0,'Données projet'!$E$13+1,1))</f>
        <v>355.03862261578701</v>
      </c>
      <c r="CZ137" s="60">
        <f t="shared" si="150"/>
        <v>382.84441399266029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68.430502065113075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1.1368683772161603E-13</v>
      </c>
      <c r="DP137" s="18">
        <f>DO137*VLOOKUP('Données projet'!$B$14,Paramètres!$A$1:$I$89,3,0)*VLOOKUP('Données projet'!$B$14,Paramètres!$A$1:$I$89,5,0)</f>
        <v>8.8675733422860506E-14</v>
      </c>
      <c r="DQ137" s="14">
        <f t="shared" si="151"/>
        <v>1.3509285393066301E-12</v>
      </c>
      <c r="DR137" s="22">
        <f t="shared" si="124"/>
        <v>2.5073107750038623E-12</v>
      </c>
      <c r="DS137" s="60">
        <f t="shared" si="125"/>
        <v>287.57850757208377</v>
      </c>
      <c r="DT137" s="60">
        <f ca="1">AVERAGE(OFFSET($DS$3,0,0,'Données projet'!$E$14+1,1))-AVERAGE(OFFSET($H$3,0,0,'Données projet'!$E$14+1,1))</f>
        <v>305.68891030516761</v>
      </c>
      <c r="DU137" s="60">
        <f t="shared" si="152"/>
        <v>296.00275062228275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68.430502065113075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3</v>
      </c>
      <c r="EJ137" s="13">
        <f>IF('Données projet'!$A$192&gt;35,EJ136+EI137-ER136,IF(A137&lt;'Données projet'!$A$192,$EG$205^A137,IF(A137='Données projet'!$A$192,'Données projet'!$B$192,EJ136+EI137-ER136)))</f>
        <v>294.99999999999949</v>
      </c>
      <c r="EK137" s="18">
        <f>EJ137*VLOOKUP('Données projet'!$B$15,Paramètres!$A$1:$I$89,3,0)*VLOOKUP('Données projet'!$B$15,Paramètres!$A$1:$I$89,5,0)</f>
        <v>285.32399999999956</v>
      </c>
      <c r="EL137" s="14">
        <f t="shared" si="153"/>
        <v>68.090886763658133</v>
      </c>
      <c r="EM137" s="22">
        <f t="shared" si="127"/>
        <v>615.53092778003713</v>
      </c>
      <c r="EN137" s="60">
        <f t="shared" si="128"/>
        <v>903.10943535211845</v>
      </c>
      <c r="EO137" s="60">
        <f ca="1">AVERAGE(OFFSET($EN$3,0,0,'Données projet'!$E$15+1,1))-AVERAGE(OFFSET($H$3,0,0,'Données projet'!$E$15+1,1))</f>
        <v>483.60545605360528</v>
      </c>
      <c r="EP137" s="60">
        <f t="shared" si="154"/>
        <v>256.96685577560345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68.430502065113075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0" t="e">
        <f t="shared" si="131"/>
        <v>#N/A</v>
      </c>
      <c r="FJ137" s="60" t="e">
        <f ca="1">AVERAGE(OFFSET($FI$3,0,0,'Données projet'!$E$16+1,1))-AVERAGE(OFFSET($H$3,0,0,'Données projet'!$E$16+1,1))</f>
        <v>#N/A</v>
      </c>
      <c r="FK137" s="60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68.430502065113075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0" t="e">
        <f t="shared" si="134"/>
        <v>#N/A</v>
      </c>
      <c r="GE137" s="60" t="e">
        <f ca="1">AVERAGE(OFFSET($GD$3,0,0,'Données projet'!$E$17+1,1))-AVERAGE(OFFSET($H$3,0,0,'Données projet'!$E$17+1,1))</f>
        <v>#N/A</v>
      </c>
      <c r="GF137" s="60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68.430502065113075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4">
        <f>'Scénario référence'!$B$16*5+'Scénario référence'!$B$17*0+'Scénario référence'!$B$18*5</f>
        <v>3.2750000000000004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12.008333333333335</v>
      </c>
      <c r="H138" s="67">
        <f t="shared" si="110"/>
        <v>208.63333333333333</v>
      </c>
      <c r="I138" s="7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68.45772934541165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>
        <f>VLOOKUP(A138,'Données projet'!$A$35:$I$55,2,0)</f>
        <v>298</v>
      </c>
      <c r="L138" s="13">
        <f>VLOOKUP(A138,'Données projet'!$A$35:$I$55,9,0)</f>
        <v>3</v>
      </c>
      <c r="M138" s="13">
        <f t="array" ref="M138">INDEX(L:L,MIN(IF(ISNUMBER(L138:L334),ROW(L138:L334),"")))</f>
        <v>3</v>
      </c>
      <c r="N138" s="14">
        <f>IF('Données projet'!$A$36&gt;35,N137+M138-V137,IF(A138&lt;'Données projet'!$A$36,$K$205^A138,IF(A138='Données projet'!$A$36,'Données projet'!$B$36,N137+M138-V137)))</f>
        <v>297.99999999999949</v>
      </c>
      <c r="O138" s="14">
        <f>N138*VLOOKUP('Données projet'!$B$9,Paramètres!$A$1:$I$89,3,0)*VLOOKUP('Données projet'!$B$9,Paramètres!$A$1:$I$89,5,0)</f>
        <v>302.17199999999951</v>
      </c>
      <c r="P138" s="14">
        <f t="shared" si="141"/>
        <v>71.631606754643101</v>
      </c>
      <c r="Q138" s="22">
        <f t="shared" si="108"/>
        <v>651.04128176433585</v>
      </c>
      <c r="R138" s="60">
        <f t="shared" si="109"/>
        <v>938.71962269751191</v>
      </c>
      <c r="S138" s="60">
        <f ca="1">AVERAGE(OFFSET($R$3,0,0,'Données projet'!$E$9+1,1))-AVERAGE(OFFSET($H$3,0,0,'Données projet'!$E$9+1,1))</f>
        <v>503.64055031157477</v>
      </c>
      <c r="T138" s="60">
        <f t="shared" si="142"/>
        <v>266.76572540460842</v>
      </c>
      <c r="U138" s="16">
        <f>IF(ISNA(VLOOKUP(A138,'Données projet'!$A$35:$I$55,3,0)),0,VLOOKUP(A138,'Données projet'!$A$35:$I$55,3,0))</f>
        <v>12</v>
      </c>
      <c r="V138" s="16">
        <f>IF(ISNA(VLOOKUP(A138,'Données projet'!$A$35:$I$55,4,0)),0,VLOOKUP(A138,'Données projet'!$A$35:$I$55,4,0))</f>
        <v>29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68.45772934541165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>
        <f>VLOOKUP(A138,'Données projet'!$A$61:$I$81,2,0)</f>
        <v>298</v>
      </c>
      <c r="AG138" s="13">
        <f>VLOOKUP(A138,'Données projet'!$A$61:$I$81,9,0)</f>
        <v>3</v>
      </c>
      <c r="AH138" s="13">
        <f t="array" ref="AH138">INDEX(AG:AG,MIN(IF(ISNUMBER(AG138:AG334),ROW(AG138:AG334),"")))</f>
        <v>3</v>
      </c>
      <c r="AI138" s="14">
        <f>IF('Données projet'!$A$62&gt;35,AI137+AH138-AQ137,IF(A138&lt;'Données projet'!$A$62,$AF$205^A138,IF(A138='Données projet'!$A$62,'Données projet'!$B$62,AI137+AH138-AQ137)))</f>
        <v>297.99999999999949</v>
      </c>
      <c r="AJ138" s="14">
        <f>AI138*VLOOKUP('Données projet'!$B$10,Paramètres!$A$1:$I$89,3,0)*VLOOKUP('Données projet'!$B$10,Paramètres!$A$1:$I$89,5,0)</f>
        <v>269.63039999999955</v>
      </c>
      <c r="AK138" s="14">
        <f t="shared" si="143"/>
        <v>64.770824587436024</v>
      </c>
      <c r="AL138" s="22">
        <f t="shared" si="112"/>
        <v>582.41546615645018</v>
      </c>
      <c r="AM138" s="60">
        <f t="shared" si="113"/>
        <v>870.09380708962624</v>
      </c>
      <c r="AN138" s="60">
        <f ca="1">AVERAGE(OFFSET($AM$3,0,0,'Données projet'!$E$10+1,1))-AVERAGE(OFFSET($H$3,0,0,'Données projet'!$E$10+1,1))</f>
        <v>456.86058467343139</v>
      </c>
      <c r="AO138" s="60">
        <f t="shared" si="144"/>
        <v>243.88495931574937</v>
      </c>
      <c r="AP138" s="16">
        <f>IF(ISNA(VLOOKUP(A138,'Données projet'!$A$61:$I$81,3,0)),0,VLOOKUP(A138,'Données projet'!$A$61:$I$81,3,0))</f>
        <v>12</v>
      </c>
      <c r="AQ138" s="16">
        <f>IF(ISNA(VLOOKUP(A138,'Données projet'!$A$61:$I$81,4,0)),0,VLOOKUP(A138,'Données projet'!$A$61:$I$81,4,0))</f>
        <v>29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68.45772934541165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-5.6843418860808015E-14</v>
      </c>
      <c r="BE138" s="14">
        <f>BD138*VLOOKUP('Données projet'!$B$11,Paramètres!$A$1:$I$89,3,0)*VLOOKUP('Données projet'!$B$11,Paramètres!$A$1:$I$89,5,0)</f>
        <v>-5.9412741393316544E-14</v>
      </c>
      <c r="BF138" s="14" t="e">
        <f t="shared" si="145"/>
        <v>#NUM!</v>
      </c>
      <c r="BG138" s="22" t="e">
        <f t="shared" si="115"/>
        <v>#NUM!</v>
      </c>
      <c r="BH138" s="60" t="e">
        <f t="shared" si="116"/>
        <v>#NUM!</v>
      </c>
      <c r="BI138" s="60">
        <f ca="1">AVERAGE(OFFSET($BH$3,0,0,'Données projet'!$E$11+1,1))-AVERAGE(OFFSET($H$3,0,0,'Données projet'!$E$11+1,1))</f>
        <v>518.47226207416952</v>
      </c>
      <c r="BJ138" s="60">
        <f t="shared" si="146"/>
        <v>314.6379787306804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68.45772934541165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>
        <f>VLOOKUP(A138,'Données projet'!$A$113:$I$133,2,0)</f>
        <v>298</v>
      </c>
      <c r="BW138" s="13">
        <f>VLOOKUP(A138,'Données projet'!$A$113:$I$133,9,0)</f>
        <v>3</v>
      </c>
      <c r="BX138" s="13">
        <f t="array" ref="BX138">INDEX(BW:BW,MIN(IF(ISNUMBER(BW138:BW334),ROW(BW138:BW334),"")))</f>
        <v>3</v>
      </c>
      <c r="BY138" s="13">
        <f>IF('Données projet'!$A$114&gt;35,BY137+BX138-CG137,IF(A138&lt;'Données projet'!$A$114,$BV$205^A138,IF(A138='Données projet'!$A$114,'Données projet'!$B$114,BY137+BX138-CG137)))</f>
        <v>297.99999999999949</v>
      </c>
      <c r="BZ138" s="14">
        <f>BY138*VLOOKUP('Données projet'!$B$12,Paramètres!$A$1:$I$89,3,0)*VLOOKUP('Données projet'!$B$12,Paramètres!$A$1:$I$89,5,0)</f>
        <v>320.76719999999943</v>
      </c>
      <c r="CA138" s="14">
        <f t="shared" si="147"/>
        <v>75.512962289014695</v>
      </c>
      <c r="CB138" s="22">
        <f t="shared" si="118"/>
        <v>690.187949320033</v>
      </c>
      <c r="CC138" s="60">
        <f t="shared" si="119"/>
        <v>977.86629025320906</v>
      </c>
      <c r="CD138" s="60">
        <f ca="1">AVERAGE(OFFSET($CC$3,0,0,'Données projet'!$E$12+1,1))-AVERAGE(OFFSET($H$3,0,0,'Données projet'!$E$12+1,1))</f>
        <v>530.32456073177104</v>
      </c>
      <c r="CE138" s="60">
        <f t="shared" si="148"/>
        <v>279.81519428470625</v>
      </c>
      <c r="CF138" s="16">
        <f>IF(ISNA(VLOOKUP(A138,'Données projet'!$A$113:$I$133,3,0)),0,VLOOKUP(A138,'Données projet'!$A$113:$I$133,3,0))</f>
        <v>12</v>
      </c>
      <c r="CG138" s="16">
        <f>IF(ISNA(VLOOKUP(A138,'Données projet'!$A$113:$I$133,4,0)),0,VLOOKUP(A138,'Données projet'!$A$113:$I$133,4,0))</f>
        <v>29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68.45772934541165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3.4106051316484809E-13</v>
      </c>
      <c r="CU138" s="18">
        <f>CT138*VLOOKUP('Données projet'!$B$13,Paramètres!$A$1:$I$89,3,0)*VLOOKUP('Données projet'!$B$13,Paramètres!$A$1:$I$89,5,0)</f>
        <v>2.9795046430081134E-13</v>
      </c>
      <c r="CV138" s="14">
        <f t="shared" si="149"/>
        <v>3.9419014464513778E-12</v>
      </c>
      <c r="CW138" s="22">
        <f t="shared" si="121"/>
        <v>7.384408744560063E-12</v>
      </c>
      <c r="CX138" s="60">
        <f t="shared" si="122"/>
        <v>287.67834093318345</v>
      </c>
      <c r="CY138" s="60">
        <f ca="1">AVERAGE(OFFSET($CX$3,0,0,'Données projet'!$E$13+1,1))-AVERAGE(OFFSET($H$3,0,0,'Données projet'!$E$13+1,1))</f>
        <v>355.03862261578701</v>
      </c>
      <c r="CZ138" s="60">
        <f t="shared" si="150"/>
        <v>382.84441399266029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68.45772934541165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1.1368683772161603E-13</v>
      </c>
      <c r="DP138" s="18">
        <f>DO138*VLOOKUP('Données projet'!$B$14,Paramètres!$A$1:$I$89,3,0)*VLOOKUP('Données projet'!$B$14,Paramètres!$A$1:$I$89,5,0)</f>
        <v>8.8675733422860506E-14</v>
      </c>
      <c r="DQ138" s="14">
        <f t="shared" si="151"/>
        <v>1.3509285393066301E-12</v>
      </c>
      <c r="DR138" s="22">
        <f t="shared" si="124"/>
        <v>2.5073107750038623E-12</v>
      </c>
      <c r="DS138" s="60">
        <f t="shared" si="125"/>
        <v>287.67834093317856</v>
      </c>
      <c r="DT138" s="60">
        <f ca="1">AVERAGE(OFFSET($DS$3,0,0,'Données projet'!$E$14+1,1))-AVERAGE(OFFSET($H$3,0,0,'Données projet'!$E$14+1,1))</f>
        <v>305.68891030516761</v>
      </c>
      <c r="DU138" s="60">
        <f t="shared" si="152"/>
        <v>296.00275062228275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68.45772934541165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>
        <f>VLOOKUP(A138,'Données projet'!$A$191:$I$211,2,0)</f>
        <v>298</v>
      </c>
      <c r="EH138" s="13">
        <f>VLOOKUP(A138,'Données projet'!$A$191:$I$211,9,0)</f>
        <v>3</v>
      </c>
      <c r="EI138" s="13">
        <f t="array" ref="EI138">INDEX(EH:EH,MIN(IF(ISNUMBER(EH138:EH334),ROW(EH138:EH334),"")))</f>
        <v>3</v>
      </c>
      <c r="EJ138" s="13">
        <f>IF('Données projet'!$A$192&gt;35,EJ137+EI138-ER137,IF(A138&lt;'Données projet'!$A$192,$EG$205^A138,IF(A138='Données projet'!$A$192,'Données projet'!$B$192,EJ137+EI138-ER137)))</f>
        <v>297.99999999999949</v>
      </c>
      <c r="EK138" s="18">
        <f>EJ138*VLOOKUP('Données projet'!$B$15,Paramètres!$A$1:$I$89,3,0)*VLOOKUP('Données projet'!$B$15,Paramètres!$A$1:$I$89,5,0)</f>
        <v>288.22559999999953</v>
      </c>
      <c r="EL138" s="14">
        <f t="shared" si="153"/>
        <v>68.702374546701776</v>
      </c>
      <c r="EM138" s="22">
        <f t="shared" si="127"/>
        <v>621.64955566883805</v>
      </c>
      <c r="EN138" s="60">
        <f t="shared" si="128"/>
        <v>909.32789660201411</v>
      </c>
      <c r="EO138" s="60">
        <f ca="1">AVERAGE(OFFSET($EN$3,0,0,'Données projet'!$E$15+1,1))-AVERAGE(OFFSET($H$3,0,0,'Données projet'!$E$15+1,1))</f>
        <v>483.60545605360528</v>
      </c>
      <c r="EP138" s="60">
        <f t="shared" si="154"/>
        <v>256.96685577560345</v>
      </c>
      <c r="EQ138" s="16">
        <f>IF(ISNA(VLOOKUP(A138,'Données projet'!$A$191:$I$211,3,0)),0,VLOOKUP(A138,'Données projet'!$A$191:$I$211,3,0))</f>
        <v>12</v>
      </c>
      <c r="ER138" s="16">
        <f>IF(ISNA(VLOOKUP(A138,'Données projet'!$A$191:$I$211,4,0)),0,VLOOKUP(A138,'Données projet'!$A$191:$I$211,4,0))</f>
        <v>29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68.45772934541165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0" t="e">
        <f t="shared" si="131"/>
        <v>#N/A</v>
      </c>
      <c r="FJ138" s="60" t="e">
        <f ca="1">AVERAGE(OFFSET($FI$3,0,0,'Données projet'!$E$16+1,1))-AVERAGE(OFFSET($H$3,0,0,'Données projet'!$E$16+1,1))</f>
        <v>#N/A</v>
      </c>
      <c r="FK138" s="60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68.45772934541165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0" t="e">
        <f t="shared" si="134"/>
        <v>#N/A</v>
      </c>
      <c r="GE138" s="60" t="e">
        <f ca="1">AVERAGE(OFFSET($GD$3,0,0,'Données projet'!$E$17+1,1))-AVERAGE(OFFSET($H$3,0,0,'Données projet'!$E$17+1,1))</f>
        <v>#N/A</v>
      </c>
      <c r="GF138" s="60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68.45772934541165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4">
        <f>'Scénario référence'!$B$16*5+'Scénario référence'!$B$17*0+'Scénario référence'!$B$18*5</f>
        <v>3.2750000000000004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12.008333333333335</v>
      </c>
      <c r="H139" s="67">
        <f t="shared" si="110"/>
        <v>208.63333333333333</v>
      </c>
      <c r="I139" s="7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68.484484293268139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2.4666666666666668</v>
      </c>
      <c r="N139" s="14">
        <f>IF('Données projet'!$A$36&gt;35,N138+M139-V138,IF(A139&lt;'Données projet'!$A$36,$K$205^A139,IF(A139='Données projet'!$A$36,'Données projet'!$B$36,N138+M139-V138)))</f>
        <v>271.46666666666613</v>
      </c>
      <c r="O139" s="14">
        <f>N139*VLOOKUP('Données projet'!$B$9,Paramètres!$A$1:$I$89,3,0)*VLOOKUP('Données projet'!$B$9,Paramètres!$A$1:$I$89,5,0)</f>
        <v>275.26719999999943</v>
      </c>
      <c r="P139" s="14">
        <f t="shared" si="141"/>
        <v>65.965842024192696</v>
      </c>
      <c r="Q139" s="22">
        <f t="shared" si="108"/>
        <v>594.31421485880117</v>
      </c>
      <c r="R139" s="60">
        <f t="shared" si="109"/>
        <v>882.09065726745098</v>
      </c>
      <c r="S139" s="60">
        <f ca="1">AVERAGE(OFFSET($R$3,0,0,'Données projet'!$E$9+1,1))-AVERAGE(OFFSET($H$3,0,0,'Données projet'!$E$9+1,1))</f>
        <v>503.64055031157477</v>
      </c>
      <c r="T139" s="60">
        <f t="shared" si="142"/>
        <v>266.76572540460842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68.484484293268139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2.4666666666666668</v>
      </c>
      <c r="AI139" s="14">
        <f>IF('Données projet'!$A$62&gt;35,AI138+AH139-AQ138,IF(A139&lt;'Données projet'!$A$62,$AF$205^A139,IF(A139='Données projet'!$A$62,'Données projet'!$B$62,AI138+AH139-AQ138)))</f>
        <v>271.46666666666613</v>
      </c>
      <c r="AJ139" s="14">
        <f>AI139*VLOOKUP('Données projet'!$B$10,Paramètres!$A$1:$I$89,3,0)*VLOOKUP('Données projet'!$B$10,Paramètres!$A$1:$I$89,5,0)</f>
        <v>245.62303999999949</v>
      </c>
      <c r="AK139" s="14">
        <f t="shared" si="143"/>
        <v>59.647719436846927</v>
      </c>
      <c r="AL139" s="22">
        <f t="shared" si="112"/>
        <v>531.67990601917427</v>
      </c>
      <c r="AM139" s="60">
        <f t="shared" si="113"/>
        <v>819.4563484278242</v>
      </c>
      <c r="AN139" s="60">
        <f ca="1">AVERAGE(OFFSET($AM$3,0,0,'Données projet'!$E$10+1,1))-AVERAGE(OFFSET($H$3,0,0,'Données projet'!$E$10+1,1))</f>
        <v>456.86058467343139</v>
      </c>
      <c r="AO139" s="60">
        <f t="shared" si="144"/>
        <v>243.88495931574937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68.484484293268139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-5.6843418860808015E-14</v>
      </c>
      <c r="BE139" s="14">
        <f>BD139*VLOOKUP('Données projet'!$B$11,Paramètres!$A$1:$I$89,3,0)*VLOOKUP('Données projet'!$B$11,Paramètres!$A$1:$I$89,5,0)</f>
        <v>-5.9412741393316544E-14</v>
      </c>
      <c r="BF139" s="14" t="e">
        <f t="shared" si="145"/>
        <v>#NUM!</v>
      </c>
      <c r="BG139" s="22" t="e">
        <f t="shared" si="115"/>
        <v>#NUM!</v>
      </c>
      <c r="BH139" s="60" t="e">
        <f t="shared" si="116"/>
        <v>#NUM!</v>
      </c>
      <c r="BI139" s="60">
        <f ca="1">AVERAGE(OFFSET($BH$3,0,0,'Données projet'!$E$11+1,1))-AVERAGE(OFFSET($H$3,0,0,'Données projet'!$E$11+1,1))</f>
        <v>518.47226207416952</v>
      </c>
      <c r="BJ139" s="60">
        <f t="shared" si="146"/>
        <v>314.6379787306804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68.484484293268139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2.4666666666666668</v>
      </c>
      <c r="BY139" s="13">
        <f>IF('Données projet'!$A$114&gt;35,BY138+BX139-CG138,IF(A139&lt;'Données projet'!$A$114,$BV$205^A139,IF(A139='Données projet'!$A$114,'Données projet'!$B$114,BY138+BX139-CG138)))</f>
        <v>271.46666666666613</v>
      </c>
      <c r="BZ139" s="14">
        <f>BY139*VLOOKUP('Données projet'!$B$12,Paramètres!$A$1:$I$89,3,0)*VLOOKUP('Données projet'!$B$12,Paramètres!$A$1:$I$89,5,0)</f>
        <v>292.20671999999939</v>
      </c>
      <c r="CA139" s="14">
        <f t="shared" si="147"/>
        <v>69.540198340072649</v>
      </c>
      <c r="CB139" s="22">
        <f t="shared" si="118"/>
        <v>630.04254944229217</v>
      </c>
      <c r="CC139" s="60">
        <f t="shared" si="119"/>
        <v>917.81899185094198</v>
      </c>
      <c r="CD139" s="60">
        <f ca="1">AVERAGE(OFFSET($CC$3,0,0,'Données projet'!$E$12+1,1))-AVERAGE(OFFSET($H$3,0,0,'Données projet'!$E$12+1,1))</f>
        <v>530.32456073177104</v>
      </c>
      <c r="CE139" s="60">
        <f t="shared" si="148"/>
        <v>279.81519428470625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68.484484293268139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3.4106051316484809E-13</v>
      </c>
      <c r="CU139" s="18">
        <f>CT139*VLOOKUP('Données projet'!$B$13,Paramètres!$A$1:$I$89,3,0)*VLOOKUP('Données projet'!$B$13,Paramètres!$A$1:$I$89,5,0)</f>
        <v>2.9795046430081134E-13</v>
      </c>
      <c r="CV139" s="14">
        <f t="shared" si="149"/>
        <v>3.9419014464513778E-12</v>
      </c>
      <c r="CW139" s="22">
        <f t="shared" si="121"/>
        <v>7.384408744560063E-12</v>
      </c>
      <c r="CX139" s="60">
        <f t="shared" si="122"/>
        <v>287.77644240865726</v>
      </c>
      <c r="CY139" s="60">
        <f ca="1">AVERAGE(OFFSET($CX$3,0,0,'Données projet'!$E$13+1,1))-AVERAGE(OFFSET($H$3,0,0,'Données projet'!$E$13+1,1))</f>
        <v>355.03862261578701</v>
      </c>
      <c r="CZ139" s="60">
        <f t="shared" si="150"/>
        <v>382.84441399266029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68.484484293268139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1.1368683772161603E-13</v>
      </c>
      <c r="DP139" s="18">
        <f>DO139*VLOOKUP('Données projet'!$B$14,Paramètres!$A$1:$I$89,3,0)*VLOOKUP('Données projet'!$B$14,Paramètres!$A$1:$I$89,5,0)</f>
        <v>8.8675733422860506E-14</v>
      </c>
      <c r="DQ139" s="14">
        <f t="shared" si="151"/>
        <v>1.3509285393066301E-12</v>
      </c>
      <c r="DR139" s="22">
        <f t="shared" si="124"/>
        <v>2.5073107750038623E-12</v>
      </c>
      <c r="DS139" s="60">
        <f t="shared" si="125"/>
        <v>287.77644240865237</v>
      </c>
      <c r="DT139" s="60">
        <f ca="1">AVERAGE(OFFSET($DS$3,0,0,'Données projet'!$E$14+1,1))-AVERAGE(OFFSET($H$3,0,0,'Données projet'!$E$14+1,1))</f>
        <v>305.68891030516761</v>
      </c>
      <c r="DU139" s="60">
        <f t="shared" si="152"/>
        <v>296.00275062228275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68.484484293268139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2.4666666666666668</v>
      </c>
      <c r="EJ139" s="13">
        <f>IF('Données projet'!$A$192&gt;35,EJ138+EI139-ER138,IF(A139&lt;'Données projet'!$A$192,$EG$205^A139,IF(A139='Données projet'!$A$192,'Données projet'!$B$192,EJ138+EI139-ER138)))</f>
        <v>271.46666666666613</v>
      </c>
      <c r="EK139" s="18">
        <f>EJ139*VLOOKUP('Données projet'!$B$15,Paramètres!$A$1:$I$89,3,0)*VLOOKUP('Données projet'!$B$15,Paramètres!$A$1:$I$89,5,0)</f>
        <v>262.56255999999951</v>
      </c>
      <c r="EL139" s="14">
        <f t="shared" si="153"/>
        <v>63.26830000558224</v>
      </c>
      <c r="EM139" s="22">
        <f t="shared" si="127"/>
        <v>567.48874784305497</v>
      </c>
      <c r="EN139" s="60">
        <f t="shared" si="128"/>
        <v>855.26519025170478</v>
      </c>
      <c r="EO139" s="60">
        <f ca="1">AVERAGE(OFFSET($EN$3,0,0,'Données projet'!$E$15+1,1))-AVERAGE(OFFSET($H$3,0,0,'Données projet'!$E$15+1,1))</f>
        <v>483.60545605360528</v>
      </c>
      <c r="EP139" s="60">
        <f t="shared" si="154"/>
        <v>256.96685577560345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68.484484293268139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0" t="e">
        <f t="shared" si="131"/>
        <v>#N/A</v>
      </c>
      <c r="FJ139" s="60" t="e">
        <f ca="1">AVERAGE(OFFSET($FI$3,0,0,'Données projet'!$E$16+1,1))-AVERAGE(OFFSET($H$3,0,0,'Données projet'!$E$16+1,1))</f>
        <v>#N/A</v>
      </c>
      <c r="FK139" s="60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68.484484293268139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0" t="e">
        <f t="shared" si="134"/>
        <v>#N/A</v>
      </c>
      <c r="GE139" s="60" t="e">
        <f ca="1">AVERAGE(OFFSET($GD$3,0,0,'Données projet'!$E$17+1,1))-AVERAGE(OFFSET($H$3,0,0,'Données projet'!$E$17+1,1))</f>
        <v>#N/A</v>
      </c>
      <c r="GF139" s="60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68.484484293268139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4">
        <f>'Scénario référence'!$B$16*5+'Scénario référence'!$B$17*0+'Scénario référence'!$B$18*5</f>
        <v>3.2750000000000004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12.008333333333335</v>
      </c>
      <c r="H140" s="67">
        <f t="shared" si="110"/>
        <v>208.63333333333333</v>
      </c>
      <c r="I140" s="7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68.510775102594394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2.4666666666666668</v>
      </c>
      <c r="N140" s="14">
        <f>IF('Données projet'!$A$36&gt;35,N139+M140-V139,IF(A140&lt;'Données projet'!$A$36,$K$205^A140,IF(A140='Données projet'!$A$36,'Données projet'!$B$36,N139+M140-V139)))</f>
        <v>273.93333333333277</v>
      </c>
      <c r="O140" s="14">
        <f>N140*VLOOKUP('Données projet'!$B$9,Paramètres!$A$1:$I$89,3,0)*VLOOKUP('Données projet'!$B$9,Paramètres!$A$1:$I$89,5,0)</f>
        <v>277.76839999999942</v>
      </c>
      <c r="P140" s="14">
        <f t="shared" si="141"/>
        <v>66.495188244530098</v>
      </c>
      <c r="Q140" s="22">
        <f t="shared" si="108"/>
        <v>599.59241619255545</v>
      </c>
      <c r="R140" s="60">
        <f t="shared" si="109"/>
        <v>887.46525823540151</v>
      </c>
      <c r="S140" s="60">
        <f ca="1">AVERAGE(OFFSET($R$3,0,0,'Données projet'!$E$9+1,1))-AVERAGE(OFFSET($H$3,0,0,'Données projet'!$E$9+1,1))</f>
        <v>503.64055031157477</v>
      </c>
      <c r="T140" s="60">
        <f t="shared" si="142"/>
        <v>266.76572540460842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68.510775102594394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2.4666666666666668</v>
      </c>
      <c r="AI140" s="14">
        <f>IF('Données projet'!$A$62&gt;35,AI139+AH140-AQ139,IF(A140&lt;'Données projet'!$A$62,$AF$205^A140,IF(A140='Données projet'!$A$62,'Données projet'!$B$62,AI139+AH140-AQ139)))</f>
        <v>273.93333333333277</v>
      </c>
      <c r="AJ140" s="14">
        <f>AI140*VLOOKUP('Données projet'!$B$10,Paramètres!$A$1:$I$89,3,0)*VLOOKUP('Données projet'!$B$10,Paramètres!$A$1:$I$89,5,0)</f>
        <v>247.8548799999995</v>
      </c>
      <c r="AK140" s="14">
        <f t="shared" si="143"/>
        <v>60.126365564399748</v>
      </c>
      <c r="AL140" s="22">
        <f t="shared" si="112"/>
        <v>536.40066935799541</v>
      </c>
      <c r="AM140" s="60">
        <f t="shared" si="113"/>
        <v>824.27351140084147</v>
      </c>
      <c r="AN140" s="60">
        <f ca="1">AVERAGE(OFFSET($AM$3,0,0,'Données projet'!$E$10+1,1))-AVERAGE(OFFSET($H$3,0,0,'Données projet'!$E$10+1,1))</f>
        <v>456.86058467343139</v>
      </c>
      <c r="AO140" s="60">
        <f t="shared" si="144"/>
        <v>243.88495931574937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68.510775102594394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-5.6843418860808015E-14</v>
      </c>
      <c r="BE140" s="14">
        <f>BD140*VLOOKUP('Données projet'!$B$11,Paramètres!$A$1:$I$89,3,0)*VLOOKUP('Données projet'!$B$11,Paramètres!$A$1:$I$89,5,0)</f>
        <v>-5.9412741393316544E-14</v>
      </c>
      <c r="BF140" s="14" t="e">
        <f t="shared" si="145"/>
        <v>#NUM!</v>
      </c>
      <c r="BG140" s="22" t="e">
        <f t="shared" si="115"/>
        <v>#NUM!</v>
      </c>
      <c r="BH140" s="60" t="e">
        <f t="shared" si="116"/>
        <v>#NUM!</v>
      </c>
      <c r="BI140" s="60">
        <f ca="1">AVERAGE(OFFSET($BH$3,0,0,'Données projet'!$E$11+1,1))-AVERAGE(OFFSET($H$3,0,0,'Données projet'!$E$11+1,1))</f>
        <v>518.47226207416952</v>
      </c>
      <c r="BJ140" s="60">
        <f t="shared" si="146"/>
        <v>314.6379787306804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68.510775102594394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2.4666666666666668</v>
      </c>
      <c r="BY140" s="13">
        <f>IF('Données projet'!$A$114&gt;35,BY139+BX140-CG139,IF(A140&lt;'Données projet'!$A$114,$BV$205^A140,IF(A140='Données projet'!$A$114,'Données projet'!$B$114,BY139+BX140-CG139)))</f>
        <v>273.93333333333277</v>
      </c>
      <c r="BZ140" s="14">
        <f>BY140*VLOOKUP('Données projet'!$B$12,Paramètres!$A$1:$I$89,3,0)*VLOOKUP('Données projet'!$B$12,Paramètres!$A$1:$I$89,5,0)</f>
        <v>294.86183999999935</v>
      </c>
      <c r="CA140" s="14">
        <f t="shared" si="147"/>
        <v>70.098227162615771</v>
      </c>
      <c r="CB140" s="22">
        <f t="shared" si="118"/>
        <v>635.63878364155471</v>
      </c>
      <c r="CC140" s="60">
        <f t="shared" si="119"/>
        <v>923.51162568440077</v>
      </c>
      <c r="CD140" s="60">
        <f ca="1">AVERAGE(OFFSET($CC$3,0,0,'Données projet'!$E$12+1,1))-AVERAGE(OFFSET($H$3,0,0,'Données projet'!$E$12+1,1))</f>
        <v>530.32456073177104</v>
      </c>
      <c r="CE140" s="60">
        <f t="shared" si="148"/>
        <v>279.81519428470625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68.510775102594394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3.4106051316484809E-13</v>
      </c>
      <c r="CU140" s="18">
        <f>CT140*VLOOKUP('Données projet'!$B$13,Paramètres!$A$1:$I$89,3,0)*VLOOKUP('Données projet'!$B$13,Paramètres!$A$1:$I$89,5,0)</f>
        <v>2.9795046430081134E-13</v>
      </c>
      <c r="CV140" s="14">
        <f t="shared" si="149"/>
        <v>3.9419014464513778E-12</v>
      </c>
      <c r="CW140" s="22">
        <f t="shared" si="121"/>
        <v>7.384408744560063E-12</v>
      </c>
      <c r="CX140" s="60">
        <f t="shared" si="122"/>
        <v>287.87284204285351</v>
      </c>
      <c r="CY140" s="60">
        <f ca="1">AVERAGE(OFFSET($CX$3,0,0,'Données projet'!$E$13+1,1))-AVERAGE(OFFSET($H$3,0,0,'Données projet'!$E$13+1,1))</f>
        <v>355.03862261578701</v>
      </c>
      <c r="CZ140" s="60">
        <f t="shared" si="150"/>
        <v>382.84441399266029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68.510775102594394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1.1368683772161603E-13</v>
      </c>
      <c r="DP140" s="18">
        <f>DO140*VLOOKUP('Données projet'!$B$14,Paramètres!$A$1:$I$89,3,0)*VLOOKUP('Données projet'!$B$14,Paramètres!$A$1:$I$89,5,0)</f>
        <v>8.8675733422860506E-14</v>
      </c>
      <c r="DQ140" s="14">
        <f t="shared" si="151"/>
        <v>1.3509285393066301E-12</v>
      </c>
      <c r="DR140" s="22">
        <f t="shared" si="124"/>
        <v>2.5073107750038623E-12</v>
      </c>
      <c r="DS140" s="60">
        <f t="shared" si="125"/>
        <v>287.87284204284862</v>
      </c>
      <c r="DT140" s="60">
        <f ca="1">AVERAGE(OFFSET($DS$3,0,0,'Données projet'!$E$14+1,1))-AVERAGE(OFFSET($H$3,0,0,'Données projet'!$E$14+1,1))</f>
        <v>305.68891030516761</v>
      </c>
      <c r="DU140" s="60">
        <f t="shared" si="152"/>
        <v>296.00275062228275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68.510775102594394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2.4666666666666668</v>
      </c>
      <c r="EJ140" s="13">
        <f>IF('Données projet'!$A$192&gt;35,EJ139+EI140-ER139,IF(A140&lt;'Données projet'!$A$192,$EG$205^A140,IF(A140='Données projet'!$A$192,'Données projet'!$B$192,EJ139+EI140-ER139)))</f>
        <v>273.93333333333277</v>
      </c>
      <c r="EK140" s="18">
        <f>EJ140*VLOOKUP('Données projet'!$B$15,Paramètres!$A$1:$I$89,3,0)*VLOOKUP('Données projet'!$B$15,Paramètres!$A$1:$I$89,5,0)</f>
        <v>264.94831999999946</v>
      </c>
      <c r="EL140" s="14">
        <f t="shared" si="153"/>
        <v>63.775999664184965</v>
      </c>
      <c r="EM140" s="22">
        <f t="shared" si="127"/>
        <v>572.52819008178778</v>
      </c>
      <c r="EN140" s="60">
        <f t="shared" si="128"/>
        <v>860.40103212463396</v>
      </c>
      <c r="EO140" s="60">
        <f ca="1">AVERAGE(OFFSET($EN$3,0,0,'Données projet'!$E$15+1,1))-AVERAGE(OFFSET($H$3,0,0,'Données projet'!$E$15+1,1))</f>
        <v>483.60545605360528</v>
      </c>
      <c r="EP140" s="60">
        <f t="shared" si="154"/>
        <v>256.96685577560345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68.510775102594394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0" t="e">
        <f t="shared" si="131"/>
        <v>#N/A</v>
      </c>
      <c r="FJ140" s="60" t="e">
        <f ca="1">AVERAGE(OFFSET($FI$3,0,0,'Données projet'!$E$16+1,1))-AVERAGE(OFFSET($H$3,0,0,'Données projet'!$E$16+1,1))</f>
        <v>#N/A</v>
      </c>
      <c r="FK140" s="60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68.510775102594394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0" t="e">
        <f t="shared" si="134"/>
        <v>#N/A</v>
      </c>
      <c r="GE140" s="60" t="e">
        <f ca="1">AVERAGE(OFFSET($GD$3,0,0,'Données projet'!$E$17+1,1))-AVERAGE(OFFSET($H$3,0,0,'Données projet'!$E$17+1,1))</f>
        <v>#N/A</v>
      </c>
      <c r="GF140" s="60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68.510775102594394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4">
        <f>'Scénario référence'!$B$16*5+'Scénario référence'!$B$17*0+'Scénario référence'!$B$18*5</f>
        <v>3.2750000000000004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12.008333333333335</v>
      </c>
      <c r="H141" s="67">
        <f t="shared" si="110"/>
        <v>208.63333333333333</v>
      </c>
      <c r="I141" s="7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68.53660982515629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2.4666666666666668</v>
      </c>
      <c r="N141" s="14">
        <f>IF('Données projet'!$A$36&gt;35,N140+M141-V140,IF(A141&lt;'Données projet'!$A$36,$K$205^A141,IF(A141='Données projet'!$A$36,'Données projet'!$B$36,N140+M141-V140)))</f>
        <v>276.39999999999941</v>
      </c>
      <c r="O141" s="14">
        <f>N141*VLOOKUP('Données projet'!$B$9,Paramètres!$A$1:$I$89,3,0)*VLOOKUP('Données projet'!$B$9,Paramètres!$A$1:$I$89,5,0)</f>
        <v>280.2695999999994</v>
      </c>
      <c r="P141" s="14">
        <f t="shared" si="141"/>
        <v>67.023979919595888</v>
      </c>
      <c r="Q141" s="22">
        <f t="shared" si="108"/>
        <v>604.86965169329517</v>
      </c>
      <c r="R141" s="60">
        <f t="shared" si="109"/>
        <v>892.83722105220158</v>
      </c>
      <c r="S141" s="60">
        <f ca="1">AVERAGE(OFFSET($R$3,0,0,'Données projet'!$E$9+1,1))-AVERAGE(OFFSET($H$3,0,0,'Données projet'!$E$9+1,1))</f>
        <v>503.64055031157477</v>
      </c>
      <c r="T141" s="60">
        <f t="shared" si="142"/>
        <v>266.76572540460842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68.53660982515629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2.4666666666666668</v>
      </c>
      <c r="AI141" s="14">
        <f>IF('Données projet'!$A$62&gt;35,AI140+AH141-AQ140,IF(A141&lt;'Données projet'!$A$62,$AF$205^A141,IF(A141='Données projet'!$A$62,'Données projet'!$B$62,AI140+AH141-AQ140)))</f>
        <v>276.39999999999941</v>
      </c>
      <c r="AJ141" s="14">
        <f>AI141*VLOOKUP('Données projet'!$B$10,Paramètres!$A$1:$I$89,3,0)*VLOOKUP('Données projet'!$B$10,Paramètres!$A$1:$I$89,5,0)</f>
        <v>250.08671999999945</v>
      </c>
      <c r="AK141" s="14">
        <f t="shared" si="143"/>
        <v>60.604510260305993</v>
      </c>
      <c r="AL141" s="22">
        <f t="shared" si="112"/>
        <v>541.12055937003197</v>
      </c>
      <c r="AM141" s="60">
        <f t="shared" si="113"/>
        <v>829.08812872893827</v>
      </c>
      <c r="AN141" s="60">
        <f ca="1">AVERAGE(OFFSET($AM$3,0,0,'Données projet'!$E$10+1,1))-AVERAGE(OFFSET($H$3,0,0,'Données projet'!$E$10+1,1))</f>
        <v>456.86058467343139</v>
      </c>
      <c r="AO141" s="60">
        <f t="shared" si="144"/>
        <v>243.88495931574937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68.53660982515629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-5.6843418860808015E-14</v>
      </c>
      <c r="BE141" s="14">
        <f>BD141*VLOOKUP('Données projet'!$B$11,Paramètres!$A$1:$I$89,3,0)*VLOOKUP('Données projet'!$B$11,Paramètres!$A$1:$I$89,5,0)</f>
        <v>-5.9412741393316544E-14</v>
      </c>
      <c r="BF141" s="14" t="e">
        <f t="shared" si="145"/>
        <v>#NUM!</v>
      </c>
      <c r="BG141" s="22" t="e">
        <f t="shared" si="115"/>
        <v>#NUM!</v>
      </c>
      <c r="BH141" s="60" t="e">
        <f t="shared" si="116"/>
        <v>#NUM!</v>
      </c>
      <c r="BI141" s="60">
        <f ca="1">AVERAGE(OFFSET($BH$3,0,0,'Données projet'!$E$11+1,1))-AVERAGE(OFFSET($H$3,0,0,'Données projet'!$E$11+1,1))</f>
        <v>518.47226207416952</v>
      </c>
      <c r="BJ141" s="60">
        <f t="shared" si="146"/>
        <v>314.6379787306804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68.53660982515629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2.4666666666666668</v>
      </c>
      <c r="BY141" s="13">
        <f>IF('Données projet'!$A$114&gt;35,BY140+BX141-CG140,IF(A141&lt;'Données projet'!$A$114,$BV$205^A141,IF(A141='Données projet'!$A$114,'Données projet'!$B$114,BY140+BX141-CG140)))</f>
        <v>276.39999999999941</v>
      </c>
      <c r="BZ141" s="14">
        <f>BY141*VLOOKUP('Données projet'!$B$12,Paramètres!$A$1:$I$89,3,0)*VLOOKUP('Données projet'!$B$12,Paramètres!$A$1:$I$89,5,0)</f>
        <v>297.51695999999936</v>
      </c>
      <c r="CA141" s="14">
        <f t="shared" si="147"/>
        <v>70.655671391875572</v>
      </c>
      <c r="CB141" s="22">
        <f t="shared" si="118"/>
        <v>641.2339996741822</v>
      </c>
      <c r="CC141" s="60">
        <f t="shared" si="119"/>
        <v>929.20156903308862</v>
      </c>
      <c r="CD141" s="60">
        <f ca="1">AVERAGE(OFFSET($CC$3,0,0,'Données projet'!$E$12+1,1))-AVERAGE(OFFSET($H$3,0,0,'Données projet'!$E$12+1,1))</f>
        <v>530.32456073177104</v>
      </c>
      <c r="CE141" s="60">
        <f t="shared" si="148"/>
        <v>279.81519428470625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68.53660982515629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3.4106051316484809E-13</v>
      </c>
      <c r="CU141" s="18">
        <f>CT141*VLOOKUP('Données projet'!$B$13,Paramètres!$A$1:$I$89,3,0)*VLOOKUP('Données projet'!$B$13,Paramètres!$A$1:$I$89,5,0)</f>
        <v>2.9795046430081134E-13</v>
      </c>
      <c r="CV141" s="14">
        <f t="shared" si="149"/>
        <v>3.9419014464513778E-12</v>
      </c>
      <c r="CW141" s="22">
        <f t="shared" si="121"/>
        <v>7.384408744560063E-12</v>
      </c>
      <c r="CX141" s="60">
        <f t="shared" si="122"/>
        <v>287.96756935891375</v>
      </c>
      <c r="CY141" s="60">
        <f ca="1">AVERAGE(OFFSET($CX$3,0,0,'Données projet'!$E$13+1,1))-AVERAGE(OFFSET($H$3,0,0,'Données projet'!$E$13+1,1))</f>
        <v>355.03862261578701</v>
      </c>
      <c r="CZ141" s="60">
        <f t="shared" si="150"/>
        <v>382.84441399266029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68.53660982515629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1.1368683772161603E-13</v>
      </c>
      <c r="DP141" s="18">
        <f>DO141*VLOOKUP('Données projet'!$B$14,Paramètres!$A$1:$I$89,3,0)*VLOOKUP('Données projet'!$B$14,Paramètres!$A$1:$I$89,5,0)</f>
        <v>8.8675733422860506E-14</v>
      </c>
      <c r="DQ141" s="14">
        <f t="shared" si="151"/>
        <v>1.3509285393066301E-12</v>
      </c>
      <c r="DR141" s="22">
        <f t="shared" si="124"/>
        <v>2.5073107750038623E-12</v>
      </c>
      <c r="DS141" s="60">
        <f t="shared" si="125"/>
        <v>287.96756935890886</v>
      </c>
      <c r="DT141" s="60">
        <f ca="1">AVERAGE(OFFSET($DS$3,0,0,'Données projet'!$E$14+1,1))-AVERAGE(OFFSET($H$3,0,0,'Données projet'!$E$14+1,1))</f>
        <v>305.68891030516761</v>
      </c>
      <c r="DU141" s="60">
        <f t="shared" si="152"/>
        <v>296.00275062228275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68.53660982515629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2.4666666666666668</v>
      </c>
      <c r="EJ141" s="13">
        <f>IF('Données projet'!$A$192&gt;35,EJ140+EI141-ER140,IF(A141&lt;'Données projet'!$A$192,$EG$205^A141,IF(A141='Données projet'!$A$192,'Données projet'!$B$192,EJ140+EI141-ER140)))</f>
        <v>276.39999999999941</v>
      </c>
      <c r="EK141" s="18">
        <f>EJ141*VLOOKUP('Données projet'!$B$15,Paramètres!$A$1:$I$89,3,0)*VLOOKUP('Données projet'!$B$15,Paramètres!$A$1:$I$89,5,0)</f>
        <v>267.3340799999994</v>
      </c>
      <c r="EL141" s="14">
        <f t="shared" si="153"/>
        <v>64.283167454542934</v>
      </c>
      <c r="EM141" s="22">
        <f t="shared" si="127"/>
        <v>577.56670598332778</v>
      </c>
      <c r="EN141" s="60">
        <f t="shared" si="128"/>
        <v>865.5342753422342</v>
      </c>
      <c r="EO141" s="60">
        <f ca="1">AVERAGE(OFFSET($EN$3,0,0,'Données projet'!$E$15+1,1))-AVERAGE(OFFSET($H$3,0,0,'Données projet'!$E$15+1,1))</f>
        <v>483.60545605360528</v>
      </c>
      <c r="EP141" s="60">
        <f t="shared" si="154"/>
        <v>256.96685577560345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68.53660982515629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0" t="e">
        <f t="shared" si="131"/>
        <v>#N/A</v>
      </c>
      <c r="FJ141" s="60" t="e">
        <f ca="1">AVERAGE(OFFSET($FI$3,0,0,'Données projet'!$E$16+1,1))-AVERAGE(OFFSET($H$3,0,0,'Données projet'!$E$16+1,1))</f>
        <v>#N/A</v>
      </c>
      <c r="FK141" s="60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68.53660982515629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0" t="e">
        <f t="shared" si="134"/>
        <v>#N/A</v>
      </c>
      <c r="GE141" s="60" t="e">
        <f ca="1">AVERAGE(OFFSET($GD$3,0,0,'Données projet'!$E$17+1,1))-AVERAGE(OFFSET($H$3,0,0,'Données projet'!$E$17+1,1))</f>
        <v>#N/A</v>
      </c>
      <c r="GF141" s="60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68.53660982515629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4">
        <f>'Scénario référence'!$B$16*5+'Scénario référence'!$B$17*0+'Scénario référence'!$B$18*5</f>
        <v>3.2750000000000004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12.008333333333335</v>
      </c>
      <c r="H142" s="67">
        <f t="shared" si="110"/>
        <v>208.63333333333333</v>
      </c>
      <c r="I142" s="7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68.561996373039534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2.4666666666666668</v>
      </c>
      <c r="N142" s="14">
        <f>IF('Données projet'!$A$36&gt;35,N141+M142-V141,IF(A142&lt;'Données projet'!$A$36,$K$205^A142,IF(A142='Données projet'!$A$36,'Données projet'!$B$36,N141+M142-V141)))</f>
        <v>278.86666666666605</v>
      </c>
      <c r="O142" s="14">
        <f>N142*VLOOKUP('Données projet'!$B$9,Paramètres!$A$1:$I$89,3,0)*VLOOKUP('Données projet'!$B$9,Paramètres!$A$1:$I$89,5,0)</f>
        <v>282.77079999999944</v>
      </c>
      <c r="P142" s="14">
        <f t="shared" si="141"/>
        <v>67.552222571630026</v>
      </c>
      <c r="Q142" s="22">
        <f t="shared" si="108"/>
        <v>610.14593097892123</v>
      </c>
      <c r="R142" s="60">
        <f t="shared" si="109"/>
        <v>898.20658434673282</v>
      </c>
      <c r="S142" s="60">
        <f ca="1">AVERAGE(OFFSET($R$3,0,0,'Données projet'!$E$9+1,1))-AVERAGE(OFFSET($H$3,0,0,'Données projet'!$E$9+1,1))</f>
        <v>503.64055031157477</v>
      </c>
      <c r="T142" s="60">
        <f t="shared" si="142"/>
        <v>266.76572540460842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68.561996373039534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2.4666666666666668</v>
      </c>
      <c r="AI142" s="14">
        <f>IF('Données projet'!$A$62&gt;35,AI141+AH142-AQ141,IF(A142&lt;'Données projet'!$A$62,$AF$205^A142,IF(A142='Données projet'!$A$62,'Données projet'!$B$62,AI141+AH142-AQ141)))</f>
        <v>278.86666666666605</v>
      </c>
      <c r="AJ142" s="14">
        <f>AI142*VLOOKUP('Données projet'!$B$10,Paramètres!$A$1:$I$89,3,0)*VLOOKUP('Données projet'!$B$10,Paramètres!$A$1:$I$89,5,0)</f>
        <v>252.31855999999945</v>
      </c>
      <c r="AK142" s="14">
        <f t="shared" si="143"/>
        <v>61.082158517893006</v>
      </c>
      <c r="AL142" s="22">
        <f t="shared" si="112"/>
        <v>545.83958475199609</v>
      </c>
      <c r="AM142" s="60">
        <f t="shared" si="113"/>
        <v>833.90023811980768</v>
      </c>
      <c r="AN142" s="60">
        <f ca="1">AVERAGE(OFFSET($AM$3,0,0,'Données projet'!$E$10+1,1))-AVERAGE(OFFSET($H$3,0,0,'Données projet'!$E$10+1,1))</f>
        <v>456.86058467343139</v>
      </c>
      <c r="AO142" s="60">
        <f t="shared" si="144"/>
        <v>243.88495931574937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68.561996373039534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-5.6843418860808015E-14</v>
      </c>
      <c r="BE142" s="14">
        <f>BD142*VLOOKUP('Données projet'!$B$11,Paramètres!$A$1:$I$89,3,0)*VLOOKUP('Données projet'!$B$11,Paramètres!$A$1:$I$89,5,0)</f>
        <v>-5.9412741393316544E-14</v>
      </c>
      <c r="BF142" s="14" t="e">
        <f t="shared" si="145"/>
        <v>#NUM!</v>
      </c>
      <c r="BG142" s="22" t="e">
        <f t="shared" si="115"/>
        <v>#NUM!</v>
      </c>
      <c r="BH142" s="60" t="e">
        <f t="shared" si="116"/>
        <v>#NUM!</v>
      </c>
      <c r="BI142" s="60">
        <f ca="1">AVERAGE(OFFSET($BH$3,0,0,'Données projet'!$E$11+1,1))-AVERAGE(OFFSET($H$3,0,0,'Données projet'!$E$11+1,1))</f>
        <v>518.47226207416952</v>
      </c>
      <c r="BJ142" s="60">
        <f t="shared" si="146"/>
        <v>314.6379787306804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68.561996373039534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2.4666666666666668</v>
      </c>
      <c r="BY142" s="13">
        <f>IF('Données projet'!$A$114&gt;35,BY141+BX142-CG141,IF(A142&lt;'Données projet'!$A$114,$BV$205^A142,IF(A142='Données projet'!$A$114,'Données projet'!$B$114,BY141+BX142-CG141)))</f>
        <v>278.86666666666605</v>
      </c>
      <c r="BZ142" s="14">
        <f>BY142*VLOOKUP('Données projet'!$B$12,Paramètres!$A$1:$I$89,3,0)*VLOOKUP('Données projet'!$B$12,Paramètres!$A$1:$I$89,5,0)</f>
        <v>300.17207999999931</v>
      </c>
      <c r="CA142" s="14">
        <f t="shared" si="147"/>
        <v>71.212536849314475</v>
      </c>
      <c r="CB142" s="22">
        <f t="shared" si="118"/>
        <v>646.82820767922146</v>
      </c>
      <c r="CC142" s="60">
        <f t="shared" si="119"/>
        <v>934.88886104703306</v>
      </c>
      <c r="CD142" s="60">
        <f ca="1">AVERAGE(OFFSET($CC$3,0,0,'Données projet'!$E$12+1,1))-AVERAGE(OFFSET($H$3,0,0,'Données projet'!$E$12+1,1))</f>
        <v>530.32456073177104</v>
      </c>
      <c r="CE142" s="60">
        <f t="shared" si="148"/>
        <v>279.81519428470625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68.561996373039534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3.4106051316484809E-13</v>
      </c>
      <c r="CU142" s="18">
        <f>CT142*VLOOKUP('Données projet'!$B$13,Paramètres!$A$1:$I$89,3,0)*VLOOKUP('Données projet'!$B$13,Paramètres!$A$1:$I$89,5,0)</f>
        <v>2.9795046430081134E-13</v>
      </c>
      <c r="CV142" s="14">
        <f t="shared" si="149"/>
        <v>3.9419014464513778E-12</v>
      </c>
      <c r="CW142" s="22">
        <f t="shared" si="121"/>
        <v>7.384408744560063E-12</v>
      </c>
      <c r="CX142" s="60">
        <f t="shared" si="122"/>
        <v>288.06065336781904</v>
      </c>
      <c r="CY142" s="60">
        <f ca="1">AVERAGE(OFFSET($CX$3,0,0,'Données projet'!$E$13+1,1))-AVERAGE(OFFSET($H$3,0,0,'Données projet'!$E$13+1,1))</f>
        <v>355.03862261578701</v>
      </c>
      <c r="CZ142" s="60">
        <f t="shared" si="150"/>
        <v>382.84441399266029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68.561996373039534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1.1368683772161603E-13</v>
      </c>
      <c r="DP142" s="18">
        <f>DO142*VLOOKUP('Données projet'!$B$14,Paramètres!$A$1:$I$89,3,0)*VLOOKUP('Données projet'!$B$14,Paramètres!$A$1:$I$89,5,0)</f>
        <v>8.8675733422860506E-14</v>
      </c>
      <c r="DQ142" s="14">
        <f t="shared" si="151"/>
        <v>1.3509285393066301E-12</v>
      </c>
      <c r="DR142" s="22">
        <f t="shared" si="124"/>
        <v>2.5073107750038623E-12</v>
      </c>
      <c r="DS142" s="60">
        <f t="shared" si="125"/>
        <v>288.06065336781415</v>
      </c>
      <c r="DT142" s="60">
        <f ca="1">AVERAGE(OFFSET($DS$3,0,0,'Données projet'!$E$14+1,1))-AVERAGE(OFFSET($H$3,0,0,'Données projet'!$E$14+1,1))</f>
        <v>305.68891030516761</v>
      </c>
      <c r="DU142" s="60">
        <f t="shared" si="152"/>
        <v>296.00275062228275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68.561996373039534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2.4666666666666668</v>
      </c>
      <c r="EJ142" s="13">
        <f>IF('Données projet'!$A$192&gt;35,EJ141+EI142-ER141,IF(A142&lt;'Données projet'!$A$192,$EG$205^A142,IF(A142='Données projet'!$A$192,'Données projet'!$B$192,EJ141+EI142-ER141)))</f>
        <v>278.86666666666605</v>
      </c>
      <c r="EK142" s="18">
        <f>EJ142*VLOOKUP('Données projet'!$B$15,Paramètres!$A$1:$I$89,3,0)*VLOOKUP('Données projet'!$B$15,Paramètres!$A$1:$I$89,5,0)</f>
        <v>269.71983999999941</v>
      </c>
      <c r="EL142" s="14">
        <f t="shared" si="153"/>
        <v>64.789808673075157</v>
      </c>
      <c r="EM142" s="22">
        <f t="shared" si="127"/>
        <v>582.60430477227158</v>
      </c>
      <c r="EN142" s="60">
        <f t="shared" si="128"/>
        <v>870.66495814008317</v>
      </c>
      <c r="EO142" s="60">
        <f ca="1">AVERAGE(OFFSET($EN$3,0,0,'Données projet'!$E$15+1,1))-AVERAGE(OFFSET($H$3,0,0,'Données projet'!$E$15+1,1))</f>
        <v>483.60545605360528</v>
      </c>
      <c r="EP142" s="60">
        <f t="shared" si="154"/>
        <v>256.96685577560345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68.561996373039534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0" t="e">
        <f t="shared" si="131"/>
        <v>#N/A</v>
      </c>
      <c r="FJ142" s="60" t="e">
        <f ca="1">AVERAGE(OFFSET($FI$3,0,0,'Données projet'!$E$16+1,1))-AVERAGE(OFFSET($H$3,0,0,'Données projet'!$E$16+1,1))</f>
        <v>#N/A</v>
      </c>
      <c r="FK142" s="60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68.561996373039534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0" t="e">
        <f t="shared" si="134"/>
        <v>#N/A</v>
      </c>
      <c r="GE142" s="60" t="e">
        <f ca="1">AVERAGE(OFFSET($GD$3,0,0,'Données projet'!$E$17+1,1))-AVERAGE(OFFSET($H$3,0,0,'Données projet'!$E$17+1,1))</f>
        <v>#N/A</v>
      </c>
      <c r="GF142" s="60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68.561996373039534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4">
        <f>'Scénario référence'!$B$16*5+'Scénario référence'!$B$17*0+'Scénario référence'!$B$18*5</f>
        <v>3.2750000000000004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12.008333333333335</v>
      </c>
      <c r="H143" s="67">
        <f t="shared" si="110"/>
        <v>208.63333333333333</v>
      </c>
      <c r="I143" s="7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68.586942521072814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2.4666666666666668</v>
      </c>
      <c r="N143" s="14">
        <f>IF('Données projet'!$A$36&gt;35,N142+M143-V142,IF(A143&lt;'Données projet'!$A$36,$K$205^A143,IF(A143='Données projet'!$A$36,'Données projet'!$B$36,N142+M143-V142)))</f>
        <v>281.33333333333269</v>
      </c>
      <c r="O143" s="14">
        <f>N143*VLOOKUP('Données projet'!$B$9,Paramètres!$A$1:$I$89,3,0)*VLOOKUP('Données projet'!$B$9,Paramètres!$A$1:$I$89,5,0)</f>
        <v>285.27199999999937</v>
      </c>
      <c r="P143" s="14">
        <f t="shared" si="141"/>
        <v>68.079921619544265</v>
      </c>
      <c r="Q143" s="22">
        <f t="shared" si="108"/>
        <v>615.42126348737179</v>
      </c>
      <c r="R143" s="60">
        <f t="shared" si="109"/>
        <v>903.57338606463873</v>
      </c>
      <c r="S143" s="60">
        <f ca="1">AVERAGE(OFFSET($R$3,0,0,'Données projet'!$E$9+1,1))-AVERAGE(OFFSET($H$3,0,0,'Données projet'!$E$9+1,1))</f>
        <v>503.64055031157477</v>
      </c>
      <c r="T143" s="60">
        <f t="shared" si="142"/>
        <v>266.76572540460842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68.586942521072814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2.4666666666666668</v>
      </c>
      <c r="AI143" s="14">
        <f>IF('Données projet'!$A$62&gt;35,AI142+AH143-AQ142,IF(A143&lt;'Données projet'!$A$62,$AF$205^A143,IF(A143='Données projet'!$A$62,'Données projet'!$B$62,AI142+AH143-AQ142)))</f>
        <v>281.33333333333269</v>
      </c>
      <c r="AJ143" s="14">
        <f>AI143*VLOOKUP('Données projet'!$B$10,Paramètres!$A$1:$I$89,3,0)*VLOOKUP('Données projet'!$B$10,Paramètres!$A$1:$I$89,5,0)</f>
        <v>254.5503999999994</v>
      </c>
      <c r="AK143" s="14">
        <f t="shared" si="143"/>
        <v>61.559315237055863</v>
      </c>
      <c r="AL143" s="22">
        <f t="shared" si="112"/>
        <v>550.55775403787118</v>
      </c>
      <c r="AM143" s="60">
        <f t="shared" si="113"/>
        <v>838.70987661513823</v>
      </c>
      <c r="AN143" s="60">
        <f ca="1">AVERAGE(OFFSET($AM$3,0,0,'Données projet'!$E$10+1,1))-AVERAGE(OFFSET($H$3,0,0,'Données projet'!$E$10+1,1))</f>
        <v>456.86058467343139</v>
      </c>
      <c r="AO143" s="60">
        <f t="shared" si="144"/>
        <v>243.88495931574937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68.586942521072814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-5.6843418860808015E-14</v>
      </c>
      <c r="BE143" s="14">
        <f>BD143*VLOOKUP('Données projet'!$B$11,Paramètres!$A$1:$I$89,3,0)*VLOOKUP('Données projet'!$B$11,Paramètres!$A$1:$I$89,5,0)</f>
        <v>-5.9412741393316544E-14</v>
      </c>
      <c r="BF143" s="14" t="e">
        <f t="shared" si="145"/>
        <v>#NUM!</v>
      </c>
      <c r="BG143" s="22" t="e">
        <f t="shared" si="115"/>
        <v>#NUM!</v>
      </c>
      <c r="BH143" s="60" t="e">
        <f t="shared" si="116"/>
        <v>#NUM!</v>
      </c>
      <c r="BI143" s="60">
        <f ca="1">AVERAGE(OFFSET($BH$3,0,0,'Données projet'!$E$11+1,1))-AVERAGE(OFFSET($H$3,0,0,'Données projet'!$E$11+1,1))</f>
        <v>518.47226207416952</v>
      </c>
      <c r="BJ143" s="60">
        <f t="shared" si="146"/>
        <v>314.6379787306804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68.586942521072814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2.4666666666666668</v>
      </c>
      <c r="BY143" s="13">
        <f>IF('Données projet'!$A$114&gt;35,BY142+BX143-CG142,IF(A143&lt;'Données projet'!$A$114,$BV$205^A143,IF(A143='Données projet'!$A$114,'Données projet'!$B$114,BY142+BX143-CG142)))</f>
        <v>281.33333333333269</v>
      </c>
      <c r="BZ143" s="14">
        <f>BY143*VLOOKUP('Données projet'!$B$12,Paramètres!$A$1:$I$89,3,0)*VLOOKUP('Données projet'!$B$12,Paramètres!$A$1:$I$89,5,0)</f>
        <v>302.82719999999932</v>
      </c>
      <c r="CA143" s="14">
        <f t="shared" si="147"/>
        <v>71.768829247467522</v>
      </c>
      <c r="CB143" s="22">
        <f t="shared" si="118"/>
        <v>652.42141760600475</v>
      </c>
      <c r="CC143" s="60">
        <f t="shared" si="119"/>
        <v>940.57354018327169</v>
      </c>
      <c r="CD143" s="60">
        <f ca="1">AVERAGE(OFFSET($CC$3,0,0,'Données projet'!$E$12+1,1))-AVERAGE(OFFSET($H$3,0,0,'Données projet'!$E$12+1,1))</f>
        <v>530.32456073177104</v>
      </c>
      <c r="CE143" s="60">
        <f t="shared" si="148"/>
        <v>279.81519428470625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68.586942521072814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3.4106051316484809E-13</v>
      </c>
      <c r="CU143" s="18">
        <f>CT143*VLOOKUP('Données projet'!$B$13,Paramètres!$A$1:$I$89,3,0)*VLOOKUP('Données projet'!$B$13,Paramètres!$A$1:$I$89,5,0)</f>
        <v>2.9795046430081134E-13</v>
      </c>
      <c r="CV143" s="14">
        <f t="shared" si="149"/>
        <v>3.9419014464513778E-12</v>
      </c>
      <c r="CW143" s="22">
        <f t="shared" si="121"/>
        <v>7.384408744560063E-12</v>
      </c>
      <c r="CX143" s="60">
        <f t="shared" si="122"/>
        <v>288.15212257727438</v>
      </c>
      <c r="CY143" s="60">
        <f ca="1">AVERAGE(OFFSET($CX$3,0,0,'Données projet'!$E$13+1,1))-AVERAGE(OFFSET($H$3,0,0,'Données projet'!$E$13+1,1))</f>
        <v>355.03862261578701</v>
      </c>
      <c r="CZ143" s="60">
        <f t="shared" si="150"/>
        <v>382.84441399266029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68.586942521072814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1.1368683772161603E-13</v>
      </c>
      <c r="DP143" s="18">
        <f>DO143*VLOOKUP('Données projet'!$B$14,Paramètres!$A$1:$I$89,3,0)*VLOOKUP('Données projet'!$B$14,Paramètres!$A$1:$I$89,5,0)</f>
        <v>8.8675733422860506E-14</v>
      </c>
      <c r="DQ143" s="14">
        <f t="shared" si="151"/>
        <v>1.3509285393066301E-12</v>
      </c>
      <c r="DR143" s="22">
        <f t="shared" si="124"/>
        <v>2.5073107750038623E-12</v>
      </c>
      <c r="DS143" s="60">
        <f t="shared" si="125"/>
        <v>288.15212257726949</v>
      </c>
      <c r="DT143" s="60">
        <f ca="1">AVERAGE(OFFSET($DS$3,0,0,'Données projet'!$E$14+1,1))-AVERAGE(OFFSET($H$3,0,0,'Données projet'!$E$14+1,1))</f>
        <v>305.68891030516761</v>
      </c>
      <c r="DU143" s="60">
        <f t="shared" si="152"/>
        <v>296.00275062228275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68.586942521072814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2.4666666666666668</v>
      </c>
      <c r="EJ143" s="13">
        <f>IF('Données projet'!$A$192&gt;35,EJ142+EI143-ER142,IF(A143&lt;'Données projet'!$A$192,$EG$205^A143,IF(A143='Données projet'!$A$192,'Données projet'!$B$192,EJ142+EI143-ER142)))</f>
        <v>281.33333333333269</v>
      </c>
      <c r="EK143" s="18">
        <f>EJ143*VLOOKUP('Données projet'!$B$15,Paramètres!$A$1:$I$89,3,0)*VLOOKUP('Données projet'!$B$15,Paramètres!$A$1:$I$89,5,0)</f>
        <v>272.10559999999941</v>
      </c>
      <c r="EL143" s="14">
        <f t="shared" si="153"/>
        <v>65.295928517097721</v>
      </c>
      <c r="EM143" s="22">
        <f t="shared" si="127"/>
        <v>587.64099550061076</v>
      </c>
      <c r="EN143" s="60">
        <f t="shared" si="128"/>
        <v>875.79311807787781</v>
      </c>
      <c r="EO143" s="60">
        <f ca="1">AVERAGE(OFFSET($EN$3,0,0,'Données projet'!$E$15+1,1))-AVERAGE(OFFSET($H$3,0,0,'Données projet'!$E$15+1,1))</f>
        <v>483.60545605360528</v>
      </c>
      <c r="EP143" s="60">
        <f t="shared" si="154"/>
        <v>256.96685577560345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68.586942521072814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0" t="e">
        <f t="shared" si="131"/>
        <v>#N/A</v>
      </c>
      <c r="FJ143" s="60" t="e">
        <f ca="1">AVERAGE(OFFSET($FI$3,0,0,'Données projet'!$E$16+1,1))-AVERAGE(OFFSET($H$3,0,0,'Données projet'!$E$16+1,1))</f>
        <v>#N/A</v>
      </c>
      <c r="FK143" s="60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68.586942521072814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0" t="e">
        <f t="shared" si="134"/>
        <v>#N/A</v>
      </c>
      <c r="GE143" s="60" t="e">
        <f ca="1">AVERAGE(OFFSET($GD$3,0,0,'Données projet'!$E$17+1,1))-AVERAGE(OFFSET($H$3,0,0,'Données projet'!$E$17+1,1))</f>
        <v>#N/A</v>
      </c>
      <c r="GF143" s="60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68.586942521072814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4">
        <f>'Scénario référence'!$B$16*5+'Scénario référence'!$B$17*0+'Scénario référence'!$B$18*5</f>
        <v>3.2750000000000004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12.008333333333335</v>
      </c>
      <c r="H144" s="67">
        <f t="shared" si="110"/>
        <v>208.63333333333333</v>
      </c>
      <c r="I144" s="7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68.611455909208942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2.4666666666666668</v>
      </c>
      <c r="N144" s="14">
        <f>IF('Données projet'!$A$36&gt;35,N143+M144-V143,IF(A144&lt;'Données projet'!$A$36,$K$205^A144,IF(A144='Données projet'!$A$36,'Données projet'!$B$36,N143+M144-V143)))</f>
        <v>283.79999999999933</v>
      </c>
      <c r="O144" s="14">
        <f>N144*VLOOKUP('Données projet'!$B$9,Paramètres!$A$1:$I$89,3,0)*VLOOKUP('Données projet'!$B$9,Paramètres!$A$1:$I$89,5,0)</f>
        <v>287.77319999999935</v>
      </c>
      <c r="P144" s="14">
        <f t="shared" si="141"/>
        <v>68.607082381743737</v>
      </c>
      <c r="Q144" s="22">
        <f t="shared" si="108"/>
        <v>620.69565848153582</v>
      </c>
      <c r="R144" s="60">
        <f t="shared" si="109"/>
        <v>908.93766348196868</v>
      </c>
      <c r="S144" s="60">
        <f ca="1">AVERAGE(OFFSET($R$3,0,0,'Données projet'!$E$9+1,1))-AVERAGE(OFFSET($H$3,0,0,'Données projet'!$E$9+1,1))</f>
        <v>503.64055031157477</v>
      </c>
      <c r="T144" s="60">
        <f t="shared" si="142"/>
        <v>266.76572540460842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68.611455909208942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2.4666666666666668</v>
      </c>
      <c r="AI144" s="14">
        <f>IF('Données projet'!$A$62&gt;35,AI143+AH144-AQ143,IF(A144&lt;'Données projet'!$A$62,$AF$205^A144,IF(A144='Données projet'!$A$62,'Données projet'!$B$62,AI143+AH144-AQ143)))</f>
        <v>283.79999999999933</v>
      </c>
      <c r="AJ144" s="14">
        <f>AI144*VLOOKUP('Données projet'!$B$10,Paramètres!$A$1:$I$89,3,0)*VLOOKUP('Données projet'!$B$10,Paramètres!$A$1:$I$89,5,0)</f>
        <v>256.78223999999938</v>
      </c>
      <c r="AK144" s="14">
        <f t="shared" si="143"/>
        <v>62.035985226809906</v>
      </c>
      <c r="AL144" s="22">
        <f t="shared" si="112"/>
        <v>555.27507560335937</v>
      </c>
      <c r="AM144" s="60">
        <f t="shared" si="113"/>
        <v>843.51708060379224</v>
      </c>
      <c r="AN144" s="60">
        <f ca="1">AVERAGE(OFFSET($AM$3,0,0,'Données projet'!$E$10+1,1))-AVERAGE(OFFSET($H$3,0,0,'Données projet'!$E$10+1,1))</f>
        <v>456.86058467343139</v>
      </c>
      <c r="AO144" s="60">
        <f t="shared" si="144"/>
        <v>243.88495931574937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68.611455909208942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-5.6843418860808015E-14</v>
      </c>
      <c r="BE144" s="14">
        <f>BD144*VLOOKUP('Données projet'!$B$11,Paramètres!$A$1:$I$89,3,0)*VLOOKUP('Données projet'!$B$11,Paramètres!$A$1:$I$89,5,0)</f>
        <v>-5.9412741393316544E-14</v>
      </c>
      <c r="BF144" s="14" t="e">
        <f t="shared" si="145"/>
        <v>#NUM!</v>
      </c>
      <c r="BG144" s="22" t="e">
        <f t="shared" si="115"/>
        <v>#NUM!</v>
      </c>
      <c r="BH144" s="60" t="e">
        <f t="shared" si="116"/>
        <v>#NUM!</v>
      </c>
      <c r="BI144" s="60">
        <f ca="1">AVERAGE(OFFSET($BH$3,0,0,'Données projet'!$E$11+1,1))-AVERAGE(OFFSET($H$3,0,0,'Données projet'!$E$11+1,1))</f>
        <v>518.47226207416952</v>
      </c>
      <c r="BJ144" s="60">
        <f t="shared" si="146"/>
        <v>314.6379787306804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68.611455909208942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2.4666666666666668</v>
      </c>
      <c r="BY144" s="13">
        <f>IF('Données projet'!$A$114&gt;35,BY143+BX144-CG143,IF(A144&lt;'Données projet'!$A$114,$BV$205^A144,IF(A144='Données projet'!$A$114,'Données projet'!$B$114,BY143+BX144-CG143)))</f>
        <v>283.79999999999933</v>
      </c>
      <c r="BZ144" s="14">
        <f>BY144*VLOOKUP('Données projet'!$B$12,Paramètres!$A$1:$I$89,3,0)*VLOOKUP('Données projet'!$B$12,Paramètres!$A$1:$I$89,5,0)</f>
        <v>305.48231999999928</v>
      </c>
      <c r="CA144" s="14">
        <f t="shared" si="147"/>
        <v>72.324554192917489</v>
      </c>
      <c r="CB144" s="22">
        <f t="shared" si="118"/>
        <v>658.01363921933</v>
      </c>
      <c r="CC144" s="60">
        <f t="shared" si="119"/>
        <v>946.25564421976287</v>
      </c>
      <c r="CD144" s="60">
        <f ca="1">AVERAGE(OFFSET($CC$3,0,0,'Données projet'!$E$12+1,1))-AVERAGE(OFFSET($H$3,0,0,'Données projet'!$E$12+1,1))</f>
        <v>530.32456073177104</v>
      </c>
      <c r="CE144" s="60">
        <f t="shared" si="148"/>
        <v>279.81519428470625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68.611455909208942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3.4106051316484809E-13</v>
      </c>
      <c r="CU144" s="18">
        <f>CT144*VLOOKUP('Données projet'!$B$13,Paramètres!$A$1:$I$89,3,0)*VLOOKUP('Données projet'!$B$13,Paramètres!$A$1:$I$89,5,0)</f>
        <v>2.9795046430081134E-13</v>
      </c>
      <c r="CV144" s="14">
        <f t="shared" si="149"/>
        <v>3.9419014464513778E-12</v>
      </c>
      <c r="CW144" s="22">
        <f t="shared" si="121"/>
        <v>7.384408744560063E-12</v>
      </c>
      <c r="CX144" s="60">
        <f t="shared" si="122"/>
        <v>288.2420050004402</v>
      </c>
      <c r="CY144" s="60">
        <f ca="1">AVERAGE(OFFSET($CX$3,0,0,'Données projet'!$E$13+1,1))-AVERAGE(OFFSET($H$3,0,0,'Données projet'!$E$13+1,1))</f>
        <v>355.03862261578701</v>
      </c>
      <c r="CZ144" s="60">
        <f t="shared" si="150"/>
        <v>382.84441399266029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68.611455909208942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1.1368683772161603E-13</v>
      </c>
      <c r="DP144" s="18">
        <f>DO144*VLOOKUP('Données projet'!$B$14,Paramètres!$A$1:$I$89,3,0)*VLOOKUP('Données projet'!$B$14,Paramètres!$A$1:$I$89,5,0)</f>
        <v>8.8675733422860506E-14</v>
      </c>
      <c r="DQ144" s="14">
        <f t="shared" si="151"/>
        <v>1.3509285393066301E-12</v>
      </c>
      <c r="DR144" s="22">
        <f t="shared" si="124"/>
        <v>2.5073107750038623E-12</v>
      </c>
      <c r="DS144" s="60">
        <f t="shared" si="125"/>
        <v>288.24200500043531</v>
      </c>
      <c r="DT144" s="60">
        <f ca="1">AVERAGE(OFFSET($DS$3,0,0,'Données projet'!$E$14+1,1))-AVERAGE(OFFSET($H$3,0,0,'Données projet'!$E$14+1,1))</f>
        <v>305.68891030516761</v>
      </c>
      <c r="DU144" s="60">
        <f t="shared" si="152"/>
        <v>296.00275062228275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68.611455909208942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2.4666666666666668</v>
      </c>
      <c r="EJ144" s="13">
        <f>IF('Données projet'!$A$192&gt;35,EJ143+EI144-ER143,IF(A144&lt;'Données projet'!$A$192,$EG$205^A144,IF(A144='Données projet'!$A$192,'Données projet'!$B$192,EJ143+EI144-ER143)))</f>
        <v>283.79999999999933</v>
      </c>
      <c r="EK144" s="18">
        <f>EJ144*VLOOKUP('Données projet'!$B$15,Paramètres!$A$1:$I$89,3,0)*VLOOKUP('Données projet'!$B$15,Paramètres!$A$1:$I$89,5,0)</f>
        <v>274.49135999999936</v>
      </c>
      <c r="EL144" s="14">
        <f t="shared" si="153"/>
        <v>65.801532087530063</v>
      </c>
      <c r="EM144" s="22">
        <f t="shared" si="127"/>
        <v>592.67678705244703</v>
      </c>
      <c r="EN144" s="60">
        <f t="shared" si="128"/>
        <v>880.91879205287978</v>
      </c>
      <c r="EO144" s="60">
        <f ca="1">AVERAGE(OFFSET($EN$3,0,0,'Données projet'!$E$15+1,1))-AVERAGE(OFFSET($H$3,0,0,'Données projet'!$E$15+1,1))</f>
        <v>483.60545605360528</v>
      </c>
      <c r="EP144" s="60">
        <f t="shared" si="154"/>
        <v>256.96685577560345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68.611455909208942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0" t="e">
        <f t="shared" si="131"/>
        <v>#N/A</v>
      </c>
      <c r="FJ144" s="60" t="e">
        <f ca="1">AVERAGE(OFFSET($FI$3,0,0,'Données projet'!$E$16+1,1))-AVERAGE(OFFSET($H$3,0,0,'Données projet'!$E$16+1,1))</f>
        <v>#N/A</v>
      </c>
      <c r="FK144" s="60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68.611455909208942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0" t="e">
        <f t="shared" si="134"/>
        <v>#N/A</v>
      </c>
      <c r="GE144" s="60" t="e">
        <f ca="1">AVERAGE(OFFSET($GD$3,0,0,'Données projet'!$E$17+1,1))-AVERAGE(OFFSET($H$3,0,0,'Données projet'!$E$17+1,1))</f>
        <v>#N/A</v>
      </c>
      <c r="GF144" s="60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68.611455909208942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4">
        <f>'Scénario référence'!$B$16*5+'Scénario référence'!$B$17*0+'Scénario référence'!$B$18*5</f>
        <v>3.2750000000000004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12.008333333333335</v>
      </c>
      <c r="H145" s="67">
        <f t="shared" si="110"/>
        <v>208.63333333333333</v>
      </c>
      <c r="I145" s="7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68.635544044864645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2.4666666666666668</v>
      </c>
      <c r="N145" s="14">
        <f>IF('Données projet'!$A$36&gt;35,N144+M145-V144,IF(A145&lt;'Données projet'!$A$36,$K$205^A145,IF(A145='Données projet'!$A$36,'Données projet'!$B$36,N144+M145-V144)))</f>
        <v>286.26666666666597</v>
      </c>
      <c r="O145" s="14">
        <f>N145*VLOOKUP('Données projet'!$B$9,Paramètres!$A$1:$I$89,3,0)*VLOOKUP('Données projet'!$B$9,Paramètres!$A$1:$I$89,5,0)</f>
        <v>290.27439999999933</v>
      </c>
      <c r="P145" s="14">
        <f t="shared" si="141"/>
        <v>69.133710078848281</v>
      </c>
      <c r="Q145" s="22">
        <f t="shared" si="108"/>
        <v>625.9691250539928</v>
      </c>
      <c r="R145" s="60">
        <f t="shared" si="109"/>
        <v>914.29945321849641</v>
      </c>
      <c r="S145" s="60">
        <f ca="1">AVERAGE(OFFSET($R$3,0,0,'Données projet'!$E$9+1,1))-AVERAGE(OFFSET($H$3,0,0,'Données projet'!$E$9+1,1))</f>
        <v>503.64055031157477</v>
      </c>
      <c r="T145" s="60">
        <f t="shared" si="142"/>
        <v>266.76572540460842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68.635544044864645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2.4666666666666668</v>
      </c>
      <c r="AI145" s="14">
        <f>IF('Données projet'!$A$62&gt;35,AI144+AH145-AQ144,IF(A145&lt;'Données projet'!$A$62,$AF$205^A145,IF(A145='Données projet'!$A$62,'Données projet'!$B$62,AI144+AH145-AQ144)))</f>
        <v>286.26666666666597</v>
      </c>
      <c r="AJ145" s="14">
        <f>AI145*VLOOKUP('Données projet'!$B$10,Paramètres!$A$1:$I$89,3,0)*VLOOKUP('Données projet'!$B$10,Paramètres!$A$1:$I$89,5,0)</f>
        <v>259.01407999999935</v>
      </c>
      <c r="AK145" s="14">
        <f t="shared" si="143"/>
        <v>62.51217320775072</v>
      </c>
      <c r="AL145" s="22">
        <f t="shared" si="112"/>
        <v>559.99155767016464</v>
      </c>
      <c r="AM145" s="60">
        <f t="shared" si="113"/>
        <v>848.32188583466836</v>
      </c>
      <c r="AN145" s="60">
        <f ca="1">AVERAGE(OFFSET($AM$3,0,0,'Données projet'!$E$10+1,1))-AVERAGE(OFFSET($H$3,0,0,'Données projet'!$E$10+1,1))</f>
        <v>456.86058467343139</v>
      </c>
      <c r="AO145" s="60">
        <f t="shared" si="144"/>
        <v>243.88495931574937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68.635544044864645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-5.6843418860808015E-14</v>
      </c>
      <c r="BE145" s="14">
        <f>BD145*VLOOKUP('Données projet'!$B$11,Paramètres!$A$1:$I$89,3,0)*VLOOKUP('Données projet'!$B$11,Paramètres!$A$1:$I$89,5,0)</f>
        <v>-5.9412741393316544E-14</v>
      </c>
      <c r="BF145" s="14" t="e">
        <f t="shared" si="145"/>
        <v>#NUM!</v>
      </c>
      <c r="BG145" s="22" t="e">
        <f t="shared" si="115"/>
        <v>#NUM!</v>
      </c>
      <c r="BH145" s="60" t="e">
        <f t="shared" si="116"/>
        <v>#NUM!</v>
      </c>
      <c r="BI145" s="60">
        <f ca="1">AVERAGE(OFFSET($BH$3,0,0,'Données projet'!$E$11+1,1))-AVERAGE(OFFSET($H$3,0,0,'Données projet'!$E$11+1,1))</f>
        <v>518.47226207416952</v>
      </c>
      <c r="BJ145" s="60">
        <f t="shared" si="146"/>
        <v>314.6379787306804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68.635544044864645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2.4666666666666668</v>
      </c>
      <c r="BY145" s="13">
        <f>IF('Données projet'!$A$114&gt;35,BY144+BX145-CG144,IF(A145&lt;'Données projet'!$A$114,$BV$205^A145,IF(A145='Données projet'!$A$114,'Données projet'!$B$114,BY144+BX145-CG144)))</f>
        <v>286.26666666666597</v>
      </c>
      <c r="BZ145" s="14">
        <f>BY145*VLOOKUP('Données projet'!$B$12,Paramètres!$A$1:$I$89,3,0)*VLOOKUP('Données projet'!$B$12,Paramètres!$A$1:$I$89,5,0)</f>
        <v>308.13743999999923</v>
      </c>
      <c r="CA145" s="14">
        <f t="shared" si="147"/>
        <v>72.879717189163188</v>
      </c>
      <c r="CB145" s="22">
        <f t="shared" si="118"/>
        <v>663.60488210445783</v>
      </c>
      <c r="CC145" s="60">
        <f t="shared" si="119"/>
        <v>951.93521026896155</v>
      </c>
      <c r="CD145" s="60">
        <f ca="1">AVERAGE(OFFSET($CC$3,0,0,'Données projet'!$E$12+1,1))-AVERAGE(OFFSET($H$3,0,0,'Données projet'!$E$12+1,1))</f>
        <v>530.32456073177104</v>
      </c>
      <c r="CE145" s="60">
        <f t="shared" si="148"/>
        <v>279.81519428470625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68.635544044864645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3.4106051316484809E-13</v>
      </c>
      <c r="CU145" s="18">
        <f>CT145*VLOOKUP('Données projet'!$B$13,Paramètres!$A$1:$I$89,3,0)*VLOOKUP('Données projet'!$B$13,Paramètres!$A$1:$I$89,5,0)</f>
        <v>2.9795046430081134E-13</v>
      </c>
      <c r="CV145" s="14">
        <f t="shared" si="149"/>
        <v>3.9419014464513778E-12</v>
      </c>
      <c r="CW145" s="22">
        <f t="shared" si="121"/>
        <v>7.384408744560063E-12</v>
      </c>
      <c r="CX145" s="60">
        <f t="shared" si="122"/>
        <v>288.33032816451106</v>
      </c>
      <c r="CY145" s="60">
        <f ca="1">AVERAGE(OFFSET($CX$3,0,0,'Données projet'!$E$13+1,1))-AVERAGE(OFFSET($H$3,0,0,'Données projet'!$E$13+1,1))</f>
        <v>355.03862261578701</v>
      </c>
      <c r="CZ145" s="60">
        <f t="shared" si="150"/>
        <v>382.84441399266029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68.635544044864645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1.1368683772161603E-13</v>
      </c>
      <c r="DP145" s="18">
        <f>DO145*VLOOKUP('Données projet'!$B$14,Paramètres!$A$1:$I$89,3,0)*VLOOKUP('Données projet'!$B$14,Paramètres!$A$1:$I$89,5,0)</f>
        <v>8.8675733422860506E-14</v>
      </c>
      <c r="DQ145" s="14">
        <f t="shared" si="151"/>
        <v>1.3509285393066301E-12</v>
      </c>
      <c r="DR145" s="22">
        <f t="shared" si="124"/>
        <v>2.5073107750038623E-12</v>
      </c>
      <c r="DS145" s="60">
        <f t="shared" si="125"/>
        <v>288.33032816450617</v>
      </c>
      <c r="DT145" s="60">
        <f ca="1">AVERAGE(OFFSET($DS$3,0,0,'Données projet'!$E$14+1,1))-AVERAGE(OFFSET($H$3,0,0,'Données projet'!$E$14+1,1))</f>
        <v>305.68891030516761</v>
      </c>
      <c r="DU145" s="60">
        <f t="shared" si="152"/>
        <v>296.00275062228275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68.635544044864645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2.4666666666666668</v>
      </c>
      <c r="EJ145" s="13">
        <f>IF('Données projet'!$A$192&gt;35,EJ144+EI145-ER144,IF(A145&lt;'Données projet'!$A$192,$EG$205^A145,IF(A145='Données projet'!$A$192,'Données projet'!$B$192,EJ144+EI145-ER144)))</f>
        <v>286.26666666666597</v>
      </c>
      <c r="EK145" s="18">
        <f>EJ145*VLOOKUP('Données projet'!$B$15,Paramètres!$A$1:$I$89,3,0)*VLOOKUP('Données projet'!$B$15,Paramètres!$A$1:$I$89,5,0)</f>
        <v>276.87711999999937</v>
      </c>
      <c r="EL145" s="14">
        <f t="shared" si="153"/>
        <v>66.306624391505196</v>
      </c>
      <c r="EM145" s="22">
        <f t="shared" si="127"/>
        <v>597.71168814853706</v>
      </c>
      <c r="EN145" s="60">
        <f t="shared" si="128"/>
        <v>886.04201631304068</v>
      </c>
      <c r="EO145" s="60">
        <f ca="1">AVERAGE(OFFSET($EN$3,0,0,'Données projet'!$E$15+1,1))-AVERAGE(OFFSET($H$3,0,0,'Données projet'!$E$15+1,1))</f>
        <v>483.60545605360528</v>
      </c>
      <c r="EP145" s="60">
        <f t="shared" si="154"/>
        <v>256.96685577560345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68.635544044864645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0" t="e">
        <f t="shared" si="131"/>
        <v>#N/A</v>
      </c>
      <c r="FJ145" s="60" t="e">
        <f ca="1">AVERAGE(OFFSET($FI$3,0,0,'Données projet'!$E$16+1,1))-AVERAGE(OFFSET($H$3,0,0,'Données projet'!$E$16+1,1))</f>
        <v>#N/A</v>
      </c>
      <c r="FK145" s="60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68.635544044864645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0" t="e">
        <f t="shared" si="134"/>
        <v>#N/A</v>
      </c>
      <c r="GE145" s="60" t="e">
        <f ca="1">AVERAGE(OFFSET($GD$3,0,0,'Données projet'!$E$17+1,1))-AVERAGE(OFFSET($H$3,0,0,'Données projet'!$E$17+1,1))</f>
        <v>#N/A</v>
      </c>
      <c r="GF145" s="60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68.635544044864645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4">
        <f>'Scénario référence'!$B$16*5+'Scénario référence'!$B$17*0+'Scénario référence'!$B$18*5</f>
        <v>3.2750000000000004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12.008333333333335</v>
      </c>
      <c r="H146" s="67">
        <f t="shared" si="110"/>
        <v>208.63333333333333</v>
      </c>
      <c r="I146" s="7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68.65921430521972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2.4666666666666668</v>
      </c>
      <c r="N146" s="14">
        <f>IF('Données projet'!$A$36&gt;35,N145+M146-V145,IF(A146&lt;'Données projet'!$A$36,$K$205^A146,IF(A146='Données projet'!$A$36,'Données projet'!$B$36,N145+M146-V145)))</f>
        <v>288.73333333333261</v>
      </c>
      <c r="O146" s="14">
        <f>N146*VLOOKUP('Données projet'!$B$9,Paramètres!$A$1:$I$89,3,0)*VLOOKUP('Données projet'!$B$9,Paramètres!$A$1:$I$89,5,0)</f>
        <v>292.77559999999926</v>
      </c>
      <c r="P146" s="14">
        <f t="shared" si="141"/>
        <v>69.659809836316882</v>
      </c>
      <c r="Q146" s="22">
        <f t="shared" si="108"/>
        <v>631.24167213158387</v>
      </c>
      <c r="R146" s="60">
        <f t="shared" si="109"/>
        <v>919.65879125072286</v>
      </c>
      <c r="S146" s="60">
        <f ca="1">AVERAGE(OFFSET($R$3,0,0,'Données projet'!$E$9+1,1))-AVERAGE(OFFSET($H$3,0,0,'Données projet'!$E$9+1,1))</f>
        <v>503.64055031157477</v>
      </c>
      <c r="T146" s="60">
        <f t="shared" si="142"/>
        <v>266.76572540460842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68.65921430521972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2.4666666666666668</v>
      </c>
      <c r="AI146" s="14">
        <f>IF('Données projet'!$A$62&gt;35,AI145+AH146-AQ145,IF(A146&lt;'Données projet'!$A$62,$AF$205^A146,IF(A146='Données projet'!$A$62,'Données projet'!$B$62,AI145+AH146-AQ145)))</f>
        <v>288.73333333333261</v>
      </c>
      <c r="AJ146" s="14">
        <f>AI146*VLOOKUP('Données projet'!$B$10,Paramètres!$A$1:$I$89,3,0)*VLOOKUP('Données projet'!$B$10,Paramètres!$A$1:$I$89,5,0)</f>
        <v>261.24591999999933</v>
      </c>
      <c r="AK146" s="14">
        <f t="shared" si="143"/>
        <v>62.987883814427661</v>
      </c>
      <c r="AL146" s="22">
        <f t="shared" si="112"/>
        <v>564.70720831012704</v>
      </c>
      <c r="AM146" s="60">
        <f t="shared" si="113"/>
        <v>853.12432742926603</v>
      </c>
      <c r="AN146" s="60">
        <f ca="1">AVERAGE(OFFSET($AM$3,0,0,'Données projet'!$E$10+1,1))-AVERAGE(OFFSET($H$3,0,0,'Données projet'!$E$10+1,1))</f>
        <v>456.86058467343139</v>
      </c>
      <c r="AO146" s="60">
        <f t="shared" si="144"/>
        <v>243.88495931574937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68.65921430521972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-5.6843418860808015E-14</v>
      </c>
      <c r="BE146" s="14">
        <f>BD146*VLOOKUP('Données projet'!$B$11,Paramètres!$A$1:$I$89,3,0)*VLOOKUP('Données projet'!$B$11,Paramètres!$A$1:$I$89,5,0)</f>
        <v>-5.9412741393316544E-14</v>
      </c>
      <c r="BF146" s="14" t="e">
        <f t="shared" si="145"/>
        <v>#NUM!</v>
      </c>
      <c r="BG146" s="22" t="e">
        <f t="shared" si="115"/>
        <v>#NUM!</v>
      </c>
      <c r="BH146" s="60" t="e">
        <f t="shared" si="116"/>
        <v>#NUM!</v>
      </c>
      <c r="BI146" s="60">
        <f ca="1">AVERAGE(OFFSET($BH$3,0,0,'Données projet'!$E$11+1,1))-AVERAGE(OFFSET($H$3,0,0,'Données projet'!$E$11+1,1))</f>
        <v>518.47226207416952</v>
      </c>
      <c r="BJ146" s="60">
        <f t="shared" si="146"/>
        <v>314.6379787306804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68.65921430521972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2.4666666666666668</v>
      </c>
      <c r="BY146" s="13">
        <f>IF('Données projet'!$A$114&gt;35,BY145+BX146-CG145,IF(A146&lt;'Données projet'!$A$114,$BV$205^A146,IF(A146='Données projet'!$A$114,'Données projet'!$B$114,BY145+BX146-CG145)))</f>
        <v>288.73333333333261</v>
      </c>
      <c r="BZ146" s="14">
        <f>BY146*VLOOKUP('Données projet'!$B$12,Paramètres!$A$1:$I$89,3,0)*VLOOKUP('Données projet'!$B$12,Paramètres!$A$1:$I$89,5,0)</f>
        <v>310.79255999999918</v>
      </c>
      <c r="CA146" s="14">
        <f t="shared" si="147"/>
        <v>73.434323639386577</v>
      </c>
      <c r="CB146" s="22">
        <f t="shared" si="118"/>
        <v>669.19515567193014</v>
      </c>
      <c r="CC146" s="60">
        <f t="shared" si="119"/>
        <v>957.61227479106913</v>
      </c>
      <c r="CD146" s="60">
        <f ca="1">AVERAGE(OFFSET($CC$3,0,0,'Données projet'!$E$12+1,1))-AVERAGE(OFFSET($H$3,0,0,'Données projet'!$E$12+1,1))</f>
        <v>530.32456073177104</v>
      </c>
      <c r="CE146" s="60">
        <f t="shared" si="148"/>
        <v>279.81519428470625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68.65921430521972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3.4106051316484809E-13</v>
      </c>
      <c r="CU146" s="18">
        <f>CT146*VLOOKUP('Données projet'!$B$13,Paramètres!$A$1:$I$89,3,0)*VLOOKUP('Données projet'!$B$13,Paramètres!$A$1:$I$89,5,0)</f>
        <v>2.9795046430081134E-13</v>
      </c>
      <c r="CV146" s="14">
        <f t="shared" si="149"/>
        <v>3.9419014464513778E-12</v>
      </c>
      <c r="CW146" s="22">
        <f t="shared" si="121"/>
        <v>7.384408744560063E-12</v>
      </c>
      <c r="CX146" s="60">
        <f t="shared" si="122"/>
        <v>288.41711911914638</v>
      </c>
      <c r="CY146" s="60">
        <f ca="1">AVERAGE(OFFSET($CX$3,0,0,'Données projet'!$E$13+1,1))-AVERAGE(OFFSET($H$3,0,0,'Données projet'!$E$13+1,1))</f>
        <v>355.03862261578701</v>
      </c>
      <c r="CZ146" s="60">
        <f t="shared" si="150"/>
        <v>382.84441399266029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68.65921430521972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1.1368683772161603E-13</v>
      </c>
      <c r="DP146" s="18">
        <f>DO146*VLOOKUP('Données projet'!$B$14,Paramètres!$A$1:$I$89,3,0)*VLOOKUP('Données projet'!$B$14,Paramètres!$A$1:$I$89,5,0)</f>
        <v>8.8675733422860506E-14</v>
      </c>
      <c r="DQ146" s="14">
        <f t="shared" si="151"/>
        <v>1.3509285393066301E-12</v>
      </c>
      <c r="DR146" s="22">
        <f t="shared" si="124"/>
        <v>2.5073107750038623E-12</v>
      </c>
      <c r="DS146" s="60">
        <f t="shared" si="125"/>
        <v>288.41711911914149</v>
      </c>
      <c r="DT146" s="60">
        <f ca="1">AVERAGE(OFFSET($DS$3,0,0,'Données projet'!$E$14+1,1))-AVERAGE(OFFSET($H$3,0,0,'Données projet'!$E$14+1,1))</f>
        <v>305.68891030516761</v>
      </c>
      <c r="DU146" s="60">
        <f t="shared" si="152"/>
        <v>296.00275062228275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68.65921430521972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2.4666666666666668</v>
      </c>
      <c r="EJ146" s="13">
        <f>IF('Données projet'!$A$192&gt;35,EJ145+EI146-ER145,IF(A146&lt;'Données projet'!$A$192,$EG$205^A146,IF(A146='Données projet'!$A$192,'Données projet'!$B$192,EJ145+EI146-ER145)))</f>
        <v>288.73333333333261</v>
      </c>
      <c r="EK146" s="18">
        <f>EJ146*VLOOKUP('Données projet'!$B$15,Paramètres!$A$1:$I$89,3,0)*VLOOKUP('Données projet'!$B$15,Paramètres!$A$1:$I$89,5,0)</f>
        <v>279.26287999999931</v>
      </c>
      <c r="EL146" s="14">
        <f t="shared" si="153"/>
        <v>66.811210344886589</v>
      </c>
      <c r="EM146" s="22">
        <f t="shared" si="127"/>
        <v>602.7457073506763</v>
      </c>
      <c r="EN146" s="60">
        <f t="shared" si="128"/>
        <v>891.16282646981529</v>
      </c>
      <c r="EO146" s="60">
        <f ca="1">AVERAGE(OFFSET($EN$3,0,0,'Données projet'!$E$15+1,1))-AVERAGE(OFFSET($H$3,0,0,'Données projet'!$E$15+1,1))</f>
        <v>483.60545605360528</v>
      </c>
      <c r="EP146" s="60">
        <f t="shared" si="154"/>
        <v>256.96685577560345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68.65921430521972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0" t="e">
        <f t="shared" si="131"/>
        <v>#N/A</v>
      </c>
      <c r="FJ146" s="60" t="e">
        <f ca="1">AVERAGE(OFFSET($FI$3,0,0,'Données projet'!$E$16+1,1))-AVERAGE(OFFSET($H$3,0,0,'Données projet'!$E$16+1,1))</f>
        <v>#N/A</v>
      </c>
      <c r="FK146" s="60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68.65921430521972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0" t="e">
        <f t="shared" si="134"/>
        <v>#N/A</v>
      </c>
      <c r="GE146" s="60" t="e">
        <f ca="1">AVERAGE(OFFSET($GD$3,0,0,'Données projet'!$E$17+1,1))-AVERAGE(OFFSET($H$3,0,0,'Données projet'!$E$17+1,1))</f>
        <v>#N/A</v>
      </c>
      <c r="GF146" s="60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68.65921430521972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4">
        <f>'Scénario référence'!$B$16*5+'Scénario référence'!$B$17*0+'Scénario référence'!$B$18*5</f>
        <v>3.2750000000000004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12.008333333333335</v>
      </c>
      <c r="H147" s="67">
        <f t="shared" si="110"/>
        <v>208.63333333333333</v>
      </c>
      <c r="I147" s="7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68.682473939476409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2.4666666666666668</v>
      </c>
      <c r="N147" s="14">
        <f>IF('Données projet'!$A$36&gt;35,N146+M147-V146,IF(A147&lt;'Données projet'!$A$36,$K$205^A147,IF(A147='Données projet'!$A$36,'Données projet'!$B$36,N146+M147-V146)))</f>
        <v>291.19999999999925</v>
      </c>
      <c r="O147" s="14">
        <f>N147*VLOOKUP('Données projet'!$B$9,Paramètres!$A$1:$I$89,3,0)*VLOOKUP('Données projet'!$B$9,Paramètres!$A$1:$I$89,5,0)</f>
        <v>295.27679999999924</v>
      </c>
      <c r="P147" s="14">
        <f t="shared" si="141"/>
        <v>70.185386686980308</v>
      </c>
      <c r="Q147" s="22">
        <f t="shared" si="108"/>
        <v>636.51330847982263</v>
      </c>
      <c r="R147" s="60">
        <f t="shared" si="109"/>
        <v>925.01571292456947</v>
      </c>
      <c r="S147" s="60">
        <f ca="1">AVERAGE(OFFSET($R$3,0,0,'Données projet'!$E$9+1,1))-AVERAGE(OFFSET($H$3,0,0,'Données projet'!$E$9+1,1))</f>
        <v>503.64055031157477</v>
      </c>
      <c r="T147" s="60">
        <f t="shared" si="142"/>
        <v>266.76572540460842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68.682473939476409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2.4666666666666668</v>
      </c>
      <c r="AI147" s="14">
        <f>IF('Données projet'!$A$62&gt;35,AI146+AH147-AQ146,IF(A147&lt;'Données projet'!$A$62,$AF$205^A147,IF(A147='Données projet'!$A$62,'Données projet'!$B$62,AI146+AH147-AQ146)))</f>
        <v>291.19999999999925</v>
      </c>
      <c r="AJ147" s="14">
        <f>AI147*VLOOKUP('Données projet'!$B$10,Paramètres!$A$1:$I$89,3,0)*VLOOKUP('Données projet'!$B$10,Paramètres!$A$1:$I$89,5,0)</f>
        <v>263.47775999999931</v>
      </c>
      <c r="AK147" s="14">
        <f t="shared" si="143"/>
        <v>63.463121597633346</v>
      </c>
      <c r="AL147" s="22">
        <f t="shared" si="112"/>
        <v>569.42203544921017</v>
      </c>
      <c r="AM147" s="60">
        <f t="shared" si="113"/>
        <v>857.92443989395701</v>
      </c>
      <c r="AN147" s="60">
        <f ca="1">AVERAGE(OFFSET($AM$3,0,0,'Données projet'!$E$10+1,1))-AVERAGE(OFFSET($H$3,0,0,'Données projet'!$E$10+1,1))</f>
        <v>456.86058467343139</v>
      </c>
      <c r="AO147" s="60">
        <f t="shared" si="144"/>
        <v>243.88495931574937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68.682473939476409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-5.6843418860808015E-14</v>
      </c>
      <c r="BE147" s="14">
        <f>BD147*VLOOKUP('Données projet'!$B$11,Paramètres!$A$1:$I$89,3,0)*VLOOKUP('Données projet'!$B$11,Paramètres!$A$1:$I$89,5,0)</f>
        <v>-5.9412741393316544E-14</v>
      </c>
      <c r="BF147" s="14" t="e">
        <f t="shared" si="145"/>
        <v>#NUM!</v>
      </c>
      <c r="BG147" s="22" t="e">
        <f t="shared" si="115"/>
        <v>#NUM!</v>
      </c>
      <c r="BH147" s="60" t="e">
        <f t="shared" si="116"/>
        <v>#NUM!</v>
      </c>
      <c r="BI147" s="60">
        <f ca="1">AVERAGE(OFFSET($BH$3,0,0,'Données projet'!$E$11+1,1))-AVERAGE(OFFSET($H$3,0,0,'Données projet'!$E$11+1,1))</f>
        <v>518.47226207416952</v>
      </c>
      <c r="BJ147" s="60">
        <f t="shared" si="146"/>
        <v>314.6379787306804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68.682473939476409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2.4666666666666668</v>
      </c>
      <c r="BY147" s="13">
        <f>IF('Données projet'!$A$114&gt;35,BY146+BX147-CG146,IF(A147&lt;'Données projet'!$A$114,$BV$205^A147,IF(A147='Données projet'!$A$114,'Données projet'!$B$114,BY146+BX147-CG146)))</f>
        <v>291.19999999999925</v>
      </c>
      <c r="BZ147" s="14">
        <f>BY147*VLOOKUP('Données projet'!$B$12,Paramètres!$A$1:$I$89,3,0)*VLOOKUP('Données projet'!$B$12,Paramètres!$A$1:$I$89,5,0)</f>
        <v>313.44767999999914</v>
      </c>
      <c r="CA147" s="14">
        <f t="shared" si="147"/>
        <v>73.988378849122043</v>
      </c>
      <c r="CB147" s="22">
        <f t="shared" si="118"/>
        <v>674.78446916221935</v>
      </c>
      <c r="CC147" s="60">
        <f t="shared" si="119"/>
        <v>963.2868736069662</v>
      </c>
      <c r="CD147" s="60">
        <f ca="1">AVERAGE(OFFSET($CC$3,0,0,'Données projet'!$E$12+1,1))-AVERAGE(OFFSET($H$3,0,0,'Données projet'!$E$12+1,1))</f>
        <v>530.32456073177104</v>
      </c>
      <c r="CE147" s="60">
        <f t="shared" si="148"/>
        <v>279.81519428470625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68.682473939476409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3.4106051316484809E-13</v>
      </c>
      <c r="CU147" s="18">
        <f>CT147*VLOOKUP('Données projet'!$B$13,Paramètres!$A$1:$I$89,3,0)*VLOOKUP('Données projet'!$B$13,Paramètres!$A$1:$I$89,5,0)</f>
        <v>2.9795046430081134E-13</v>
      </c>
      <c r="CV147" s="14">
        <f t="shared" si="149"/>
        <v>3.9419014464513778E-12</v>
      </c>
      <c r="CW147" s="22">
        <f t="shared" si="121"/>
        <v>7.384408744560063E-12</v>
      </c>
      <c r="CX147" s="60">
        <f t="shared" si="122"/>
        <v>288.50240444475423</v>
      </c>
      <c r="CY147" s="60">
        <f ca="1">AVERAGE(OFFSET($CX$3,0,0,'Données projet'!$E$13+1,1))-AVERAGE(OFFSET($H$3,0,0,'Données projet'!$E$13+1,1))</f>
        <v>355.03862261578701</v>
      </c>
      <c r="CZ147" s="60">
        <f t="shared" si="150"/>
        <v>382.84441399266029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68.682473939476409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1.1368683772161603E-13</v>
      </c>
      <c r="DP147" s="18">
        <f>DO147*VLOOKUP('Données projet'!$B$14,Paramètres!$A$1:$I$89,3,0)*VLOOKUP('Données projet'!$B$14,Paramètres!$A$1:$I$89,5,0)</f>
        <v>8.8675733422860506E-14</v>
      </c>
      <c r="DQ147" s="14">
        <f t="shared" si="151"/>
        <v>1.3509285393066301E-12</v>
      </c>
      <c r="DR147" s="22">
        <f t="shared" si="124"/>
        <v>2.5073107750038623E-12</v>
      </c>
      <c r="DS147" s="60">
        <f t="shared" si="125"/>
        <v>288.50240444474935</v>
      </c>
      <c r="DT147" s="60">
        <f ca="1">AVERAGE(OFFSET($DS$3,0,0,'Données projet'!$E$14+1,1))-AVERAGE(OFFSET($H$3,0,0,'Données projet'!$E$14+1,1))</f>
        <v>305.68891030516761</v>
      </c>
      <c r="DU147" s="60">
        <f t="shared" si="152"/>
        <v>296.00275062228275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68.682473939476409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2.4666666666666668</v>
      </c>
      <c r="EJ147" s="13">
        <f>IF('Données projet'!$A$192&gt;35,EJ146+EI147-ER146,IF(A147&lt;'Données projet'!$A$192,$EG$205^A147,IF(A147='Données projet'!$A$192,'Données projet'!$B$192,EJ146+EI147-ER146)))</f>
        <v>291.19999999999925</v>
      </c>
      <c r="EK147" s="18">
        <f>EJ147*VLOOKUP('Données projet'!$B$15,Paramètres!$A$1:$I$89,3,0)*VLOOKUP('Données projet'!$B$15,Paramètres!$A$1:$I$89,5,0)</f>
        <v>281.64863999999926</v>
      </c>
      <c r="EL147" s="14">
        <f t="shared" si="153"/>
        <v>67.315294774697563</v>
      </c>
      <c r="EM147" s="22">
        <f t="shared" si="127"/>
        <v>607.77885306593032</v>
      </c>
      <c r="EN147" s="60">
        <f t="shared" si="128"/>
        <v>896.28125751067716</v>
      </c>
      <c r="EO147" s="60">
        <f ca="1">AVERAGE(OFFSET($EN$3,0,0,'Données projet'!$E$15+1,1))-AVERAGE(OFFSET($H$3,0,0,'Données projet'!$E$15+1,1))</f>
        <v>483.60545605360528</v>
      </c>
      <c r="EP147" s="60">
        <f t="shared" si="154"/>
        <v>256.96685577560345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68.682473939476409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0" t="e">
        <f t="shared" si="131"/>
        <v>#N/A</v>
      </c>
      <c r="FJ147" s="60" t="e">
        <f ca="1">AVERAGE(OFFSET($FI$3,0,0,'Données projet'!$E$16+1,1))-AVERAGE(OFFSET($H$3,0,0,'Données projet'!$E$16+1,1))</f>
        <v>#N/A</v>
      </c>
      <c r="FK147" s="60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68.682473939476409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0" t="e">
        <f t="shared" si="134"/>
        <v>#N/A</v>
      </c>
      <c r="GE147" s="60" t="e">
        <f ca="1">AVERAGE(OFFSET($GD$3,0,0,'Données projet'!$E$17+1,1))-AVERAGE(OFFSET($H$3,0,0,'Données projet'!$E$17+1,1))</f>
        <v>#N/A</v>
      </c>
      <c r="GF147" s="60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68.682473939476409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4">
        <f>'Scénario référence'!$B$16*5+'Scénario référence'!$B$17*0+'Scénario référence'!$B$18*5</f>
        <v>3.2750000000000004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12.008333333333335</v>
      </c>
      <c r="H148" s="67">
        <f t="shared" si="110"/>
        <v>208.63333333333333</v>
      </c>
      <c r="I148" s="7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68.705330071079487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2.4666666666666668</v>
      </c>
      <c r="N148" s="14">
        <f>IF('Données projet'!$A$36&gt;35,N147+M148-V147,IF(A148&lt;'Données projet'!$A$36,$K$205^A148,IF(A148='Données projet'!$A$36,'Données projet'!$B$36,N147+M148-V147)))</f>
        <v>293.66666666666589</v>
      </c>
      <c r="O148" s="14">
        <f>N148*VLOOKUP('Données projet'!$B$9,Paramètres!$A$1:$I$89,3,0)*VLOOKUP('Données projet'!$B$9,Paramètres!$A$1:$I$89,5,0)</f>
        <v>297.77799999999922</v>
      </c>
      <c r="P148" s="14">
        <f t="shared" si="141"/>
        <v>70.710445573485245</v>
      </c>
      <c r="Q148" s="22">
        <f t="shared" si="108"/>
        <v>641.78404270715203</v>
      </c>
      <c r="R148" s="60">
        <f t="shared" si="109"/>
        <v>930.37025296777688</v>
      </c>
      <c r="S148" s="60">
        <f ca="1">AVERAGE(OFFSET($R$3,0,0,'Données projet'!$E$9+1,1))-AVERAGE(OFFSET($H$3,0,0,'Données projet'!$E$9+1,1))</f>
        <v>503.64055031157477</v>
      </c>
      <c r="T148" s="60">
        <f t="shared" si="142"/>
        <v>266.76572540460842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68.705330071079487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2.4666666666666668</v>
      </c>
      <c r="AI148" s="14">
        <f>IF('Données projet'!$A$62&gt;35,AI147+AH148-AQ147,IF(A148&lt;'Données projet'!$A$62,$AF$205^A148,IF(A148='Données projet'!$A$62,'Données projet'!$B$62,AI147+AH148-AQ147)))</f>
        <v>293.66666666666589</v>
      </c>
      <c r="AJ148" s="14">
        <f>AI148*VLOOKUP('Données projet'!$B$10,Paramètres!$A$1:$I$89,3,0)*VLOOKUP('Données projet'!$B$10,Paramètres!$A$1:$I$89,5,0)</f>
        <v>265.70959999999928</v>
      </c>
      <c r="AK148" s="14">
        <f t="shared" si="143"/>
        <v>63.937891026614238</v>
      </c>
      <c r="AL148" s="22">
        <f t="shared" si="112"/>
        <v>574.13604687135182</v>
      </c>
      <c r="AM148" s="60">
        <f t="shared" si="113"/>
        <v>862.72225713197668</v>
      </c>
      <c r="AN148" s="60">
        <f ca="1">AVERAGE(OFFSET($AM$3,0,0,'Données projet'!$E$10+1,1))-AVERAGE(OFFSET($H$3,0,0,'Données projet'!$E$10+1,1))</f>
        <v>456.86058467343139</v>
      </c>
      <c r="AO148" s="60">
        <f t="shared" si="144"/>
        <v>243.88495931574937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68.705330071079487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-5.6843418860808015E-14</v>
      </c>
      <c r="BE148" s="14">
        <f>BD148*VLOOKUP('Données projet'!$B$11,Paramètres!$A$1:$I$89,3,0)*VLOOKUP('Données projet'!$B$11,Paramètres!$A$1:$I$89,5,0)</f>
        <v>-5.9412741393316544E-14</v>
      </c>
      <c r="BF148" s="14" t="e">
        <f t="shared" si="145"/>
        <v>#NUM!</v>
      </c>
      <c r="BG148" s="22" t="e">
        <f t="shared" si="115"/>
        <v>#NUM!</v>
      </c>
      <c r="BH148" s="60" t="e">
        <f t="shared" si="116"/>
        <v>#NUM!</v>
      </c>
      <c r="BI148" s="60">
        <f ca="1">AVERAGE(OFFSET($BH$3,0,0,'Données projet'!$E$11+1,1))-AVERAGE(OFFSET($H$3,0,0,'Données projet'!$E$11+1,1))</f>
        <v>518.47226207416952</v>
      </c>
      <c r="BJ148" s="60">
        <f t="shared" si="146"/>
        <v>314.6379787306804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68.705330071079487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2.4666666666666668</v>
      </c>
      <c r="BY148" s="13">
        <f>IF('Données projet'!$A$114&gt;35,BY147+BX148-CG147,IF(A148&lt;'Données projet'!$A$114,$BV$205^A148,IF(A148='Données projet'!$A$114,'Données projet'!$B$114,BY147+BX148-CG147)))</f>
        <v>293.66666666666589</v>
      </c>
      <c r="BZ148" s="14">
        <f>BY148*VLOOKUP('Données projet'!$B$12,Paramètres!$A$1:$I$89,3,0)*VLOOKUP('Données projet'!$B$12,Paramètres!$A$1:$I$89,5,0)</f>
        <v>316.10279999999915</v>
      </c>
      <c r="CA148" s="14">
        <f t="shared" si="147"/>
        <v>74.541888028833185</v>
      </c>
      <c r="CB148" s="22">
        <f t="shared" si="118"/>
        <v>680.3728316502162</v>
      </c>
      <c r="CC148" s="60">
        <f t="shared" si="119"/>
        <v>968.95904191084105</v>
      </c>
      <c r="CD148" s="60">
        <f ca="1">AVERAGE(OFFSET($CC$3,0,0,'Données projet'!$E$12+1,1))-AVERAGE(OFFSET($H$3,0,0,'Données projet'!$E$12+1,1))</f>
        <v>530.32456073177104</v>
      </c>
      <c r="CE148" s="60">
        <f t="shared" si="148"/>
        <v>279.81519428470625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68.705330071079487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3.4106051316484809E-13</v>
      </c>
      <c r="CU148" s="18">
        <f>CT148*VLOOKUP('Données projet'!$B$13,Paramètres!$A$1:$I$89,3,0)*VLOOKUP('Données projet'!$B$13,Paramètres!$A$1:$I$89,5,0)</f>
        <v>2.9795046430081134E-13</v>
      </c>
      <c r="CV148" s="14">
        <f t="shared" si="149"/>
        <v>3.9419014464513778E-12</v>
      </c>
      <c r="CW148" s="22">
        <f t="shared" si="121"/>
        <v>7.384408744560063E-12</v>
      </c>
      <c r="CX148" s="60">
        <f t="shared" si="122"/>
        <v>288.58621026063219</v>
      </c>
      <c r="CY148" s="60">
        <f ca="1">AVERAGE(OFFSET($CX$3,0,0,'Données projet'!$E$13+1,1))-AVERAGE(OFFSET($H$3,0,0,'Données projet'!$E$13+1,1))</f>
        <v>355.03862261578701</v>
      </c>
      <c r="CZ148" s="60">
        <f t="shared" si="150"/>
        <v>382.84441399266029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68.705330071079487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1.1368683772161603E-13</v>
      </c>
      <c r="DP148" s="18">
        <f>DO148*VLOOKUP('Données projet'!$B$14,Paramètres!$A$1:$I$89,3,0)*VLOOKUP('Données projet'!$B$14,Paramètres!$A$1:$I$89,5,0)</f>
        <v>8.8675733422860506E-14</v>
      </c>
      <c r="DQ148" s="14">
        <f t="shared" si="151"/>
        <v>1.3509285393066301E-12</v>
      </c>
      <c r="DR148" s="22">
        <f t="shared" si="124"/>
        <v>2.5073107750038623E-12</v>
      </c>
      <c r="DS148" s="60">
        <f t="shared" si="125"/>
        <v>288.5862102606273</v>
      </c>
      <c r="DT148" s="60">
        <f ca="1">AVERAGE(OFFSET($DS$3,0,0,'Données projet'!$E$14+1,1))-AVERAGE(OFFSET($H$3,0,0,'Données projet'!$E$14+1,1))</f>
        <v>305.68891030516761</v>
      </c>
      <c r="DU148" s="60">
        <f t="shared" si="152"/>
        <v>296.00275062228275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68.705330071079487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2.4666666666666668</v>
      </c>
      <c r="EJ148" s="13">
        <f>IF('Données projet'!$A$192&gt;35,EJ147+EI148-ER147,IF(A148&lt;'Données projet'!$A$192,$EG$205^A148,IF(A148='Données projet'!$A$192,'Données projet'!$B$192,EJ147+EI148-ER147)))</f>
        <v>293.66666666666589</v>
      </c>
      <c r="EK148" s="18">
        <f>EJ148*VLOOKUP('Données projet'!$B$15,Paramètres!$A$1:$I$89,3,0)*VLOOKUP('Données projet'!$B$15,Paramètres!$A$1:$I$89,5,0)</f>
        <v>284.03439999999927</v>
      </c>
      <c r="EL148" s="14">
        <f t="shared" si="153"/>
        <v>67.818882421464934</v>
      </c>
      <c r="EM148" s="22">
        <f t="shared" si="127"/>
        <v>612.81113355071682</v>
      </c>
      <c r="EN148" s="60">
        <f t="shared" si="128"/>
        <v>901.39734381134167</v>
      </c>
      <c r="EO148" s="60">
        <f ca="1">AVERAGE(OFFSET($EN$3,0,0,'Données projet'!$E$15+1,1))-AVERAGE(OFFSET($H$3,0,0,'Données projet'!$E$15+1,1))</f>
        <v>483.60545605360528</v>
      </c>
      <c r="EP148" s="60">
        <f t="shared" si="154"/>
        <v>256.96685577560345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68.705330071079487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0" t="e">
        <f t="shared" si="131"/>
        <v>#N/A</v>
      </c>
      <c r="FJ148" s="60" t="e">
        <f ca="1">AVERAGE(OFFSET($FI$3,0,0,'Données projet'!$E$16+1,1))-AVERAGE(OFFSET($H$3,0,0,'Données projet'!$E$16+1,1))</f>
        <v>#N/A</v>
      </c>
      <c r="FK148" s="60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68.705330071079487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0" t="e">
        <f t="shared" si="134"/>
        <v>#N/A</v>
      </c>
      <c r="GE148" s="60" t="e">
        <f ca="1">AVERAGE(OFFSET($GD$3,0,0,'Données projet'!$E$17+1,1))-AVERAGE(OFFSET($H$3,0,0,'Données projet'!$E$17+1,1))</f>
        <v>#N/A</v>
      </c>
      <c r="GF148" s="60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68.705330071079487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4">
        <f>'Scénario référence'!$B$16*5+'Scénario référence'!$B$17*0+'Scénario référence'!$B$18*5</f>
        <v>3.2750000000000004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12.008333333333335</v>
      </c>
      <c r="H149" s="67">
        <f t="shared" si="110"/>
        <v>208.63333333333333</v>
      </c>
      <c r="I149" s="7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68.727789699897926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2.4666666666666668</v>
      </c>
      <c r="N149" s="14">
        <f>IF('Données projet'!$A$36&gt;35,N148+M149-V148,IF(A149&lt;'Données projet'!$A$36,$K$205^A149,IF(A149='Données projet'!$A$36,'Données projet'!$B$36,N148+M149-V148)))</f>
        <v>296.13333333333253</v>
      </c>
      <c r="O149" s="14">
        <f>N149*VLOOKUP('Données projet'!$B$9,Paramètres!$A$1:$I$89,3,0)*VLOOKUP('Données projet'!$B$9,Paramètres!$A$1:$I$89,5,0)</f>
        <v>300.27919999999921</v>
      </c>
      <c r="P149" s="14">
        <f t="shared" si="141"/>
        <v>71.234991350653587</v>
      </c>
      <c r="Q149" s="22">
        <f t="shared" si="108"/>
        <v>647.05388326905359</v>
      </c>
      <c r="R149" s="60">
        <f t="shared" si="109"/>
        <v>935.72244550201265</v>
      </c>
      <c r="S149" s="60">
        <f ca="1">AVERAGE(OFFSET($R$3,0,0,'Données projet'!$E$9+1,1))-AVERAGE(OFFSET($H$3,0,0,'Données projet'!$E$9+1,1))</f>
        <v>503.64055031157477</v>
      </c>
      <c r="T149" s="60">
        <f t="shared" si="142"/>
        <v>266.76572540460842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68.727789699897926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2.4666666666666668</v>
      </c>
      <c r="AI149" s="14">
        <f>IF('Données projet'!$A$62&gt;35,AI148+AH149-AQ148,IF(A149&lt;'Données projet'!$A$62,$AF$205^A149,IF(A149='Données projet'!$A$62,'Données projet'!$B$62,AI148+AH149-AQ148)))</f>
        <v>296.13333333333253</v>
      </c>
      <c r="AJ149" s="14">
        <f>AI149*VLOOKUP('Données projet'!$B$10,Paramètres!$A$1:$I$89,3,0)*VLOOKUP('Données projet'!$B$10,Paramètres!$A$1:$I$89,5,0)</f>
        <v>267.94143999999926</v>
      </c>
      <c r="AK149" s="14">
        <f t="shared" si="143"/>
        <v>64.412196491203645</v>
      </c>
      <c r="AL149" s="22">
        <f t="shared" si="112"/>
        <v>578.84925022217828</v>
      </c>
      <c r="AM149" s="60">
        <f t="shared" si="113"/>
        <v>867.51781245513735</v>
      </c>
      <c r="AN149" s="60">
        <f ca="1">AVERAGE(OFFSET($AM$3,0,0,'Données projet'!$E$10+1,1))-AVERAGE(OFFSET($H$3,0,0,'Données projet'!$E$10+1,1))</f>
        <v>456.86058467343139</v>
      </c>
      <c r="AO149" s="60">
        <f t="shared" si="144"/>
        <v>243.88495931574937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68.727789699897926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-5.6843418860808015E-14</v>
      </c>
      <c r="BE149" s="14">
        <f>BD149*VLOOKUP('Données projet'!$B$11,Paramètres!$A$1:$I$89,3,0)*VLOOKUP('Données projet'!$B$11,Paramètres!$A$1:$I$89,5,0)</f>
        <v>-5.9412741393316544E-14</v>
      </c>
      <c r="BF149" s="14" t="e">
        <f t="shared" si="145"/>
        <v>#NUM!</v>
      </c>
      <c r="BG149" s="22" t="e">
        <f t="shared" si="115"/>
        <v>#NUM!</v>
      </c>
      <c r="BH149" s="60" t="e">
        <f t="shared" si="116"/>
        <v>#NUM!</v>
      </c>
      <c r="BI149" s="60">
        <f ca="1">AVERAGE(OFFSET($BH$3,0,0,'Données projet'!$E$11+1,1))-AVERAGE(OFFSET($H$3,0,0,'Données projet'!$E$11+1,1))</f>
        <v>518.47226207416952</v>
      </c>
      <c r="BJ149" s="60">
        <f t="shared" si="146"/>
        <v>314.6379787306804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68.727789699897926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2.4666666666666668</v>
      </c>
      <c r="BY149" s="13">
        <f>IF('Données projet'!$A$114&gt;35,BY148+BX149-CG148,IF(A149&lt;'Données projet'!$A$114,$BV$205^A149,IF(A149='Données projet'!$A$114,'Données projet'!$B$114,BY148+BX149-CG148)))</f>
        <v>296.13333333333253</v>
      </c>
      <c r="BZ149" s="14">
        <f>BY149*VLOOKUP('Données projet'!$B$12,Paramètres!$A$1:$I$89,3,0)*VLOOKUP('Données projet'!$B$12,Paramètres!$A$1:$I$89,5,0)</f>
        <v>318.7579199999991</v>
      </c>
      <c r="CA149" s="14">
        <f t="shared" si="147"/>
        <v>75.094856296400465</v>
      </c>
      <c r="CB149" s="22">
        <f t="shared" si="118"/>
        <v>685.96025204956243</v>
      </c>
      <c r="CC149" s="60">
        <f t="shared" si="119"/>
        <v>974.62881428252149</v>
      </c>
      <c r="CD149" s="60">
        <f ca="1">AVERAGE(OFFSET($CC$3,0,0,'Données projet'!$E$12+1,1))-AVERAGE(OFFSET($H$3,0,0,'Données projet'!$E$12+1,1))</f>
        <v>530.32456073177104</v>
      </c>
      <c r="CE149" s="60">
        <f t="shared" si="148"/>
        <v>279.81519428470625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68.727789699897926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3.4106051316484809E-13</v>
      </c>
      <c r="CU149" s="18">
        <f>CT149*VLOOKUP('Données projet'!$B$13,Paramètres!$A$1:$I$89,3,0)*VLOOKUP('Données projet'!$B$13,Paramètres!$A$1:$I$89,5,0)</f>
        <v>2.9795046430081134E-13</v>
      </c>
      <c r="CV149" s="14">
        <f t="shared" si="149"/>
        <v>3.9419014464513778E-12</v>
      </c>
      <c r="CW149" s="22">
        <f t="shared" si="121"/>
        <v>7.384408744560063E-12</v>
      </c>
      <c r="CX149" s="60">
        <f t="shared" si="122"/>
        <v>288.66856223296645</v>
      </c>
      <c r="CY149" s="60">
        <f ca="1">AVERAGE(OFFSET($CX$3,0,0,'Données projet'!$E$13+1,1))-AVERAGE(OFFSET($H$3,0,0,'Données projet'!$E$13+1,1))</f>
        <v>355.03862261578701</v>
      </c>
      <c r="CZ149" s="60">
        <f t="shared" si="150"/>
        <v>382.84441399266029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68.727789699897926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1.1368683772161603E-13</v>
      </c>
      <c r="DP149" s="18">
        <f>DO149*VLOOKUP('Données projet'!$B$14,Paramètres!$A$1:$I$89,3,0)*VLOOKUP('Données projet'!$B$14,Paramètres!$A$1:$I$89,5,0)</f>
        <v>8.8675733422860506E-14</v>
      </c>
      <c r="DQ149" s="14">
        <f t="shared" si="151"/>
        <v>1.3509285393066301E-12</v>
      </c>
      <c r="DR149" s="22">
        <f t="shared" si="124"/>
        <v>2.5073107750038623E-12</v>
      </c>
      <c r="DS149" s="60">
        <f t="shared" si="125"/>
        <v>288.66856223296156</v>
      </c>
      <c r="DT149" s="60">
        <f ca="1">AVERAGE(OFFSET($DS$3,0,0,'Données projet'!$E$14+1,1))-AVERAGE(OFFSET($H$3,0,0,'Données projet'!$E$14+1,1))</f>
        <v>305.68891030516761</v>
      </c>
      <c r="DU149" s="60">
        <f t="shared" si="152"/>
        <v>296.00275062228275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68.727789699897926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2.4666666666666668</v>
      </c>
      <c r="EJ149" s="13">
        <f>IF('Données projet'!$A$192&gt;35,EJ148+EI149-ER148,IF(A149&lt;'Données projet'!$A$192,$EG$205^A149,IF(A149='Données projet'!$A$192,'Données projet'!$B$192,EJ148+EI149-ER148)))</f>
        <v>296.13333333333253</v>
      </c>
      <c r="EK149" s="18">
        <f>EJ149*VLOOKUP('Données projet'!$B$15,Paramètres!$A$1:$I$89,3,0)*VLOOKUP('Données projet'!$B$15,Paramètres!$A$1:$I$89,5,0)</f>
        <v>286.42015999999927</v>
      </c>
      <c r="EL149" s="14">
        <f t="shared" si="153"/>
        <v>68.321977941482302</v>
      </c>
      <c r="EM149" s="22">
        <f t="shared" si="127"/>
        <v>617.84255691474698</v>
      </c>
      <c r="EN149" s="60">
        <f t="shared" si="128"/>
        <v>906.51111914770604</v>
      </c>
      <c r="EO149" s="60">
        <f ca="1">AVERAGE(OFFSET($EN$3,0,0,'Données projet'!$E$15+1,1))-AVERAGE(OFFSET($H$3,0,0,'Données projet'!$E$15+1,1))</f>
        <v>483.60545605360528</v>
      </c>
      <c r="EP149" s="60">
        <f t="shared" si="154"/>
        <v>256.96685577560345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68.727789699897926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0" t="e">
        <f t="shared" si="131"/>
        <v>#N/A</v>
      </c>
      <c r="FJ149" s="60" t="e">
        <f ca="1">AVERAGE(OFFSET($FI$3,0,0,'Données projet'!$E$16+1,1))-AVERAGE(OFFSET($H$3,0,0,'Données projet'!$E$16+1,1))</f>
        <v>#N/A</v>
      </c>
      <c r="FK149" s="60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68.727789699897926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0" t="e">
        <f t="shared" si="134"/>
        <v>#N/A</v>
      </c>
      <c r="GE149" s="60" t="e">
        <f ca="1">AVERAGE(OFFSET($GD$3,0,0,'Données projet'!$E$17+1,1))-AVERAGE(OFFSET($H$3,0,0,'Données projet'!$E$17+1,1))</f>
        <v>#N/A</v>
      </c>
      <c r="GF149" s="60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68.727789699897926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4">
        <f>'Scénario référence'!$B$16*5+'Scénario référence'!$B$17*0+'Scénario référence'!$B$18*5</f>
        <v>3.2750000000000004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12.008333333333335</v>
      </c>
      <c r="H150" s="67">
        <f t="shared" si="110"/>
        <v>208.63333333333333</v>
      </c>
      <c r="I150" s="7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68.749859704368561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2.4666666666666668</v>
      </c>
      <c r="N150" s="14">
        <f>IF('Données projet'!$A$36&gt;35,N149+M150-V149,IF(A150&lt;'Données projet'!$A$36,$K$205^A150,IF(A150='Données projet'!$A$36,'Données projet'!$B$36,N149+M150-V149)))</f>
        <v>298.59999999999917</v>
      </c>
      <c r="O150" s="14">
        <f>N150*VLOOKUP('Données projet'!$B$9,Paramètres!$A$1:$I$89,3,0)*VLOOKUP('Données projet'!$B$9,Paramètres!$A$1:$I$89,5,0)</f>
        <v>302.78039999999919</v>
      </c>
      <c r="P150" s="14">
        <f t="shared" si="141"/>
        <v>71.759028787761522</v>
      </c>
      <c r="Q150" s="22">
        <f t="shared" si="108"/>
        <v>652.32283847201654</v>
      </c>
      <c r="R150" s="60">
        <f t="shared" si="109"/>
        <v>941.07232405470131</v>
      </c>
      <c r="S150" s="60">
        <f ca="1">AVERAGE(OFFSET($R$3,0,0,'Données projet'!$E$9+1,1))-AVERAGE(OFFSET($H$3,0,0,'Données projet'!$E$9+1,1))</f>
        <v>503.64055031157477</v>
      </c>
      <c r="T150" s="60">
        <f t="shared" si="142"/>
        <v>266.76572540460842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68.749859704368561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2.4666666666666668</v>
      </c>
      <c r="AI150" s="14">
        <f>IF('Données projet'!$A$62&gt;35,AI149+AH150-AQ149,IF(A150&lt;'Données projet'!$A$62,$AF$205^A150,IF(A150='Données projet'!$A$62,'Données projet'!$B$62,AI149+AH150-AQ149)))</f>
        <v>298.59999999999917</v>
      </c>
      <c r="AJ150" s="14">
        <f>AI150*VLOOKUP('Données projet'!$B$10,Paramètres!$A$1:$I$89,3,0)*VLOOKUP('Données projet'!$B$10,Paramètres!$A$1:$I$89,5,0)</f>
        <v>270.17327999999924</v>
      </c>
      <c r="AK150" s="14">
        <f t="shared" si="143"/>
        <v>64.886042303882803</v>
      </c>
      <c r="AL150" s="22">
        <f t="shared" si="112"/>
        <v>583.56165301259455</v>
      </c>
      <c r="AM150" s="60">
        <f t="shared" si="113"/>
        <v>872.31113859527932</v>
      </c>
      <c r="AN150" s="60">
        <f ca="1">AVERAGE(OFFSET($AM$3,0,0,'Données projet'!$E$10+1,1))-AVERAGE(OFFSET($H$3,0,0,'Données projet'!$E$10+1,1))</f>
        <v>456.86058467343139</v>
      </c>
      <c r="AO150" s="60">
        <f t="shared" si="144"/>
        <v>243.88495931574937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68.749859704368561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-5.6843418860808015E-14</v>
      </c>
      <c r="BE150" s="14">
        <f>BD150*VLOOKUP('Données projet'!$B$11,Paramètres!$A$1:$I$89,3,0)*VLOOKUP('Données projet'!$B$11,Paramètres!$A$1:$I$89,5,0)</f>
        <v>-5.9412741393316544E-14</v>
      </c>
      <c r="BF150" s="14" t="e">
        <f t="shared" si="145"/>
        <v>#NUM!</v>
      </c>
      <c r="BG150" s="22" t="e">
        <f t="shared" si="115"/>
        <v>#NUM!</v>
      </c>
      <c r="BH150" s="60" t="e">
        <f t="shared" si="116"/>
        <v>#NUM!</v>
      </c>
      <c r="BI150" s="60">
        <f ca="1">AVERAGE(OFFSET($BH$3,0,0,'Données projet'!$E$11+1,1))-AVERAGE(OFFSET($H$3,0,0,'Données projet'!$E$11+1,1))</f>
        <v>518.47226207416952</v>
      </c>
      <c r="BJ150" s="60">
        <f t="shared" si="146"/>
        <v>314.6379787306804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68.749859704368561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2.4666666666666668</v>
      </c>
      <c r="BY150" s="13">
        <f>IF('Données projet'!$A$114&gt;35,BY149+BX150-CG149,IF(A150&lt;'Données projet'!$A$114,$BV$205^A150,IF(A150='Données projet'!$A$114,'Données projet'!$B$114,BY149+BX150-CG149)))</f>
        <v>298.59999999999917</v>
      </c>
      <c r="BZ150" s="14">
        <f>BY150*VLOOKUP('Données projet'!$B$12,Paramètres!$A$1:$I$89,3,0)*VLOOKUP('Données projet'!$B$12,Paramètres!$A$1:$I$89,5,0)</f>
        <v>321.41303999999911</v>
      </c>
      <c r="CA150" s="14">
        <f t="shared" si="147"/>
        <v>75.647288679523001</v>
      </c>
      <c r="CB150" s="22">
        <f t="shared" si="118"/>
        <v>691.54673911683437</v>
      </c>
      <c r="CC150" s="60">
        <f t="shared" si="119"/>
        <v>980.29622469951914</v>
      </c>
      <c r="CD150" s="60">
        <f ca="1">AVERAGE(OFFSET($CC$3,0,0,'Données projet'!$E$12+1,1))-AVERAGE(OFFSET($H$3,0,0,'Données projet'!$E$12+1,1))</f>
        <v>530.32456073177104</v>
      </c>
      <c r="CE150" s="60">
        <f t="shared" si="148"/>
        <v>279.81519428470625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68.749859704368561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3.4106051316484809E-13</v>
      </c>
      <c r="CU150" s="18">
        <f>CT150*VLOOKUP('Données projet'!$B$13,Paramètres!$A$1:$I$89,3,0)*VLOOKUP('Données projet'!$B$13,Paramètres!$A$1:$I$89,5,0)</f>
        <v>2.9795046430081134E-13</v>
      </c>
      <c r="CV150" s="14">
        <f t="shared" si="149"/>
        <v>3.9419014464513778E-12</v>
      </c>
      <c r="CW150" s="22">
        <f t="shared" si="121"/>
        <v>7.384408744560063E-12</v>
      </c>
      <c r="CX150" s="60">
        <f t="shared" si="122"/>
        <v>288.7494855826921</v>
      </c>
      <c r="CY150" s="60">
        <f ca="1">AVERAGE(OFFSET($CX$3,0,0,'Données projet'!$E$13+1,1))-AVERAGE(OFFSET($H$3,0,0,'Données projet'!$E$13+1,1))</f>
        <v>355.03862261578701</v>
      </c>
      <c r="CZ150" s="60">
        <f t="shared" si="150"/>
        <v>382.84441399266029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68.749859704368561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1.1368683772161603E-13</v>
      </c>
      <c r="DP150" s="18">
        <f>DO150*VLOOKUP('Données projet'!$B$14,Paramètres!$A$1:$I$89,3,0)*VLOOKUP('Données projet'!$B$14,Paramètres!$A$1:$I$89,5,0)</f>
        <v>8.8675733422860506E-14</v>
      </c>
      <c r="DQ150" s="14">
        <f t="shared" si="151"/>
        <v>1.3509285393066301E-12</v>
      </c>
      <c r="DR150" s="22">
        <f t="shared" si="124"/>
        <v>2.5073107750038623E-12</v>
      </c>
      <c r="DS150" s="60">
        <f t="shared" si="125"/>
        <v>288.74948558268721</v>
      </c>
      <c r="DT150" s="60">
        <f ca="1">AVERAGE(OFFSET($DS$3,0,0,'Données projet'!$E$14+1,1))-AVERAGE(OFFSET($H$3,0,0,'Données projet'!$E$14+1,1))</f>
        <v>305.68891030516761</v>
      </c>
      <c r="DU150" s="60">
        <f t="shared" si="152"/>
        <v>296.00275062228275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68.749859704368561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2.4666666666666668</v>
      </c>
      <c r="EJ150" s="13">
        <f>IF('Données projet'!$A$192&gt;35,EJ149+EI150-ER149,IF(A150&lt;'Données projet'!$A$192,$EG$205^A150,IF(A150='Données projet'!$A$192,'Données projet'!$B$192,EJ149+EI150-ER149)))</f>
        <v>298.59999999999917</v>
      </c>
      <c r="EK150" s="18">
        <f>EJ150*VLOOKUP('Données projet'!$B$15,Paramètres!$A$1:$I$89,3,0)*VLOOKUP('Données projet'!$B$15,Paramètres!$A$1:$I$89,5,0)</f>
        <v>288.80591999999922</v>
      </c>
      <c r="EL150" s="14">
        <f t="shared" si="153"/>
        <v>68.824585908995942</v>
      </c>
      <c r="EM150" s="22">
        <f t="shared" si="127"/>
        <v>622.87313112483321</v>
      </c>
      <c r="EN150" s="60">
        <f t="shared" si="128"/>
        <v>911.62261670751786</v>
      </c>
      <c r="EO150" s="60">
        <f ca="1">AVERAGE(OFFSET($EN$3,0,0,'Données projet'!$E$15+1,1))-AVERAGE(OFFSET($H$3,0,0,'Données projet'!$E$15+1,1))</f>
        <v>483.60545605360528</v>
      </c>
      <c r="EP150" s="60">
        <f t="shared" si="154"/>
        <v>256.96685577560345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68.749859704368561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0" t="e">
        <f t="shared" si="131"/>
        <v>#N/A</v>
      </c>
      <c r="FJ150" s="60" t="e">
        <f ca="1">AVERAGE(OFFSET($FI$3,0,0,'Données projet'!$E$16+1,1))-AVERAGE(OFFSET($H$3,0,0,'Données projet'!$E$16+1,1))</f>
        <v>#N/A</v>
      </c>
      <c r="FK150" s="60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68.749859704368561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0" t="e">
        <f t="shared" si="134"/>
        <v>#N/A</v>
      </c>
      <c r="GE150" s="60" t="e">
        <f ca="1">AVERAGE(OFFSET($GD$3,0,0,'Données projet'!$E$17+1,1))-AVERAGE(OFFSET($H$3,0,0,'Données projet'!$E$17+1,1))</f>
        <v>#N/A</v>
      </c>
      <c r="GF150" s="60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68.749859704368561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4">
        <f>'Scénario référence'!$B$16*5+'Scénario référence'!$B$17*0+'Scénario référence'!$B$18*5</f>
        <v>3.2750000000000004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12.008333333333335</v>
      </c>
      <c r="H151" s="67">
        <f t="shared" si="110"/>
        <v>208.63333333333333</v>
      </c>
      <c r="I151" s="7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68.771546843602778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2.4666666666666668</v>
      </c>
      <c r="N151" s="14">
        <f>IF('Données projet'!$A$36&gt;35,N150+M151-V150,IF(A151&lt;'Données projet'!$A$36,$K$205^A151,IF(A151='Données projet'!$A$36,'Données projet'!$B$36,N150+M151-V150)))</f>
        <v>301.06666666666581</v>
      </c>
      <c r="O151" s="14">
        <f>N151*VLOOKUP('Données projet'!$B$9,Paramètres!$A$1:$I$89,3,0)*VLOOKUP('Données projet'!$B$9,Paramètres!$A$1:$I$89,5,0)</f>
        <v>305.28159999999917</v>
      </c>
      <c r="P151" s="14">
        <f t="shared" si="141"/>
        <v>72.282562570740865</v>
      </c>
      <c r="Q151" s="22">
        <f t="shared" si="108"/>
        <v>657.59091647737216</v>
      </c>
      <c r="R151" s="60">
        <f t="shared" si="109"/>
        <v>946.41992157058235</v>
      </c>
      <c r="S151" s="60">
        <f ca="1">AVERAGE(OFFSET($R$3,0,0,'Données projet'!$E$9+1,1))-AVERAGE(OFFSET($H$3,0,0,'Données projet'!$E$9+1,1))</f>
        <v>503.64055031157477</v>
      </c>
      <c r="T151" s="60">
        <f t="shared" si="142"/>
        <v>266.76572540460842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68.771546843602778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2.4666666666666668</v>
      </c>
      <c r="AI151" s="14">
        <f>IF('Données projet'!$A$62&gt;35,AI150+AH151-AQ150,IF(A151&lt;'Données projet'!$A$62,$AF$205^A151,IF(A151='Données projet'!$A$62,'Données projet'!$B$62,AI150+AH151-AQ150)))</f>
        <v>301.06666666666581</v>
      </c>
      <c r="AJ151" s="14">
        <f>AI151*VLOOKUP('Données projet'!$B$10,Paramètres!$A$1:$I$89,3,0)*VLOOKUP('Données projet'!$B$10,Paramètres!$A$1:$I$89,5,0)</f>
        <v>272.40511999999921</v>
      </c>
      <c r="AK151" s="14">
        <f t="shared" si="143"/>
        <v>65.35943270177107</v>
      </c>
      <c r="AL151" s="22">
        <f t="shared" si="112"/>
        <v>588.27326262224994</v>
      </c>
      <c r="AM151" s="60">
        <f t="shared" si="113"/>
        <v>877.10226771546013</v>
      </c>
      <c r="AN151" s="60">
        <f ca="1">AVERAGE(OFFSET($AM$3,0,0,'Données projet'!$E$10+1,1))-AVERAGE(OFFSET($H$3,0,0,'Données projet'!$E$10+1,1))</f>
        <v>456.86058467343139</v>
      </c>
      <c r="AO151" s="60">
        <f t="shared" si="144"/>
        <v>243.88495931574937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68.771546843602778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-5.6843418860808015E-14</v>
      </c>
      <c r="BE151" s="14">
        <f>BD151*VLOOKUP('Données projet'!$B$11,Paramètres!$A$1:$I$89,3,0)*VLOOKUP('Données projet'!$B$11,Paramètres!$A$1:$I$89,5,0)</f>
        <v>-5.9412741393316544E-14</v>
      </c>
      <c r="BF151" s="14" t="e">
        <f t="shared" si="145"/>
        <v>#NUM!</v>
      </c>
      <c r="BG151" s="22" t="e">
        <f t="shared" si="115"/>
        <v>#NUM!</v>
      </c>
      <c r="BH151" s="60" t="e">
        <f t="shared" si="116"/>
        <v>#NUM!</v>
      </c>
      <c r="BI151" s="60">
        <f ca="1">AVERAGE(OFFSET($BH$3,0,0,'Données projet'!$E$11+1,1))-AVERAGE(OFFSET($H$3,0,0,'Données projet'!$E$11+1,1))</f>
        <v>518.47226207416952</v>
      </c>
      <c r="BJ151" s="60">
        <f t="shared" si="146"/>
        <v>314.6379787306804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68.771546843602778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2.4666666666666668</v>
      </c>
      <c r="BY151" s="13">
        <f>IF('Données projet'!$A$114&gt;35,BY150+BX151-CG150,IF(A151&lt;'Données projet'!$A$114,$BV$205^A151,IF(A151='Données projet'!$A$114,'Données projet'!$B$114,BY150+BX151-CG150)))</f>
        <v>301.06666666666581</v>
      </c>
      <c r="BZ151" s="14">
        <f>BY151*VLOOKUP('Données projet'!$B$12,Paramètres!$A$1:$I$89,3,0)*VLOOKUP('Données projet'!$B$12,Paramètres!$A$1:$I$89,5,0)</f>
        <v>324.06815999999907</v>
      </c>
      <c r="CA151" s="14">
        <f t="shared" si="147"/>
        <v>76.19919011803961</v>
      </c>
      <c r="CB151" s="22">
        <f t="shared" si="118"/>
        <v>697.13230145558407</v>
      </c>
      <c r="CC151" s="60">
        <f t="shared" si="119"/>
        <v>985.96130654879425</v>
      </c>
      <c r="CD151" s="60">
        <f ca="1">AVERAGE(OFFSET($CC$3,0,0,'Données projet'!$E$12+1,1))-AVERAGE(OFFSET($H$3,0,0,'Données projet'!$E$12+1,1))</f>
        <v>530.32456073177104</v>
      </c>
      <c r="CE151" s="60">
        <f t="shared" si="148"/>
        <v>279.81519428470625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68.771546843602778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3.4106051316484809E-13</v>
      </c>
      <c r="CU151" s="18">
        <f>CT151*VLOOKUP('Données projet'!$B$13,Paramètres!$A$1:$I$89,3,0)*VLOOKUP('Données projet'!$B$13,Paramètres!$A$1:$I$89,5,0)</f>
        <v>2.9795046430081134E-13</v>
      </c>
      <c r="CV151" s="14">
        <f t="shared" si="149"/>
        <v>3.9419014464513778E-12</v>
      </c>
      <c r="CW151" s="22">
        <f t="shared" si="121"/>
        <v>7.384408744560063E-12</v>
      </c>
      <c r="CX151" s="60">
        <f t="shared" si="122"/>
        <v>288.82900509321757</v>
      </c>
      <c r="CY151" s="60">
        <f ca="1">AVERAGE(OFFSET($CX$3,0,0,'Données projet'!$E$13+1,1))-AVERAGE(OFFSET($H$3,0,0,'Données projet'!$E$13+1,1))</f>
        <v>355.03862261578701</v>
      </c>
      <c r="CZ151" s="60">
        <f t="shared" si="150"/>
        <v>382.84441399266029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68.771546843602778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1.1368683772161603E-13</v>
      </c>
      <c r="DP151" s="18">
        <f>DO151*VLOOKUP('Données projet'!$B$14,Paramètres!$A$1:$I$89,3,0)*VLOOKUP('Données projet'!$B$14,Paramètres!$A$1:$I$89,5,0)</f>
        <v>8.8675733422860506E-14</v>
      </c>
      <c r="DQ151" s="14">
        <f t="shared" si="151"/>
        <v>1.3509285393066301E-12</v>
      </c>
      <c r="DR151" s="22">
        <f t="shared" si="124"/>
        <v>2.5073107750038623E-12</v>
      </c>
      <c r="DS151" s="60">
        <f t="shared" si="125"/>
        <v>288.82900509321269</v>
      </c>
      <c r="DT151" s="60">
        <f ca="1">AVERAGE(OFFSET($DS$3,0,0,'Données projet'!$E$14+1,1))-AVERAGE(OFFSET($H$3,0,0,'Données projet'!$E$14+1,1))</f>
        <v>305.68891030516761</v>
      </c>
      <c r="DU151" s="60">
        <f t="shared" si="152"/>
        <v>296.00275062228275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68.771546843602778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2.4666666666666668</v>
      </c>
      <c r="EJ151" s="13">
        <f>IF('Données projet'!$A$192&gt;35,EJ150+EI151-ER150,IF(A151&lt;'Données projet'!$A$192,$EG$205^A151,IF(A151='Données projet'!$A$192,'Données projet'!$B$192,EJ150+EI151-ER150)))</f>
        <v>301.06666666666581</v>
      </c>
      <c r="EK151" s="18">
        <f>EJ151*VLOOKUP('Données projet'!$B$15,Paramètres!$A$1:$I$89,3,0)*VLOOKUP('Données projet'!$B$15,Paramètres!$A$1:$I$89,5,0)</f>
        <v>291.19167999999917</v>
      </c>
      <c r="EL151" s="14">
        <f t="shared" si="153"/>
        <v>69.326710818315618</v>
      </c>
      <c r="EM151" s="22">
        <f t="shared" si="127"/>
        <v>627.90286400856496</v>
      </c>
      <c r="EN151" s="60">
        <f t="shared" si="128"/>
        <v>916.73186910177515</v>
      </c>
      <c r="EO151" s="60">
        <f ca="1">AVERAGE(OFFSET($EN$3,0,0,'Données projet'!$E$15+1,1))-AVERAGE(OFFSET($H$3,0,0,'Données projet'!$E$15+1,1))</f>
        <v>483.60545605360528</v>
      </c>
      <c r="EP151" s="60">
        <f t="shared" si="154"/>
        <v>256.96685577560345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68.771546843602778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0" t="e">
        <f t="shared" si="131"/>
        <v>#N/A</v>
      </c>
      <c r="FJ151" s="60" t="e">
        <f ca="1">AVERAGE(OFFSET($FI$3,0,0,'Données projet'!$E$16+1,1))-AVERAGE(OFFSET($H$3,0,0,'Données projet'!$E$16+1,1))</f>
        <v>#N/A</v>
      </c>
      <c r="FK151" s="60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68.771546843602778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0" t="e">
        <f t="shared" si="134"/>
        <v>#N/A</v>
      </c>
      <c r="GE151" s="60" t="e">
        <f ca="1">AVERAGE(OFFSET($GD$3,0,0,'Données projet'!$E$17+1,1))-AVERAGE(OFFSET($H$3,0,0,'Données projet'!$E$17+1,1))</f>
        <v>#N/A</v>
      </c>
      <c r="GF151" s="60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68.771546843602778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4">
        <f>'Scénario référence'!$B$16*5+'Scénario référence'!$B$17*0+'Scénario référence'!$B$18*5</f>
        <v>3.2750000000000004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12.008333333333335</v>
      </c>
      <c r="H152" s="67">
        <f t="shared" si="110"/>
        <v>208.63333333333333</v>
      </c>
      <c r="I152" s="7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68.792857759456439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2.4666666666666668</v>
      </c>
      <c r="N152" s="14">
        <f>IF('Données projet'!$A$36&gt;35,N151+M152-V151,IF(A152&lt;'Données projet'!$A$36,$K$205^A152,IF(A152='Données projet'!$A$36,'Données projet'!$B$36,N151+M152-V151)))</f>
        <v>303.53333333333245</v>
      </c>
      <c r="O152" s="14">
        <f>N152*VLOOKUP('Données projet'!$B$9,Paramètres!$A$1:$I$89,3,0)*VLOOKUP('Données projet'!$B$9,Paramètres!$A$1:$I$89,5,0)</f>
        <v>307.78279999999916</v>
      </c>
      <c r="P152" s="14">
        <f t="shared" si="141"/>
        <v>72.805597304305977</v>
      </c>
      <c r="Q152" s="22">
        <f t="shared" si="108"/>
        <v>662.858125304998</v>
      </c>
      <c r="R152" s="60">
        <f t="shared" si="109"/>
        <v>951.76527042300495</v>
      </c>
      <c r="S152" s="60">
        <f ca="1">AVERAGE(OFFSET($R$3,0,0,'Données projet'!$E$9+1,1))-AVERAGE(OFFSET($H$3,0,0,'Données projet'!$E$9+1,1))</f>
        <v>503.64055031157477</v>
      </c>
      <c r="T152" s="60">
        <f t="shared" si="142"/>
        <v>266.76572540460842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68.792857759456439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2.4666666666666668</v>
      </c>
      <c r="AI152" s="14">
        <f>IF('Données projet'!$A$62&gt;35,AI151+AH152-AQ151,IF(A152&lt;'Données projet'!$A$62,$AF$205^A152,IF(A152='Données projet'!$A$62,'Données projet'!$B$62,AI151+AH152-AQ151)))</f>
        <v>303.53333333333245</v>
      </c>
      <c r="AJ152" s="14">
        <f>AI152*VLOOKUP('Données projet'!$B$10,Paramètres!$A$1:$I$89,3,0)*VLOOKUP('Données projet'!$B$10,Paramètres!$A$1:$I$89,5,0)</f>
        <v>274.63695999999919</v>
      </c>
      <c r="AK152" s="14">
        <f t="shared" si="143"/>
        <v>65.83237184854913</v>
      </c>
      <c r="AL152" s="22">
        <f t="shared" si="112"/>
        <v>592.98408630288839</v>
      </c>
      <c r="AM152" s="60">
        <f t="shared" si="113"/>
        <v>881.89123142089534</v>
      </c>
      <c r="AN152" s="60">
        <f ca="1">AVERAGE(OFFSET($AM$3,0,0,'Données projet'!$E$10+1,1))-AVERAGE(OFFSET($H$3,0,0,'Données projet'!$E$10+1,1))</f>
        <v>456.86058467343139</v>
      </c>
      <c r="AO152" s="60">
        <f t="shared" si="144"/>
        <v>243.88495931574937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68.792857759456439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-5.6843418860808015E-14</v>
      </c>
      <c r="BE152" s="14">
        <f>BD152*VLOOKUP('Données projet'!$B$11,Paramètres!$A$1:$I$89,3,0)*VLOOKUP('Données projet'!$B$11,Paramètres!$A$1:$I$89,5,0)</f>
        <v>-5.9412741393316544E-14</v>
      </c>
      <c r="BF152" s="14" t="e">
        <f t="shared" si="145"/>
        <v>#NUM!</v>
      </c>
      <c r="BG152" s="22" t="e">
        <f t="shared" si="115"/>
        <v>#NUM!</v>
      </c>
      <c r="BH152" s="60" t="e">
        <f t="shared" si="116"/>
        <v>#NUM!</v>
      </c>
      <c r="BI152" s="60">
        <f ca="1">AVERAGE(OFFSET($BH$3,0,0,'Données projet'!$E$11+1,1))-AVERAGE(OFFSET($H$3,0,0,'Données projet'!$E$11+1,1))</f>
        <v>518.47226207416952</v>
      </c>
      <c r="BJ152" s="60">
        <f t="shared" si="146"/>
        <v>314.6379787306804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68.792857759456439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2.4666666666666668</v>
      </c>
      <c r="BY152" s="13">
        <f>IF('Données projet'!$A$114&gt;35,BY151+BX152-CG151,IF(A152&lt;'Données projet'!$A$114,$BV$205^A152,IF(A152='Données projet'!$A$114,'Données projet'!$B$114,BY151+BX152-CG151)))</f>
        <v>303.53333333333245</v>
      </c>
      <c r="BZ152" s="14">
        <f>BY152*VLOOKUP('Données projet'!$B$12,Paramètres!$A$1:$I$89,3,0)*VLOOKUP('Données projet'!$B$12,Paramètres!$A$1:$I$89,5,0)</f>
        <v>326.72327999999902</v>
      </c>
      <c r="CA152" s="14">
        <f t="shared" si="147"/>
        <v>76.750565466170926</v>
      </c>
      <c r="CB152" s="22">
        <f t="shared" si="118"/>
        <v>702.71694752024598</v>
      </c>
      <c r="CC152" s="60">
        <f t="shared" si="119"/>
        <v>991.62409263825293</v>
      </c>
      <c r="CD152" s="60">
        <f ca="1">AVERAGE(OFFSET($CC$3,0,0,'Données projet'!$E$12+1,1))-AVERAGE(OFFSET($H$3,0,0,'Données projet'!$E$12+1,1))</f>
        <v>530.32456073177104</v>
      </c>
      <c r="CE152" s="60">
        <f t="shared" si="148"/>
        <v>279.81519428470625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68.792857759456439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3.4106051316484809E-13</v>
      </c>
      <c r="CU152" s="18">
        <f>CT152*VLOOKUP('Données projet'!$B$13,Paramètres!$A$1:$I$89,3,0)*VLOOKUP('Données projet'!$B$13,Paramètres!$A$1:$I$89,5,0)</f>
        <v>2.9795046430081134E-13</v>
      </c>
      <c r="CV152" s="14">
        <f t="shared" si="149"/>
        <v>3.9419014464513778E-12</v>
      </c>
      <c r="CW152" s="22">
        <f t="shared" si="121"/>
        <v>7.384408744560063E-12</v>
      </c>
      <c r="CX152" s="60">
        <f t="shared" si="122"/>
        <v>288.90714511801434</v>
      </c>
      <c r="CY152" s="60">
        <f ca="1">AVERAGE(OFFSET($CX$3,0,0,'Données projet'!$E$13+1,1))-AVERAGE(OFFSET($H$3,0,0,'Données projet'!$E$13+1,1))</f>
        <v>355.03862261578701</v>
      </c>
      <c r="CZ152" s="60">
        <f t="shared" si="150"/>
        <v>382.84441399266029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68.792857759456439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1.1368683772161603E-13</v>
      </c>
      <c r="DP152" s="18">
        <f>DO152*VLOOKUP('Données projet'!$B$14,Paramètres!$A$1:$I$89,3,0)*VLOOKUP('Données projet'!$B$14,Paramètres!$A$1:$I$89,5,0)</f>
        <v>8.8675733422860506E-14</v>
      </c>
      <c r="DQ152" s="14">
        <f t="shared" si="151"/>
        <v>1.3509285393066301E-12</v>
      </c>
      <c r="DR152" s="22">
        <f t="shared" si="124"/>
        <v>2.5073107750038623E-12</v>
      </c>
      <c r="DS152" s="60">
        <f t="shared" si="125"/>
        <v>288.90714511800945</v>
      </c>
      <c r="DT152" s="60">
        <f ca="1">AVERAGE(OFFSET($DS$3,0,0,'Données projet'!$E$14+1,1))-AVERAGE(OFFSET($H$3,0,0,'Données projet'!$E$14+1,1))</f>
        <v>305.68891030516761</v>
      </c>
      <c r="DU152" s="60">
        <f t="shared" si="152"/>
        <v>296.00275062228275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68.792857759456439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2.4666666666666668</v>
      </c>
      <c r="EJ152" s="13">
        <f>IF('Données projet'!$A$192&gt;35,EJ151+EI152-ER151,IF(A152&lt;'Données projet'!$A$192,$EG$205^A152,IF(A152='Données projet'!$A$192,'Données projet'!$B$192,EJ151+EI152-ER151)))</f>
        <v>303.53333333333245</v>
      </c>
      <c r="EK152" s="18">
        <f>EJ152*VLOOKUP('Données projet'!$B$15,Paramètres!$A$1:$I$89,3,0)*VLOOKUP('Données projet'!$B$15,Paramètres!$A$1:$I$89,5,0)</f>
        <v>293.57743999999917</v>
      </c>
      <c r="EL152" s="14">
        <f t="shared" si="153"/>
        <v>69.828357085855131</v>
      </c>
      <c r="EM152" s="22">
        <f t="shared" si="127"/>
        <v>632.93176325786294</v>
      </c>
      <c r="EN152" s="60">
        <f t="shared" si="128"/>
        <v>921.83890837586989</v>
      </c>
      <c r="EO152" s="60">
        <f ca="1">AVERAGE(OFFSET($EN$3,0,0,'Données projet'!$E$15+1,1))-AVERAGE(OFFSET($H$3,0,0,'Données projet'!$E$15+1,1))</f>
        <v>483.60545605360528</v>
      </c>
      <c r="EP152" s="60">
        <f t="shared" si="154"/>
        <v>256.96685577560345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68.792857759456439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0" t="e">
        <f t="shared" si="131"/>
        <v>#N/A</v>
      </c>
      <c r="FJ152" s="60" t="e">
        <f ca="1">AVERAGE(OFFSET($FI$3,0,0,'Données projet'!$E$16+1,1))-AVERAGE(OFFSET($H$3,0,0,'Données projet'!$E$16+1,1))</f>
        <v>#N/A</v>
      </c>
      <c r="FK152" s="60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68.792857759456439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0" t="e">
        <f t="shared" si="134"/>
        <v>#N/A</v>
      </c>
      <c r="GE152" s="60" t="e">
        <f ca="1">AVERAGE(OFFSET($GD$3,0,0,'Données projet'!$E$17+1,1))-AVERAGE(OFFSET($H$3,0,0,'Données projet'!$E$17+1,1))</f>
        <v>#N/A</v>
      </c>
      <c r="GF152" s="60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68.792857759456439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4">
        <f>'Scénario référence'!$B$16*5+'Scénario référence'!$B$17*0+'Scénario référence'!$B$18*5</f>
        <v>3.2750000000000004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12.008333333333335</v>
      </c>
      <c r="H153" s="67">
        <f t="shared" si="110"/>
        <v>208.63333333333333</v>
      </c>
      <c r="I153" s="7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68.813798978564137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306</v>
      </c>
      <c r="L153" s="13">
        <f>VLOOKUP(A153,'Données projet'!$A$35:$I$55,9,0)</f>
        <v>2.4666666666666668</v>
      </c>
      <c r="M153" s="13">
        <f t="array" ref="M153">INDEX(L:L,MIN(IF(ISNUMBER(L153:L349),ROW(L153:L349),"")))</f>
        <v>2.4666666666666668</v>
      </c>
      <c r="N153" s="14">
        <f>IF('Données projet'!$A$36&gt;35,N152+M153-V152,IF(A153&lt;'Données projet'!$A$36,$K$205^A153,IF(A153='Données projet'!$A$36,'Données projet'!$B$36,N152+M153-V152)))</f>
        <v>305.99999999999909</v>
      </c>
      <c r="O153" s="14">
        <f>N153*VLOOKUP('Données projet'!$B$9,Paramètres!$A$1:$I$89,3,0)*VLOOKUP('Données projet'!$B$9,Paramètres!$A$1:$I$89,5,0)</f>
        <v>310.28399999999908</v>
      </c>
      <c r="P153" s="14">
        <f t="shared" si="141"/>
        <v>73.328137514009967</v>
      </c>
      <c r="Q153" s="22">
        <f t="shared" si="108"/>
        <v>668.12447283689914</v>
      </c>
      <c r="R153" s="60">
        <f t="shared" si="109"/>
        <v>957.10840242496761</v>
      </c>
      <c r="S153" s="60">
        <f ca="1">AVERAGE(OFFSET($R$3,0,0,'Données projet'!$E$9+1,1))-AVERAGE(OFFSET($H$3,0,0,'Données projet'!$E$9+1,1))</f>
        <v>503.64055031157477</v>
      </c>
      <c r="T153" s="60">
        <f t="shared" si="142"/>
        <v>266.76572540460842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306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68.813798978564137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306</v>
      </c>
      <c r="AG153" s="13">
        <f>VLOOKUP(A153,'Données projet'!$A$61:$I$81,9,0)</f>
        <v>2.4666666666666668</v>
      </c>
      <c r="AH153" s="13">
        <f t="array" ref="AH153">INDEX(AG:AG,MIN(IF(ISNUMBER(AG153:AG349),ROW(AG153:AG349),"")))</f>
        <v>2.4666666666666668</v>
      </c>
      <c r="AI153" s="14">
        <f>IF('Données projet'!$A$62&gt;35,AI152+AH153-AQ152,IF(A153&lt;'Données projet'!$A$62,$AF$205^A153,IF(A153='Données projet'!$A$62,'Données projet'!$B$62,AI152+AH153-AQ152)))</f>
        <v>305.99999999999909</v>
      </c>
      <c r="AJ153" s="14">
        <f>AI153*VLOOKUP('Données projet'!$B$10,Paramètres!$A$1:$I$89,3,0)*VLOOKUP('Données projet'!$B$10,Paramètres!$A$1:$I$89,5,0)</f>
        <v>276.86879999999917</v>
      </c>
      <c r="AK153" s="14">
        <f t="shared" si="143"/>
        <v>66.304863836318546</v>
      </c>
      <c r="AL153" s="22">
        <f t="shared" si="112"/>
        <v>597.69413118158661</v>
      </c>
      <c r="AM153" s="60">
        <f t="shared" si="113"/>
        <v>886.67806076965508</v>
      </c>
      <c r="AN153" s="60">
        <f ca="1">AVERAGE(OFFSET($AM$3,0,0,'Données projet'!$E$10+1,1))-AVERAGE(OFFSET($H$3,0,0,'Données projet'!$E$10+1,1))</f>
        <v>456.86058467343139</v>
      </c>
      <c r="AO153" s="60">
        <f t="shared" si="144"/>
        <v>243.88495931574937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306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68.813798978564137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-5.6843418860808015E-14</v>
      </c>
      <c r="BE153" s="14">
        <f>BD153*VLOOKUP('Données projet'!$B$11,Paramètres!$A$1:$I$89,3,0)*VLOOKUP('Données projet'!$B$11,Paramètres!$A$1:$I$89,5,0)</f>
        <v>-5.9412741393316544E-14</v>
      </c>
      <c r="BF153" s="14" t="e">
        <f t="shared" si="145"/>
        <v>#NUM!</v>
      </c>
      <c r="BG153" s="22" t="e">
        <f t="shared" si="115"/>
        <v>#NUM!</v>
      </c>
      <c r="BH153" s="60" t="e">
        <f t="shared" si="116"/>
        <v>#NUM!</v>
      </c>
      <c r="BI153" s="60">
        <f ca="1">AVERAGE(OFFSET($BH$3,0,0,'Données projet'!$E$11+1,1))-AVERAGE(OFFSET($H$3,0,0,'Données projet'!$E$11+1,1))</f>
        <v>518.47226207416952</v>
      </c>
      <c r="BJ153" s="60">
        <f t="shared" si="146"/>
        <v>314.6379787306804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68.813798978564137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>
        <f>VLOOKUP(A153,'Données projet'!$A$113:$I$133,2,0)</f>
        <v>306</v>
      </c>
      <c r="BW153" s="13">
        <f>VLOOKUP(A153,'Données projet'!$A$113:$I$133,9,0)</f>
        <v>2.4666666666666668</v>
      </c>
      <c r="BX153" s="13">
        <f t="array" ref="BX153">INDEX(BW:BW,MIN(IF(ISNUMBER(BW153:BW349),ROW(BW153:BW349),"")))</f>
        <v>2.4666666666666668</v>
      </c>
      <c r="BY153" s="13">
        <f>IF('Données projet'!$A$114&gt;35,BY152+BX153-CG152,IF(A153&lt;'Données projet'!$A$114,$BV$205^A153,IF(A153='Données projet'!$A$114,'Données projet'!$B$114,BY152+BX153-CG152)))</f>
        <v>305.99999999999909</v>
      </c>
      <c r="BZ153" s="14">
        <f>BY153*VLOOKUP('Données projet'!$B$12,Paramètres!$A$1:$I$89,3,0)*VLOOKUP('Données projet'!$B$12,Paramètres!$A$1:$I$89,5,0)</f>
        <v>329.37839999999903</v>
      </c>
      <c r="CA153" s="14">
        <f t="shared" si="147"/>
        <v>77.301419494686954</v>
      </c>
      <c r="CB153" s="22">
        <f t="shared" si="118"/>
        <v>708.30068561991141</v>
      </c>
      <c r="CC153" s="60">
        <f t="shared" si="119"/>
        <v>997.28461520797987</v>
      </c>
      <c r="CD153" s="60">
        <f ca="1">AVERAGE(OFFSET($CC$3,0,0,'Données projet'!$E$12+1,1))-AVERAGE(OFFSET($H$3,0,0,'Données projet'!$E$12+1,1))</f>
        <v>530.32456073177104</v>
      </c>
      <c r="CE153" s="60">
        <f t="shared" si="148"/>
        <v>279.81519428470625</v>
      </c>
      <c r="CF153" s="16">
        <f>IF(ISNA(VLOOKUP(A153,'Données projet'!$A$113:$I$133,3,0)),0,VLOOKUP(A153,'Données projet'!$A$113:$I$133,3,0))</f>
        <v>13</v>
      </c>
      <c r="CG153" s="16">
        <f>IF(ISNA(VLOOKUP(A153,'Données projet'!$A$113:$I$133,4,0)),0,VLOOKUP(A153,'Données projet'!$A$113:$I$133,4,0))</f>
        <v>306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68.813798978564137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3.4106051316484809E-13</v>
      </c>
      <c r="CU153" s="18">
        <f>CT153*VLOOKUP('Données projet'!$B$13,Paramètres!$A$1:$I$89,3,0)*VLOOKUP('Données projet'!$B$13,Paramètres!$A$1:$I$89,5,0)</f>
        <v>2.9795046430081134E-13</v>
      </c>
      <c r="CV153" s="14">
        <f t="shared" si="149"/>
        <v>3.9419014464513778E-12</v>
      </c>
      <c r="CW153" s="22">
        <f t="shared" si="121"/>
        <v>7.384408744560063E-12</v>
      </c>
      <c r="CX153" s="60">
        <f t="shared" si="122"/>
        <v>288.98392958807591</v>
      </c>
      <c r="CY153" s="60">
        <f ca="1">AVERAGE(OFFSET($CX$3,0,0,'Données projet'!$E$13+1,1))-AVERAGE(OFFSET($H$3,0,0,'Données projet'!$E$13+1,1))</f>
        <v>355.03862261578701</v>
      </c>
      <c r="CZ153" s="60">
        <f t="shared" si="150"/>
        <v>382.84441399266029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68.813798978564137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1.1368683772161603E-13</v>
      </c>
      <c r="DP153" s="18">
        <f>DO153*VLOOKUP('Données projet'!$B$14,Paramètres!$A$1:$I$89,3,0)*VLOOKUP('Données projet'!$B$14,Paramètres!$A$1:$I$89,5,0)</f>
        <v>8.8675733422860506E-14</v>
      </c>
      <c r="DQ153" s="14">
        <f t="shared" si="151"/>
        <v>1.3509285393066301E-12</v>
      </c>
      <c r="DR153" s="22">
        <f t="shared" si="124"/>
        <v>2.5073107750038623E-12</v>
      </c>
      <c r="DS153" s="60">
        <f t="shared" si="125"/>
        <v>288.98392958807102</v>
      </c>
      <c r="DT153" s="60">
        <f ca="1">AVERAGE(OFFSET($DS$3,0,0,'Données projet'!$E$14+1,1))-AVERAGE(OFFSET($H$3,0,0,'Données projet'!$E$14+1,1))</f>
        <v>305.68891030516761</v>
      </c>
      <c r="DU153" s="60">
        <f t="shared" si="152"/>
        <v>296.00275062228275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68.813798978564137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>
        <f>VLOOKUP(A153,'Données projet'!$A$191:$I$211,2,0)</f>
        <v>306</v>
      </c>
      <c r="EH153" s="13">
        <f>VLOOKUP(A153,'Données projet'!$A$191:$I$211,9,0)</f>
        <v>2.4666666666666668</v>
      </c>
      <c r="EI153" s="13">
        <f t="array" ref="EI153">INDEX(EH:EH,MIN(IF(ISNUMBER(EH153:EH349),ROW(EH153:EH349),"")))</f>
        <v>2.4666666666666668</v>
      </c>
      <c r="EJ153" s="13">
        <f>IF('Données projet'!$A$192&gt;35,EJ152+EI153-ER152,IF(A153&lt;'Données projet'!$A$192,$EG$205^A153,IF(A153='Données projet'!$A$192,'Données projet'!$B$192,EJ152+EI153-ER152)))</f>
        <v>305.99999999999909</v>
      </c>
      <c r="EK153" s="18">
        <f>EJ153*VLOOKUP('Données projet'!$B$15,Paramètres!$A$1:$I$89,3,0)*VLOOKUP('Données projet'!$B$15,Paramètres!$A$1:$I$89,5,0)</f>
        <v>295.96319999999912</v>
      </c>
      <c r="EL153" s="14">
        <f t="shared" si="153"/>
        <v>70.329529052104064</v>
      </c>
      <c r="EM153" s="22">
        <f t="shared" si="127"/>
        <v>637.959836432413</v>
      </c>
      <c r="EN153" s="60">
        <f t="shared" si="128"/>
        <v>926.94376602048146</v>
      </c>
      <c r="EO153" s="60">
        <f ca="1">AVERAGE(OFFSET($EN$3,0,0,'Données projet'!$E$15+1,1))-AVERAGE(OFFSET($H$3,0,0,'Données projet'!$E$15+1,1))</f>
        <v>483.60545605360528</v>
      </c>
      <c r="EP153" s="60">
        <f t="shared" si="154"/>
        <v>256.96685577560345</v>
      </c>
      <c r="EQ153" s="16">
        <f>IF(ISNA(VLOOKUP(A153,'Données projet'!$A$191:$I$211,3,0)),0,VLOOKUP(A153,'Données projet'!$A$191:$I$211,3,0))</f>
        <v>13</v>
      </c>
      <c r="ER153" s="16">
        <f>IF(ISNA(VLOOKUP(A153,'Données projet'!$A$191:$I$211,4,0)),0,VLOOKUP(A153,'Données projet'!$A$191:$I$211,4,0))</f>
        <v>306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68.813798978564137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0" t="e">
        <f t="shared" si="131"/>
        <v>#N/A</v>
      </c>
      <c r="FJ153" s="60" t="e">
        <f ca="1">AVERAGE(OFFSET($FI$3,0,0,'Données projet'!$E$16+1,1))-AVERAGE(OFFSET($H$3,0,0,'Données projet'!$E$16+1,1))</f>
        <v>#N/A</v>
      </c>
      <c r="FK153" s="60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68.813798978564137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0" t="e">
        <f t="shared" si="134"/>
        <v>#N/A</v>
      </c>
      <c r="GE153" s="60" t="e">
        <f ca="1">AVERAGE(OFFSET($GD$3,0,0,'Données projet'!$E$17+1,1))-AVERAGE(OFFSET($H$3,0,0,'Données projet'!$E$17+1,1))</f>
        <v>#N/A</v>
      </c>
      <c r="GF153" s="60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68.813798978564137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4">
        <f>'Scénario référence'!$B$16*5+'Scénario référence'!$B$17*0+'Scénario référence'!$B$18*5</f>
        <v>3.2750000000000004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12.008333333333335</v>
      </c>
      <c r="H154" s="67">
        <f t="shared" si="110"/>
        <v>208.63333333333333</v>
      </c>
      <c r="I154" s="7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68.834376914337852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-9.0949470177292824E-13</v>
      </c>
      <c r="O154" s="14">
        <f>N154*VLOOKUP('Données projet'!$B$9,Paramètres!$A$1:$I$89,3,0)*VLOOKUP('Données projet'!$B$9,Paramètres!$A$1:$I$89,5,0)</f>
        <v>-9.2222762759774924E-13</v>
      </c>
      <c r="P154" s="14" t="e">
        <f t="shared" si="141"/>
        <v>#NUM!</v>
      </c>
      <c r="Q154" s="22" t="e">
        <f t="shared" ref="Q154:Q203" si="162">(O154+P154)*0.475*44/12</f>
        <v>#NUM!</v>
      </c>
      <c r="R154" s="60" t="e">
        <f t="shared" si="109"/>
        <v>#NUM!</v>
      </c>
      <c r="S154" s="60">
        <f ca="1">AVERAGE(OFFSET($R$3,0,0,'Données projet'!$E$9+1,1))-AVERAGE(OFFSET($H$3,0,0,'Données projet'!$E$9+1,1))</f>
        <v>503.64055031157477</v>
      </c>
      <c r="T154" s="60">
        <f t="shared" si="142"/>
        <v>266.76572540460842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68.834376914337852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-9.0949470177292824E-13</v>
      </c>
      <c r="AJ154" s="14">
        <f>AI154*VLOOKUP('Données projet'!$B$10,Paramètres!$A$1:$I$89,3,0)*VLOOKUP('Données projet'!$B$10,Paramètres!$A$1:$I$89,5,0)</f>
        <v>-8.2291080616414541E-13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0" t="e">
        <f t="shared" si="113"/>
        <v>#NUM!</v>
      </c>
      <c r="AN154" s="60">
        <f ca="1">AVERAGE(OFFSET($AM$3,0,0,'Données projet'!$E$10+1,1))-AVERAGE(OFFSET($H$3,0,0,'Données projet'!$E$10+1,1))</f>
        <v>456.86058467343139</v>
      </c>
      <c r="AO154" s="60">
        <f t="shared" si="144"/>
        <v>243.88495931574937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68.834376914337852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-5.6843418860808015E-14</v>
      </c>
      <c r="BE154" s="14">
        <f>BD154*VLOOKUP('Données projet'!$B$11,Paramètres!$A$1:$I$89,3,0)*VLOOKUP('Données projet'!$B$11,Paramètres!$A$1:$I$89,5,0)</f>
        <v>-5.9412741393316544E-14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0" t="e">
        <f t="shared" si="116"/>
        <v>#NUM!</v>
      </c>
      <c r="BI154" s="60">
        <f ca="1">AVERAGE(OFFSET($BH$3,0,0,'Données projet'!$E$11+1,1))-AVERAGE(OFFSET($H$3,0,0,'Données projet'!$E$11+1,1))</f>
        <v>518.47226207416952</v>
      </c>
      <c r="BJ154" s="60">
        <f t="shared" si="146"/>
        <v>314.6379787306804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68.834376914337852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-9.0949470177292824E-13</v>
      </c>
      <c r="BZ154" s="14">
        <f>BY154*VLOOKUP('Données projet'!$B$12,Paramètres!$A$1:$I$89,3,0)*VLOOKUP('Données projet'!$B$12,Paramètres!$A$1:$I$89,5,0)</f>
        <v>-9.7898009698837998E-13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0" t="e">
        <f t="shared" si="119"/>
        <v>#NUM!</v>
      </c>
      <c r="CD154" s="60">
        <f ca="1">AVERAGE(OFFSET($CC$3,0,0,'Données projet'!$E$12+1,1))-AVERAGE(OFFSET($H$3,0,0,'Données projet'!$E$12+1,1))</f>
        <v>530.32456073177104</v>
      </c>
      <c r="CE154" s="60">
        <f t="shared" si="148"/>
        <v>279.81519428470625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68.834376914337852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3.4106051316484809E-13</v>
      </c>
      <c r="CU154" s="18">
        <f>CT154*VLOOKUP('Données projet'!$B$13,Paramètres!$A$1:$I$89,3,0)*VLOOKUP('Données projet'!$B$13,Paramètres!$A$1:$I$89,5,0)</f>
        <v>2.9795046430081134E-13</v>
      </c>
      <c r="CV154" s="14">
        <f t="shared" ref="CV154:CV203" si="173">EXP(-1.0587+0.8836*LN(CU154)+0.284)</f>
        <v>3.9419014464513778E-12</v>
      </c>
      <c r="CW154" s="22">
        <f t="shared" ref="CW154:CW203" si="174">(CU154+CV154)*0.475*44/12</f>
        <v>7.384408744560063E-12</v>
      </c>
      <c r="CX154" s="60">
        <f t="shared" si="122"/>
        <v>289.05938201924619</v>
      </c>
      <c r="CY154" s="60">
        <f ca="1">AVERAGE(OFFSET($CX$3,0,0,'Données projet'!$E$13+1,1))-AVERAGE(OFFSET($H$3,0,0,'Données projet'!$E$13+1,1))</f>
        <v>355.03862261578701</v>
      </c>
      <c r="CZ154" s="60">
        <f t="shared" si="150"/>
        <v>382.84441399266029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68.834376914337852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1.1368683772161603E-13</v>
      </c>
      <c r="DP154" s="18">
        <f>DO154*VLOOKUP('Données projet'!$B$14,Paramètres!$A$1:$I$89,3,0)*VLOOKUP('Données projet'!$B$14,Paramètres!$A$1:$I$89,5,0)</f>
        <v>8.8675733422860506E-14</v>
      </c>
      <c r="DQ154" s="14">
        <f t="shared" ref="DQ154:DQ203" si="176">EXP(-1.0587+0.8836*LN(DP154)+0.284)</f>
        <v>1.3509285393066301E-12</v>
      </c>
      <c r="DR154" s="22">
        <f t="shared" ref="DR154:DR203" si="177">(DP154+DQ154)*0.475*44/12</f>
        <v>2.5073107750038623E-12</v>
      </c>
      <c r="DS154" s="60">
        <f t="shared" si="125"/>
        <v>289.0593820192413</v>
      </c>
      <c r="DT154" s="60">
        <f ca="1">AVERAGE(OFFSET($DS$3,0,0,'Données projet'!$E$14+1,1))-AVERAGE(OFFSET($H$3,0,0,'Données projet'!$E$14+1,1))</f>
        <v>305.68891030516761</v>
      </c>
      <c r="DU154" s="60">
        <f t="shared" si="152"/>
        <v>296.00275062228275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68.834376914337852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-9.0949470177292824E-13</v>
      </c>
      <c r="EK154" s="18">
        <f>EJ154*VLOOKUP('Données projet'!$B$15,Paramètres!$A$1:$I$89,3,0)*VLOOKUP('Données projet'!$B$15,Paramètres!$A$1:$I$89,5,0)</f>
        <v>-8.7966327555477625E-13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0" t="e">
        <f t="shared" si="128"/>
        <v>#NUM!</v>
      </c>
      <c r="EO154" s="60">
        <f ca="1">AVERAGE(OFFSET($EN$3,0,0,'Données projet'!$E$15+1,1))-AVERAGE(OFFSET($H$3,0,0,'Données projet'!$E$15+1,1))</f>
        <v>483.60545605360528</v>
      </c>
      <c r="EP154" s="60">
        <f t="shared" si="154"/>
        <v>256.96685577560345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68.834376914337852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0" t="e">
        <f t="shared" si="131"/>
        <v>#N/A</v>
      </c>
      <c r="FJ154" s="60" t="e">
        <f ca="1">AVERAGE(OFFSET($FI$3,0,0,'Données projet'!$E$16+1,1))-AVERAGE(OFFSET($H$3,0,0,'Données projet'!$E$16+1,1))</f>
        <v>#N/A</v>
      </c>
      <c r="FK154" s="60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68.834376914337852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0" t="e">
        <f t="shared" si="134"/>
        <v>#N/A</v>
      </c>
      <c r="GE154" s="60" t="e">
        <f ca="1">AVERAGE(OFFSET($GD$3,0,0,'Données projet'!$E$17+1,1))-AVERAGE(OFFSET($H$3,0,0,'Données projet'!$E$17+1,1))</f>
        <v>#N/A</v>
      </c>
      <c r="GF154" s="60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68.834376914337852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4">
        <f>'Scénario référence'!$B$16*5+'Scénario référence'!$B$17*0+'Scénario référence'!$B$18*5</f>
        <v>3.2750000000000004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12.008333333333335</v>
      </c>
      <c r="H155" s="67">
        <f t="shared" si="110"/>
        <v>208.63333333333333</v>
      </c>
      <c r="I155" s="7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68.854597868931279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-9.0949470177292824E-13</v>
      </c>
      <c r="O155" s="14">
        <f>N155*VLOOKUP('Données projet'!$B$9,Paramètres!$A$1:$I$89,3,0)*VLOOKUP('Données projet'!$B$9,Paramètres!$A$1:$I$89,5,0)</f>
        <v>-9.2222762759774924E-13</v>
      </c>
      <c r="P155" s="14" t="e">
        <f t="shared" si="141"/>
        <v>#NUM!</v>
      </c>
      <c r="Q155" s="22" t="e">
        <f t="shared" si="162"/>
        <v>#NUM!</v>
      </c>
      <c r="R155" s="60" t="e">
        <f t="shared" si="109"/>
        <v>#NUM!</v>
      </c>
      <c r="S155" s="60">
        <f ca="1">AVERAGE(OFFSET($R$3,0,0,'Données projet'!$E$9+1,1))-AVERAGE(OFFSET($H$3,0,0,'Données projet'!$E$9+1,1))</f>
        <v>503.64055031157477</v>
      </c>
      <c r="T155" s="60">
        <f t="shared" si="142"/>
        <v>266.76572540460842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68.854597868931279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-9.0949470177292824E-13</v>
      </c>
      <c r="AJ155" s="14">
        <f>AI155*VLOOKUP('Données projet'!$B$10,Paramètres!$A$1:$I$89,3,0)*VLOOKUP('Données projet'!$B$10,Paramètres!$A$1:$I$89,5,0)</f>
        <v>-8.2291080616414541E-13</v>
      </c>
      <c r="AK155" s="14" t="e">
        <f t="shared" si="164"/>
        <v>#NUM!</v>
      </c>
      <c r="AL155" s="22" t="e">
        <f t="shared" si="165"/>
        <v>#NUM!</v>
      </c>
      <c r="AM155" s="60" t="e">
        <f t="shared" si="113"/>
        <v>#NUM!</v>
      </c>
      <c r="AN155" s="60">
        <f ca="1">AVERAGE(OFFSET($AM$3,0,0,'Données projet'!$E$10+1,1))-AVERAGE(OFFSET($H$3,0,0,'Données projet'!$E$10+1,1))</f>
        <v>456.86058467343139</v>
      </c>
      <c r="AO155" s="60">
        <f t="shared" si="144"/>
        <v>243.88495931574937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68.854597868931279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-5.6843418860808015E-14</v>
      </c>
      <c r="BE155" s="14">
        <f>BD155*VLOOKUP('Données projet'!$B$11,Paramètres!$A$1:$I$89,3,0)*VLOOKUP('Données projet'!$B$11,Paramètres!$A$1:$I$89,5,0)</f>
        <v>-5.9412741393316544E-14</v>
      </c>
      <c r="BF155" s="14" t="e">
        <f t="shared" si="167"/>
        <v>#NUM!</v>
      </c>
      <c r="BG155" s="22" t="e">
        <f t="shared" si="168"/>
        <v>#NUM!</v>
      </c>
      <c r="BH155" s="60" t="e">
        <f t="shared" si="116"/>
        <v>#NUM!</v>
      </c>
      <c r="BI155" s="60">
        <f ca="1">AVERAGE(OFFSET($BH$3,0,0,'Données projet'!$E$11+1,1))-AVERAGE(OFFSET($H$3,0,0,'Données projet'!$E$11+1,1))</f>
        <v>518.47226207416952</v>
      </c>
      <c r="BJ155" s="60">
        <f t="shared" si="146"/>
        <v>314.6379787306804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68.854597868931279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-9.0949470177292824E-13</v>
      </c>
      <c r="BZ155" s="14">
        <f>BY155*VLOOKUP('Données projet'!$B$12,Paramètres!$A$1:$I$89,3,0)*VLOOKUP('Données projet'!$B$12,Paramètres!$A$1:$I$89,5,0)</f>
        <v>-9.7898009698837998E-13</v>
      </c>
      <c r="CA155" s="14" t="e">
        <f t="shared" si="170"/>
        <v>#NUM!</v>
      </c>
      <c r="CB155" s="22" t="e">
        <f t="shared" si="171"/>
        <v>#NUM!</v>
      </c>
      <c r="CC155" s="60" t="e">
        <f t="shared" si="119"/>
        <v>#NUM!</v>
      </c>
      <c r="CD155" s="60">
        <f ca="1">AVERAGE(OFFSET($CC$3,0,0,'Données projet'!$E$12+1,1))-AVERAGE(OFFSET($H$3,0,0,'Données projet'!$E$12+1,1))</f>
        <v>530.32456073177104</v>
      </c>
      <c r="CE155" s="60">
        <f t="shared" si="148"/>
        <v>279.81519428470625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68.854597868931279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3.4106051316484809E-13</v>
      </c>
      <c r="CU155" s="18">
        <f>CT155*VLOOKUP('Données projet'!$B$13,Paramètres!$A$1:$I$89,3,0)*VLOOKUP('Données projet'!$B$13,Paramètres!$A$1:$I$89,5,0)</f>
        <v>2.9795046430081134E-13</v>
      </c>
      <c r="CV155" s="14">
        <f t="shared" si="173"/>
        <v>3.9419014464513778E-12</v>
      </c>
      <c r="CW155" s="22">
        <f t="shared" si="174"/>
        <v>7.384408744560063E-12</v>
      </c>
      <c r="CX155" s="60">
        <f t="shared" si="122"/>
        <v>289.13352551942211</v>
      </c>
      <c r="CY155" s="60">
        <f ca="1">AVERAGE(OFFSET($CX$3,0,0,'Données projet'!$E$13+1,1))-AVERAGE(OFFSET($H$3,0,0,'Données projet'!$E$13+1,1))</f>
        <v>355.03862261578701</v>
      </c>
      <c r="CZ155" s="60">
        <f t="shared" si="150"/>
        <v>382.84441399266029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68.854597868931279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1.1368683772161603E-13</v>
      </c>
      <c r="DP155" s="18">
        <f>DO155*VLOOKUP('Données projet'!$B$14,Paramètres!$A$1:$I$89,3,0)*VLOOKUP('Données projet'!$B$14,Paramètres!$A$1:$I$89,5,0)</f>
        <v>8.8675733422860506E-14</v>
      </c>
      <c r="DQ155" s="14">
        <f t="shared" si="176"/>
        <v>1.3509285393066301E-12</v>
      </c>
      <c r="DR155" s="22">
        <f t="shared" si="177"/>
        <v>2.5073107750038623E-12</v>
      </c>
      <c r="DS155" s="60">
        <f t="shared" si="125"/>
        <v>289.13352551941722</v>
      </c>
      <c r="DT155" s="60">
        <f ca="1">AVERAGE(OFFSET($DS$3,0,0,'Données projet'!$E$14+1,1))-AVERAGE(OFFSET($H$3,0,0,'Données projet'!$E$14+1,1))</f>
        <v>305.68891030516761</v>
      </c>
      <c r="DU155" s="60">
        <f t="shared" si="152"/>
        <v>296.00275062228275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68.854597868931279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-9.0949470177292824E-13</v>
      </c>
      <c r="EK155" s="18">
        <f>EJ155*VLOOKUP('Données projet'!$B$15,Paramètres!$A$1:$I$89,3,0)*VLOOKUP('Données projet'!$B$15,Paramètres!$A$1:$I$89,5,0)</f>
        <v>-8.7966327555477625E-13</v>
      </c>
      <c r="EL155" s="14" t="e">
        <f t="shared" si="179"/>
        <v>#NUM!</v>
      </c>
      <c r="EM155" s="22" t="e">
        <f t="shared" si="180"/>
        <v>#NUM!</v>
      </c>
      <c r="EN155" s="60" t="e">
        <f t="shared" si="128"/>
        <v>#NUM!</v>
      </c>
      <c r="EO155" s="60">
        <f ca="1">AVERAGE(OFFSET($EN$3,0,0,'Données projet'!$E$15+1,1))-AVERAGE(OFFSET($H$3,0,0,'Données projet'!$E$15+1,1))</f>
        <v>483.60545605360528</v>
      </c>
      <c r="EP155" s="60">
        <f t="shared" si="154"/>
        <v>256.96685577560345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68.854597868931279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0" t="e">
        <f t="shared" si="131"/>
        <v>#N/A</v>
      </c>
      <c r="FJ155" s="60" t="e">
        <f ca="1">AVERAGE(OFFSET($FI$3,0,0,'Données projet'!$E$16+1,1))-AVERAGE(OFFSET($H$3,0,0,'Données projet'!$E$16+1,1))</f>
        <v>#N/A</v>
      </c>
      <c r="FK155" s="60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68.854597868931279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0" t="e">
        <f t="shared" si="134"/>
        <v>#N/A</v>
      </c>
      <c r="GE155" s="60" t="e">
        <f ca="1">AVERAGE(OFFSET($GD$3,0,0,'Données projet'!$E$17+1,1))-AVERAGE(OFFSET($H$3,0,0,'Données projet'!$E$17+1,1))</f>
        <v>#N/A</v>
      </c>
      <c r="GF155" s="60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68.854597868931279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4">
        <f>'Scénario référence'!$B$16*5+'Scénario référence'!$B$17*0+'Scénario référence'!$B$18*5</f>
        <v>3.2750000000000004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12.008333333333335</v>
      </c>
      <c r="H156" s="67">
        <f t="shared" si="110"/>
        <v>208.63333333333333</v>
      </c>
      <c r="I156" s="7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68.87446803516977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-9.0949470177292824E-13</v>
      </c>
      <c r="O156" s="14">
        <f>N156*VLOOKUP('Données projet'!$B$9,Paramètres!$A$1:$I$89,3,0)*VLOOKUP('Données projet'!$B$9,Paramètres!$A$1:$I$89,5,0)</f>
        <v>-9.2222762759774924E-13</v>
      </c>
      <c r="P156" s="14" t="e">
        <f t="shared" si="141"/>
        <v>#NUM!</v>
      </c>
      <c r="Q156" s="22" t="e">
        <f t="shared" si="162"/>
        <v>#NUM!</v>
      </c>
      <c r="R156" s="60" t="e">
        <f t="shared" si="109"/>
        <v>#NUM!</v>
      </c>
      <c r="S156" s="60">
        <f ca="1">AVERAGE(OFFSET($R$3,0,0,'Données projet'!$E$9+1,1))-AVERAGE(OFFSET($H$3,0,0,'Données projet'!$E$9+1,1))</f>
        <v>503.64055031157477</v>
      </c>
      <c r="T156" s="60">
        <f t="shared" si="142"/>
        <v>266.76572540460842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68.87446803516977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-9.0949470177292824E-13</v>
      </c>
      <c r="AJ156" s="14">
        <f>AI156*VLOOKUP('Données projet'!$B$10,Paramètres!$A$1:$I$89,3,0)*VLOOKUP('Données projet'!$B$10,Paramètres!$A$1:$I$89,5,0)</f>
        <v>-8.2291080616414541E-13</v>
      </c>
      <c r="AK156" s="14" t="e">
        <f t="shared" si="164"/>
        <v>#NUM!</v>
      </c>
      <c r="AL156" s="22" t="e">
        <f t="shared" si="165"/>
        <v>#NUM!</v>
      </c>
      <c r="AM156" s="60" t="e">
        <f t="shared" si="113"/>
        <v>#NUM!</v>
      </c>
      <c r="AN156" s="60">
        <f ca="1">AVERAGE(OFFSET($AM$3,0,0,'Données projet'!$E$10+1,1))-AVERAGE(OFFSET($H$3,0,0,'Données projet'!$E$10+1,1))</f>
        <v>456.86058467343139</v>
      </c>
      <c r="AO156" s="60">
        <f t="shared" si="144"/>
        <v>243.88495931574937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68.87446803516977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-5.6843418860808015E-14</v>
      </c>
      <c r="BE156" s="14">
        <f>BD156*VLOOKUP('Données projet'!$B$11,Paramètres!$A$1:$I$89,3,0)*VLOOKUP('Données projet'!$B$11,Paramètres!$A$1:$I$89,5,0)</f>
        <v>-5.9412741393316544E-14</v>
      </c>
      <c r="BF156" s="14" t="e">
        <f t="shared" si="167"/>
        <v>#NUM!</v>
      </c>
      <c r="BG156" s="22" t="e">
        <f t="shared" si="168"/>
        <v>#NUM!</v>
      </c>
      <c r="BH156" s="60" t="e">
        <f t="shared" si="116"/>
        <v>#NUM!</v>
      </c>
      <c r="BI156" s="60">
        <f ca="1">AVERAGE(OFFSET($BH$3,0,0,'Données projet'!$E$11+1,1))-AVERAGE(OFFSET($H$3,0,0,'Données projet'!$E$11+1,1))</f>
        <v>518.47226207416952</v>
      </c>
      <c r="BJ156" s="60">
        <f t="shared" si="146"/>
        <v>314.6379787306804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68.87446803516977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-9.0949470177292824E-13</v>
      </c>
      <c r="BZ156" s="14">
        <f>BY156*VLOOKUP('Données projet'!$B$12,Paramètres!$A$1:$I$89,3,0)*VLOOKUP('Données projet'!$B$12,Paramètres!$A$1:$I$89,5,0)</f>
        <v>-9.7898009698837998E-13</v>
      </c>
      <c r="CA156" s="14" t="e">
        <f t="shared" si="170"/>
        <v>#NUM!</v>
      </c>
      <c r="CB156" s="22" t="e">
        <f t="shared" si="171"/>
        <v>#NUM!</v>
      </c>
      <c r="CC156" s="60" t="e">
        <f t="shared" si="119"/>
        <v>#NUM!</v>
      </c>
      <c r="CD156" s="60">
        <f ca="1">AVERAGE(OFFSET($CC$3,0,0,'Données projet'!$E$12+1,1))-AVERAGE(OFFSET($H$3,0,0,'Données projet'!$E$12+1,1))</f>
        <v>530.32456073177104</v>
      </c>
      <c r="CE156" s="60">
        <f t="shared" si="148"/>
        <v>279.81519428470625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68.87446803516977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3.4106051316484809E-13</v>
      </c>
      <c r="CU156" s="18">
        <f>CT156*VLOOKUP('Données projet'!$B$13,Paramètres!$A$1:$I$89,3,0)*VLOOKUP('Données projet'!$B$13,Paramètres!$A$1:$I$89,5,0)</f>
        <v>2.9795046430081134E-13</v>
      </c>
      <c r="CV156" s="14">
        <f t="shared" si="173"/>
        <v>3.9419014464513778E-12</v>
      </c>
      <c r="CW156" s="22">
        <f t="shared" si="174"/>
        <v>7.384408744560063E-12</v>
      </c>
      <c r="CX156" s="60">
        <f t="shared" si="122"/>
        <v>289.20638279562985</v>
      </c>
      <c r="CY156" s="60">
        <f ca="1">AVERAGE(OFFSET($CX$3,0,0,'Données projet'!$E$13+1,1))-AVERAGE(OFFSET($H$3,0,0,'Données projet'!$E$13+1,1))</f>
        <v>355.03862261578701</v>
      </c>
      <c r="CZ156" s="60">
        <f t="shared" si="150"/>
        <v>382.84441399266029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68.87446803516977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1.1368683772161603E-13</v>
      </c>
      <c r="DP156" s="18">
        <f>DO156*VLOOKUP('Données projet'!$B$14,Paramètres!$A$1:$I$89,3,0)*VLOOKUP('Données projet'!$B$14,Paramètres!$A$1:$I$89,5,0)</f>
        <v>8.8675733422860506E-14</v>
      </c>
      <c r="DQ156" s="14">
        <f t="shared" si="176"/>
        <v>1.3509285393066301E-12</v>
      </c>
      <c r="DR156" s="22">
        <f t="shared" si="177"/>
        <v>2.5073107750038623E-12</v>
      </c>
      <c r="DS156" s="60">
        <f t="shared" si="125"/>
        <v>289.20638279562496</v>
      </c>
      <c r="DT156" s="60">
        <f ca="1">AVERAGE(OFFSET($DS$3,0,0,'Données projet'!$E$14+1,1))-AVERAGE(OFFSET($H$3,0,0,'Données projet'!$E$14+1,1))</f>
        <v>305.68891030516761</v>
      </c>
      <c r="DU156" s="60">
        <f t="shared" si="152"/>
        <v>296.00275062228275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68.87446803516977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-9.0949470177292824E-13</v>
      </c>
      <c r="EK156" s="18">
        <f>EJ156*VLOOKUP('Données projet'!$B$15,Paramètres!$A$1:$I$89,3,0)*VLOOKUP('Données projet'!$B$15,Paramètres!$A$1:$I$89,5,0)</f>
        <v>-8.7966327555477625E-13</v>
      </c>
      <c r="EL156" s="14" t="e">
        <f t="shared" si="179"/>
        <v>#NUM!</v>
      </c>
      <c r="EM156" s="22" t="e">
        <f t="shared" si="180"/>
        <v>#NUM!</v>
      </c>
      <c r="EN156" s="60" t="e">
        <f t="shared" si="128"/>
        <v>#NUM!</v>
      </c>
      <c r="EO156" s="60">
        <f ca="1">AVERAGE(OFFSET($EN$3,0,0,'Données projet'!$E$15+1,1))-AVERAGE(OFFSET($H$3,0,0,'Données projet'!$E$15+1,1))</f>
        <v>483.60545605360528</v>
      </c>
      <c r="EP156" s="60">
        <f t="shared" si="154"/>
        <v>256.96685577560345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68.87446803516977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0" t="e">
        <f t="shared" si="131"/>
        <v>#N/A</v>
      </c>
      <c r="FJ156" s="60" t="e">
        <f ca="1">AVERAGE(OFFSET($FI$3,0,0,'Données projet'!$E$16+1,1))-AVERAGE(OFFSET($H$3,0,0,'Données projet'!$E$16+1,1))</f>
        <v>#N/A</v>
      </c>
      <c r="FK156" s="60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68.87446803516977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0" t="e">
        <f t="shared" si="134"/>
        <v>#N/A</v>
      </c>
      <c r="GE156" s="60" t="e">
        <f ca="1">AVERAGE(OFFSET($GD$3,0,0,'Données projet'!$E$17+1,1))-AVERAGE(OFFSET($H$3,0,0,'Données projet'!$E$17+1,1))</f>
        <v>#N/A</v>
      </c>
      <c r="GF156" s="60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68.87446803516977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4">
        <f>'Scénario référence'!$B$16*5+'Scénario référence'!$B$17*0+'Scénario référence'!$B$18*5</f>
        <v>3.2750000000000004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12.008333333333335</v>
      </c>
      <c r="H157" s="67">
        <f t="shared" si="110"/>
        <v>208.63333333333333</v>
      </c>
      <c r="I157" s="7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68.893993498447074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-9.0949470177292824E-13</v>
      </c>
      <c r="O157" s="14">
        <f>N157*VLOOKUP('Données projet'!$B$9,Paramètres!$A$1:$I$89,3,0)*VLOOKUP('Données projet'!$B$9,Paramètres!$A$1:$I$89,5,0)</f>
        <v>-9.2222762759774924E-13</v>
      </c>
      <c r="P157" s="14" t="e">
        <f t="shared" si="141"/>
        <v>#NUM!</v>
      </c>
      <c r="Q157" s="22" t="e">
        <f t="shared" si="162"/>
        <v>#NUM!</v>
      </c>
      <c r="R157" s="60" t="e">
        <f t="shared" si="109"/>
        <v>#NUM!</v>
      </c>
      <c r="S157" s="60">
        <f ca="1">AVERAGE(OFFSET($R$3,0,0,'Données projet'!$E$9+1,1))-AVERAGE(OFFSET($H$3,0,0,'Données projet'!$E$9+1,1))</f>
        <v>503.64055031157477</v>
      </c>
      <c r="T157" s="60">
        <f t="shared" si="142"/>
        <v>266.76572540460842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68.893993498447074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-9.0949470177292824E-13</v>
      </c>
      <c r="AJ157" s="14">
        <f>AI157*VLOOKUP('Données projet'!$B$10,Paramètres!$A$1:$I$89,3,0)*VLOOKUP('Données projet'!$B$10,Paramètres!$A$1:$I$89,5,0)</f>
        <v>-8.2291080616414541E-13</v>
      </c>
      <c r="AK157" s="14" t="e">
        <f t="shared" si="164"/>
        <v>#NUM!</v>
      </c>
      <c r="AL157" s="22" t="e">
        <f t="shared" si="165"/>
        <v>#NUM!</v>
      </c>
      <c r="AM157" s="60" t="e">
        <f t="shared" si="113"/>
        <v>#NUM!</v>
      </c>
      <c r="AN157" s="60">
        <f ca="1">AVERAGE(OFFSET($AM$3,0,0,'Données projet'!$E$10+1,1))-AVERAGE(OFFSET($H$3,0,0,'Données projet'!$E$10+1,1))</f>
        <v>456.86058467343139</v>
      </c>
      <c r="AO157" s="60">
        <f t="shared" si="144"/>
        <v>243.88495931574937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68.893993498447074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-5.6843418860808015E-14</v>
      </c>
      <c r="BE157" s="14">
        <f>BD157*VLOOKUP('Données projet'!$B$11,Paramètres!$A$1:$I$89,3,0)*VLOOKUP('Données projet'!$B$11,Paramètres!$A$1:$I$89,5,0)</f>
        <v>-5.9412741393316544E-14</v>
      </c>
      <c r="BF157" s="14" t="e">
        <f t="shared" si="167"/>
        <v>#NUM!</v>
      </c>
      <c r="BG157" s="22" t="e">
        <f t="shared" si="168"/>
        <v>#NUM!</v>
      </c>
      <c r="BH157" s="60" t="e">
        <f t="shared" si="116"/>
        <v>#NUM!</v>
      </c>
      <c r="BI157" s="60">
        <f ca="1">AVERAGE(OFFSET($BH$3,0,0,'Données projet'!$E$11+1,1))-AVERAGE(OFFSET($H$3,0,0,'Données projet'!$E$11+1,1))</f>
        <v>518.47226207416952</v>
      </c>
      <c r="BJ157" s="60">
        <f t="shared" si="146"/>
        <v>314.6379787306804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68.893993498447074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-9.0949470177292824E-13</v>
      </c>
      <c r="BZ157" s="14">
        <f>BY157*VLOOKUP('Données projet'!$B$12,Paramètres!$A$1:$I$89,3,0)*VLOOKUP('Données projet'!$B$12,Paramètres!$A$1:$I$89,5,0)</f>
        <v>-9.7898009698837998E-13</v>
      </c>
      <c r="CA157" s="14" t="e">
        <f t="shared" si="170"/>
        <v>#NUM!</v>
      </c>
      <c r="CB157" s="22" t="e">
        <f t="shared" si="171"/>
        <v>#NUM!</v>
      </c>
      <c r="CC157" s="60" t="e">
        <f t="shared" si="119"/>
        <v>#NUM!</v>
      </c>
      <c r="CD157" s="60">
        <f ca="1">AVERAGE(OFFSET($CC$3,0,0,'Données projet'!$E$12+1,1))-AVERAGE(OFFSET($H$3,0,0,'Données projet'!$E$12+1,1))</f>
        <v>530.32456073177104</v>
      </c>
      <c r="CE157" s="60">
        <f t="shared" si="148"/>
        <v>279.81519428470625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68.893993498447074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3.4106051316484809E-13</v>
      </c>
      <c r="CU157" s="18">
        <f>CT157*VLOOKUP('Données projet'!$B$13,Paramètres!$A$1:$I$89,3,0)*VLOOKUP('Données projet'!$B$13,Paramètres!$A$1:$I$89,5,0)</f>
        <v>2.9795046430081134E-13</v>
      </c>
      <c r="CV157" s="14">
        <f t="shared" si="173"/>
        <v>3.9419014464513778E-12</v>
      </c>
      <c r="CW157" s="22">
        <f t="shared" si="174"/>
        <v>7.384408744560063E-12</v>
      </c>
      <c r="CX157" s="60">
        <f t="shared" si="122"/>
        <v>289.27797616098002</v>
      </c>
      <c r="CY157" s="60">
        <f ca="1">AVERAGE(OFFSET($CX$3,0,0,'Données projet'!$E$13+1,1))-AVERAGE(OFFSET($H$3,0,0,'Données projet'!$E$13+1,1))</f>
        <v>355.03862261578701</v>
      </c>
      <c r="CZ157" s="60">
        <f t="shared" si="150"/>
        <v>382.84441399266029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68.893993498447074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1.1368683772161603E-13</v>
      </c>
      <c r="DP157" s="18">
        <f>DO157*VLOOKUP('Données projet'!$B$14,Paramètres!$A$1:$I$89,3,0)*VLOOKUP('Données projet'!$B$14,Paramètres!$A$1:$I$89,5,0)</f>
        <v>8.8675733422860506E-14</v>
      </c>
      <c r="DQ157" s="14">
        <f t="shared" si="176"/>
        <v>1.3509285393066301E-12</v>
      </c>
      <c r="DR157" s="22">
        <f t="shared" si="177"/>
        <v>2.5073107750038623E-12</v>
      </c>
      <c r="DS157" s="60">
        <f t="shared" si="125"/>
        <v>289.27797616097513</v>
      </c>
      <c r="DT157" s="60">
        <f ca="1">AVERAGE(OFFSET($DS$3,0,0,'Données projet'!$E$14+1,1))-AVERAGE(OFFSET($H$3,0,0,'Données projet'!$E$14+1,1))</f>
        <v>305.68891030516761</v>
      </c>
      <c r="DU157" s="60">
        <f t="shared" si="152"/>
        <v>296.00275062228275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68.893993498447074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-9.0949470177292824E-13</v>
      </c>
      <c r="EK157" s="18">
        <f>EJ157*VLOOKUP('Données projet'!$B$15,Paramètres!$A$1:$I$89,3,0)*VLOOKUP('Données projet'!$B$15,Paramètres!$A$1:$I$89,5,0)</f>
        <v>-8.7966327555477625E-13</v>
      </c>
      <c r="EL157" s="14" t="e">
        <f t="shared" si="179"/>
        <v>#NUM!</v>
      </c>
      <c r="EM157" s="22" t="e">
        <f t="shared" si="180"/>
        <v>#NUM!</v>
      </c>
      <c r="EN157" s="60" t="e">
        <f t="shared" si="128"/>
        <v>#NUM!</v>
      </c>
      <c r="EO157" s="60">
        <f ca="1">AVERAGE(OFFSET($EN$3,0,0,'Données projet'!$E$15+1,1))-AVERAGE(OFFSET($H$3,0,0,'Données projet'!$E$15+1,1))</f>
        <v>483.60545605360528</v>
      </c>
      <c r="EP157" s="60">
        <f t="shared" si="154"/>
        <v>256.96685577560345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68.893993498447074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0" t="e">
        <f t="shared" si="131"/>
        <v>#N/A</v>
      </c>
      <c r="FJ157" s="60" t="e">
        <f ca="1">AVERAGE(OFFSET($FI$3,0,0,'Données projet'!$E$16+1,1))-AVERAGE(OFFSET($H$3,0,0,'Données projet'!$E$16+1,1))</f>
        <v>#N/A</v>
      </c>
      <c r="FK157" s="60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68.893993498447074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0" t="e">
        <f t="shared" si="134"/>
        <v>#N/A</v>
      </c>
      <c r="GE157" s="60" t="e">
        <f ca="1">AVERAGE(OFFSET($GD$3,0,0,'Données projet'!$E$17+1,1))-AVERAGE(OFFSET($H$3,0,0,'Données projet'!$E$17+1,1))</f>
        <v>#N/A</v>
      </c>
      <c r="GF157" s="60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68.893993498447074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4">
        <f>'Scénario référence'!$B$16*5+'Scénario référence'!$B$17*0+'Scénario référence'!$B$18*5</f>
        <v>3.2750000000000004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12.008333333333335</v>
      </c>
      <c r="H158" s="67">
        <f t="shared" si="110"/>
        <v>208.63333333333333</v>
      </c>
      <c r="I158" s="7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68.913180238588922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-9.0949470177292824E-13</v>
      </c>
      <c r="O158" s="14">
        <f>N158*VLOOKUP('Données projet'!$B$9,Paramètres!$A$1:$I$89,3,0)*VLOOKUP('Données projet'!$B$9,Paramètres!$A$1:$I$89,5,0)</f>
        <v>-9.2222762759774924E-13</v>
      </c>
      <c r="P158" s="14" t="e">
        <f t="shared" si="141"/>
        <v>#NUM!</v>
      </c>
      <c r="Q158" s="22" t="e">
        <f t="shared" si="162"/>
        <v>#NUM!</v>
      </c>
      <c r="R158" s="60" t="e">
        <f t="shared" si="109"/>
        <v>#NUM!</v>
      </c>
      <c r="S158" s="60">
        <f ca="1">AVERAGE(OFFSET($R$3,0,0,'Données projet'!$E$9+1,1))-AVERAGE(OFFSET($H$3,0,0,'Données projet'!$E$9+1,1))</f>
        <v>503.64055031157477</v>
      </c>
      <c r="T158" s="60">
        <f t="shared" si="142"/>
        <v>266.76572540460842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68.913180238588922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-9.0949470177292824E-13</v>
      </c>
      <c r="AJ158" s="14">
        <f>AI158*VLOOKUP('Données projet'!$B$10,Paramètres!$A$1:$I$89,3,0)*VLOOKUP('Données projet'!$B$10,Paramètres!$A$1:$I$89,5,0)</f>
        <v>-8.2291080616414541E-13</v>
      </c>
      <c r="AK158" s="14" t="e">
        <f t="shared" si="164"/>
        <v>#NUM!</v>
      </c>
      <c r="AL158" s="22" t="e">
        <f t="shared" si="165"/>
        <v>#NUM!</v>
      </c>
      <c r="AM158" s="60" t="e">
        <f t="shared" si="113"/>
        <v>#NUM!</v>
      </c>
      <c r="AN158" s="60">
        <f ca="1">AVERAGE(OFFSET($AM$3,0,0,'Données projet'!$E$10+1,1))-AVERAGE(OFFSET($H$3,0,0,'Données projet'!$E$10+1,1))</f>
        <v>456.86058467343139</v>
      </c>
      <c r="AO158" s="60">
        <f t="shared" si="144"/>
        <v>243.88495931574937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68.913180238588922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-5.6843418860808015E-14</v>
      </c>
      <c r="BE158" s="14">
        <f>BD158*VLOOKUP('Données projet'!$B$11,Paramètres!$A$1:$I$89,3,0)*VLOOKUP('Données projet'!$B$11,Paramètres!$A$1:$I$89,5,0)</f>
        <v>-5.9412741393316544E-14</v>
      </c>
      <c r="BF158" s="14" t="e">
        <f t="shared" si="167"/>
        <v>#NUM!</v>
      </c>
      <c r="BG158" s="22" t="e">
        <f t="shared" si="168"/>
        <v>#NUM!</v>
      </c>
      <c r="BH158" s="60" t="e">
        <f t="shared" si="116"/>
        <v>#NUM!</v>
      </c>
      <c r="BI158" s="60">
        <f ca="1">AVERAGE(OFFSET($BH$3,0,0,'Données projet'!$E$11+1,1))-AVERAGE(OFFSET($H$3,0,0,'Données projet'!$E$11+1,1))</f>
        <v>518.47226207416952</v>
      </c>
      <c r="BJ158" s="60">
        <f t="shared" si="146"/>
        <v>314.6379787306804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68.913180238588922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-9.0949470177292824E-13</v>
      </c>
      <c r="BZ158" s="14">
        <f>BY158*VLOOKUP('Données projet'!$B$12,Paramètres!$A$1:$I$89,3,0)*VLOOKUP('Données projet'!$B$12,Paramètres!$A$1:$I$89,5,0)</f>
        <v>-9.7898009698837998E-13</v>
      </c>
      <c r="CA158" s="14" t="e">
        <f t="shared" si="170"/>
        <v>#NUM!</v>
      </c>
      <c r="CB158" s="22" t="e">
        <f t="shared" si="171"/>
        <v>#NUM!</v>
      </c>
      <c r="CC158" s="60" t="e">
        <f t="shared" si="119"/>
        <v>#NUM!</v>
      </c>
      <c r="CD158" s="60">
        <f ca="1">AVERAGE(OFFSET($CC$3,0,0,'Données projet'!$E$12+1,1))-AVERAGE(OFFSET($H$3,0,0,'Données projet'!$E$12+1,1))</f>
        <v>530.32456073177104</v>
      </c>
      <c r="CE158" s="60">
        <f t="shared" si="148"/>
        <v>279.81519428470625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68.913180238588922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3.4106051316484809E-13</v>
      </c>
      <c r="CU158" s="18">
        <f>CT158*VLOOKUP('Données projet'!$B$13,Paramètres!$A$1:$I$89,3,0)*VLOOKUP('Données projet'!$B$13,Paramètres!$A$1:$I$89,5,0)</f>
        <v>2.9795046430081134E-13</v>
      </c>
      <c r="CV158" s="14">
        <f t="shared" si="173"/>
        <v>3.9419014464513778E-12</v>
      </c>
      <c r="CW158" s="22">
        <f t="shared" si="174"/>
        <v>7.384408744560063E-12</v>
      </c>
      <c r="CX158" s="60">
        <f t="shared" si="122"/>
        <v>289.34832754150011</v>
      </c>
      <c r="CY158" s="60">
        <f ca="1">AVERAGE(OFFSET($CX$3,0,0,'Données projet'!$E$13+1,1))-AVERAGE(OFFSET($H$3,0,0,'Données projet'!$E$13+1,1))</f>
        <v>355.03862261578701</v>
      </c>
      <c r="CZ158" s="60">
        <f t="shared" si="150"/>
        <v>382.84441399266029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68.913180238588922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1.1368683772161603E-13</v>
      </c>
      <c r="DP158" s="18">
        <f>DO158*VLOOKUP('Données projet'!$B$14,Paramètres!$A$1:$I$89,3,0)*VLOOKUP('Données projet'!$B$14,Paramètres!$A$1:$I$89,5,0)</f>
        <v>8.8675733422860506E-14</v>
      </c>
      <c r="DQ158" s="14">
        <f t="shared" si="176"/>
        <v>1.3509285393066301E-12</v>
      </c>
      <c r="DR158" s="22">
        <f t="shared" si="177"/>
        <v>2.5073107750038623E-12</v>
      </c>
      <c r="DS158" s="60">
        <f t="shared" si="125"/>
        <v>289.34832754149522</v>
      </c>
      <c r="DT158" s="60">
        <f ca="1">AVERAGE(OFFSET($DS$3,0,0,'Données projet'!$E$14+1,1))-AVERAGE(OFFSET($H$3,0,0,'Données projet'!$E$14+1,1))</f>
        <v>305.68891030516761</v>
      </c>
      <c r="DU158" s="60">
        <f t="shared" si="152"/>
        <v>296.00275062228275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68.913180238588922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-9.0949470177292824E-13</v>
      </c>
      <c r="EK158" s="18">
        <f>EJ158*VLOOKUP('Données projet'!$B$15,Paramètres!$A$1:$I$89,3,0)*VLOOKUP('Données projet'!$B$15,Paramètres!$A$1:$I$89,5,0)</f>
        <v>-8.7966327555477625E-13</v>
      </c>
      <c r="EL158" s="14" t="e">
        <f t="shared" si="179"/>
        <v>#NUM!</v>
      </c>
      <c r="EM158" s="22" t="e">
        <f t="shared" si="180"/>
        <v>#NUM!</v>
      </c>
      <c r="EN158" s="60" t="e">
        <f t="shared" si="128"/>
        <v>#NUM!</v>
      </c>
      <c r="EO158" s="60">
        <f ca="1">AVERAGE(OFFSET($EN$3,0,0,'Données projet'!$E$15+1,1))-AVERAGE(OFFSET($H$3,0,0,'Données projet'!$E$15+1,1))</f>
        <v>483.60545605360528</v>
      </c>
      <c r="EP158" s="60">
        <f t="shared" si="154"/>
        <v>256.96685577560345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68.913180238588922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0" t="e">
        <f t="shared" si="131"/>
        <v>#N/A</v>
      </c>
      <c r="FJ158" s="60" t="e">
        <f ca="1">AVERAGE(OFFSET($FI$3,0,0,'Données projet'!$E$16+1,1))-AVERAGE(OFFSET($H$3,0,0,'Données projet'!$E$16+1,1))</f>
        <v>#N/A</v>
      </c>
      <c r="FK158" s="60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68.913180238588922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0" t="e">
        <f t="shared" si="134"/>
        <v>#N/A</v>
      </c>
      <c r="GE158" s="60" t="e">
        <f ca="1">AVERAGE(OFFSET($GD$3,0,0,'Données projet'!$E$17+1,1))-AVERAGE(OFFSET($H$3,0,0,'Données projet'!$E$17+1,1))</f>
        <v>#N/A</v>
      </c>
      <c r="GF158" s="60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68.913180238588922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4">
        <f>'Scénario référence'!$B$16*5+'Scénario référence'!$B$17*0+'Scénario référence'!$B$18*5</f>
        <v>3.2750000000000004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12.008333333333335</v>
      </c>
      <c r="H159" s="67">
        <f t="shared" si="110"/>
        <v>208.63333333333333</v>
      </c>
      <c r="I159" s="7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68.932034131684418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-9.0949470177292824E-13</v>
      </c>
      <c r="O159" s="14">
        <f>N159*VLOOKUP('Données projet'!$B$9,Paramètres!$A$1:$I$89,3,0)*VLOOKUP('Données projet'!$B$9,Paramètres!$A$1:$I$89,5,0)</f>
        <v>-9.2222762759774924E-13</v>
      </c>
      <c r="P159" s="14" t="e">
        <f t="shared" si="141"/>
        <v>#NUM!</v>
      </c>
      <c r="Q159" s="22" t="e">
        <f t="shared" si="162"/>
        <v>#NUM!</v>
      </c>
      <c r="R159" s="60" t="e">
        <f t="shared" si="109"/>
        <v>#NUM!</v>
      </c>
      <c r="S159" s="60">
        <f ca="1">AVERAGE(OFFSET($R$3,0,0,'Données projet'!$E$9+1,1))-AVERAGE(OFFSET($H$3,0,0,'Données projet'!$E$9+1,1))</f>
        <v>503.64055031157477</v>
      </c>
      <c r="T159" s="60">
        <f t="shared" si="142"/>
        <v>266.76572540460842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68.932034131684418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-9.0949470177292824E-13</v>
      </c>
      <c r="AJ159" s="14">
        <f>AI159*VLOOKUP('Données projet'!$B$10,Paramètres!$A$1:$I$89,3,0)*VLOOKUP('Données projet'!$B$10,Paramètres!$A$1:$I$89,5,0)</f>
        <v>-8.2291080616414541E-13</v>
      </c>
      <c r="AK159" s="14" t="e">
        <f t="shared" si="164"/>
        <v>#NUM!</v>
      </c>
      <c r="AL159" s="22" t="e">
        <f t="shared" si="165"/>
        <v>#NUM!</v>
      </c>
      <c r="AM159" s="60" t="e">
        <f t="shared" si="113"/>
        <v>#NUM!</v>
      </c>
      <c r="AN159" s="60">
        <f ca="1">AVERAGE(OFFSET($AM$3,0,0,'Données projet'!$E$10+1,1))-AVERAGE(OFFSET($H$3,0,0,'Données projet'!$E$10+1,1))</f>
        <v>456.86058467343139</v>
      </c>
      <c r="AO159" s="60">
        <f t="shared" si="144"/>
        <v>243.88495931574937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68.932034131684418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-5.6843418860808015E-14</v>
      </c>
      <c r="BE159" s="14">
        <f>BD159*VLOOKUP('Données projet'!$B$11,Paramètres!$A$1:$I$89,3,0)*VLOOKUP('Données projet'!$B$11,Paramètres!$A$1:$I$89,5,0)</f>
        <v>-5.9412741393316544E-14</v>
      </c>
      <c r="BF159" s="14" t="e">
        <f t="shared" si="167"/>
        <v>#NUM!</v>
      </c>
      <c r="BG159" s="22" t="e">
        <f t="shared" si="168"/>
        <v>#NUM!</v>
      </c>
      <c r="BH159" s="60" t="e">
        <f t="shared" si="116"/>
        <v>#NUM!</v>
      </c>
      <c r="BI159" s="60">
        <f ca="1">AVERAGE(OFFSET($BH$3,0,0,'Données projet'!$E$11+1,1))-AVERAGE(OFFSET($H$3,0,0,'Données projet'!$E$11+1,1))</f>
        <v>518.47226207416952</v>
      </c>
      <c r="BJ159" s="60">
        <f t="shared" si="146"/>
        <v>314.6379787306804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68.932034131684418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-9.0949470177292824E-13</v>
      </c>
      <c r="BZ159" s="14">
        <f>BY159*VLOOKUP('Données projet'!$B$12,Paramètres!$A$1:$I$89,3,0)*VLOOKUP('Données projet'!$B$12,Paramètres!$A$1:$I$89,5,0)</f>
        <v>-9.7898009698837998E-13</v>
      </c>
      <c r="CA159" s="14" t="e">
        <f t="shared" si="170"/>
        <v>#NUM!</v>
      </c>
      <c r="CB159" s="22" t="e">
        <f t="shared" si="171"/>
        <v>#NUM!</v>
      </c>
      <c r="CC159" s="60" t="e">
        <f t="shared" si="119"/>
        <v>#NUM!</v>
      </c>
      <c r="CD159" s="60">
        <f ca="1">AVERAGE(OFFSET($CC$3,0,0,'Données projet'!$E$12+1,1))-AVERAGE(OFFSET($H$3,0,0,'Données projet'!$E$12+1,1))</f>
        <v>530.32456073177104</v>
      </c>
      <c r="CE159" s="60">
        <f t="shared" si="148"/>
        <v>279.81519428470625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68.932034131684418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3.4106051316484809E-13</v>
      </c>
      <c r="CU159" s="18">
        <f>CT159*VLOOKUP('Données projet'!$B$13,Paramètres!$A$1:$I$89,3,0)*VLOOKUP('Données projet'!$B$13,Paramètres!$A$1:$I$89,5,0)</f>
        <v>2.9795046430081134E-13</v>
      </c>
      <c r="CV159" s="14">
        <f t="shared" si="173"/>
        <v>3.9419014464513778E-12</v>
      </c>
      <c r="CW159" s="22">
        <f t="shared" si="174"/>
        <v>7.384408744560063E-12</v>
      </c>
      <c r="CX159" s="60">
        <f t="shared" si="122"/>
        <v>289.41745848285024</v>
      </c>
      <c r="CY159" s="60">
        <f ca="1">AVERAGE(OFFSET($CX$3,0,0,'Données projet'!$E$13+1,1))-AVERAGE(OFFSET($H$3,0,0,'Données projet'!$E$13+1,1))</f>
        <v>355.03862261578701</v>
      </c>
      <c r="CZ159" s="60">
        <f t="shared" si="150"/>
        <v>382.84441399266029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68.932034131684418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1.1368683772161603E-13</v>
      </c>
      <c r="DP159" s="18">
        <f>DO159*VLOOKUP('Données projet'!$B$14,Paramètres!$A$1:$I$89,3,0)*VLOOKUP('Données projet'!$B$14,Paramètres!$A$1:$I$89,5,0)</f>
        <v>8.8675733422860506E-14</v>
      </c>
      <c r="DQ159" s="14">
        <f t="shared" si="176"/>
        <v>1.3509285393066301E-12</v>
      </c>
      <c r="DR159" s="22">
        <f t="shared" si="177"/>
        <v>2.5073107750038623E-12</v>
      </c>
      <c r="DS159" s="60">
        <f t="shared" si="125"/>
        <v>289.41745848284535</v>
      </c>
      <c r="DT159" s="60">
        <f ca="1">AVERAGE(OFFSET($DS$3,0,0,'Données projet'!$E$14+1,1))-AVERAGE(OFFSET($H$3,0,0,'Données projet'!$E$14+1,1))</f>
        <v>305.68891030516761</v>
      </c>
      <c r="DU159" s="60">
        <f t="shared" si="152"/>
        <v>296.00275062228275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68.932034131684418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-9.0949470177292824E-13</v>
      </c>
      <c r="EK159" s="18">
        <f>EJ159*VLOOKUP('Données projet'!$B$15,Paramètres!$A$1:$I$89,3,0)*VLOOKUP('Données projet'!$B$15,Paramètres!$A$1:$I$89,5,0)</f>
        <v>-8.7966327555477625E-13</v>
      </c>
      <c r="EL159" s="14" t="e">
        <f t="shared" si="179"/>
        <v>#NUM!</v>
      </c>
      <c r="EM159" s="22" t="e">
        <f t="shared" si="180"/>
        <v>#NUM!</v>
      </c>
      <c r="EN159" s="60" t="e">
        <f t="shared" si="128"/>
        <v>#NUM!</v>
      </c>
      <c r="EO159" s="60">
        <f ca="1">AVERAGE(OFFSET($EN$3,0,0,'Données projet'!$E$15+1,1))-AVERAGE(OFFSET($H$3,0,0,'Données projet'!$E$15+1,1))</f>
        <v>483.60545605360528</v>
      </c>
      <c r="EP159" s="60">
        <f t="shared" si="154"/>
        <v>256.96685577560345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68.932034131684418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0" t="e">
        <f t="shared" si="131"/>
        <v>#N/A</v>
      </c>
      <c r="FJ159" s="60" t="e">
        <f ca="1">AVERAGE(OFFSET($FI$3,0,0,'Données projet'!$E$16+1,1))-AVERAGE(OFFSET($H$3,0,0,'Données projet'!$E$16+1,1))</f>
        <v>#N/A</v>
      </c>
      <c r="FK159" s="60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68.932034131684418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0" t="e">
        <f t="shared" si="134"/>
        <v>#N/A</v>
      </c>
      <c r="GE159" s="60" t="e">
        <f ca="1">AVERAGE(OFFSET($GD$3,0,0,'Données projet'!$E$17+1,1))-AVERAGE(OFFSET($H$3,0,0,'Données projet'!$E$17+1,1))</f>
        <v>#N/A</v>
      </c>
      <c r="GF159" s="60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68.932034131684418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4">
        <f>'Scénario référence'!$B$16*5+'Scénario référence'!$B$17*0+'Scénario référence'!$B$18*5</f>
        <v>3.2750000000000004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12.008333333333335</v>
      </c>
      <c r="H160" s="67">
        <f t="shared" si="110"/>
        <v>208.63333333333333</v>
      </c>
      <c r="I160" s="7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68.950560951885706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-9.0949470177292824E-13</v>
      </c>
      <c r="O160" s="14">
        <f>N160*VLOOKUP('Données projet'!$B$9,Paramètres!$A$1:$I$89,3,0)*VLOOKUP('Données projet'!$B$9,Paramètres!$A$1:$I$89,5,0)</f>
        <v>-9.2222762759774924E-13</v>
      </c>
      <c r="P160" s="14" t="e">
        <f t="shared" si="141"/>
        <v>#NUM!</v>
      </c>
      <c r="Q160" s="22" t="e">
        <f t="shared" si="162"/>
        <v>#NUM!</v>
      </c>
      <c r="R160" s="60" t="e">
        <f t="shared" si="109"/>
        <v>#NUM!</v>
      </c>
      <c r="S160" s="60">
        <f ca="1">AVERAGE(OFFSET($R$3,0,0,'Données projet'!$E$9+1,1))-AVERAGE(OFFSET($H$3,0,0,'Données projet'!$E$9+1,1))</f>
        <v>503.64055031157477</v>
      </c>
      <c r="T160" s="60">
        <f t="shared" si="142"/>
        <v>266.76572540460842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68.950560951885706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-9.0949470177292824E-13</v>
      </c>
      <c r="AJ160" s="14">
        <f>AI160*VLOOKUP('Données projet'!$B$10,Paramètres!$A$1:$I$89,3,0)*VLOOKUP('Données projet'!$B$10,Paramètres!$A$1:$I$89,5,0)</f>
        <v>-8.2291080616414541E-13</v>
      </c>
      <c r="AK160" s="14" t="e">
        <f t="shared" si="164"/>
        <v>#NUM!</v>
      </c>
      <c r="AL160" s="22" t="e">
        <f t="shared" si="165"/>
        <v>#NUM!</v>
      </c>
      <c r="AM160" s="60" t="e">
        <f t="shared" si="113"/>
        <v>#NUM!</v>
      </c>
      <c r="AN160" s="60">
        <f ca="1">AVERAGE(OFFSET($AM$3,0,0,'Données projet'!$E$10+1,1))-AVERAGE(OFFSET($H$3,0,0,'Données projet'!$E$10+1,1))</f>
        <v>456.86058467343139</v>
      </c>
      <c r="AO160" s="60">
        <f t="shared" si="144"/>
        <v>243.88495931574937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68.950560951885706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-5.6843418860808015E-14</v>
      </c>
      <c r="BE160" s="14">
        <f>BD160*VLOOKUP('Données projet'!$B$11,Paramètres!$A$1:$I$89,3,0)*VLOOKUP('Données projet'!$B$11,Paramètres!$A$1:$I$89,5,0)</f>
        <v>-5.9412741393316544E-14</v>
      </c>
      <c r="BF160" s="14" t="e">
        <f t="shared" si="167"/>
        <v>#NUM!</v>
      </c>
      <c r="BG160" s="22" t="e">
        <f t="shared" si="168"/>
        <v>#NUM!</v>
      </c>
      <c r="BH160" s="60" t="e">
        <f t="shared" si="116"/>
        <v>#NUM!</v>
      </c>
      <c r="BI160" s="60">
        <f ca="1">AVERAGE(OFFSET($BH$3,0,0,'Données projet'!$E$11+1,1))-AVERAGE(OFFSET($H$3,0,0,'Données projet'!$E$11+1,1))</f>
        <v>518.47226207416952</v>
      </c>
      <c r="BJ160" s="60">
        <f t="shared" si="146"/>
        <v>314.6379787306804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68.950560951885706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-9.0949470177292824E-13</v>
      </c>
      <c r="BZ160" s="14">
        <f>BY160*VLOOKUP('Données projet'!$B$12,Paramètres!$A$1:$I$89,3,0)*VLOOKUP('Données projet'!$B$12,Paramètres!$A$1:$I$89,5,0)</f>
        <v>-9.7898009698837998E-13</v>
      </c>
      <c r="CA160" s="14" t="e">
        <f t="shared" si="170"/>
        <v>#NUM!</v>
      </c>
      <c r="CB160" s="22" t="e">
        <f t="shared" si="171"/>
        <v>#NUM!</v>
      </c>
      <c r="CC160" s="60" t="e">
        <f t="shared" si="119"/>
        <v>#NUM!</v>
      </c>
      <c r="CD160" s="60">
        <f ca="1">AVERAGE(OFFSET($CC$3,0,0,'Données projet'!$E$12+1,1))-AVERAGE(OFFSET($H$3,0,0,'Données projet'!$E$12+1,1))</f>
        <v>530.32456073177104</v>
      </c>
      <c r="CE160" s="60">
        <f t="shared" si="148"/>
        <v>279.81519428470625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68.950560951885706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3.4106051316484809E-13</v>
      </c>
      <c r="CU160" s="18">
        <f>CT160*VLOOKUP('Données projet'!$B$13,Paramètres!$A$1:$I$89,3,0)*VLOOKUP('Données projet'!$B$13,Paramètres!$A$1:$I$89,5,0)</f>
        <v>2.9795046430081134E-13</v>
      </c>
      <c r="CV160" s="14">
        <f t="shared" si="173"/>
        <v>3.9419014464513778E-12</v>
      </c>
      <c r="CW160" s="22">
        <f t="shared" si="174"/>
        <v>7.384408744560063E-12</v>
      </c>
      <c r="CX160" s="60">
        <f t="shared" si="122"/>
        <v>289.48539015692165</v>
      </c>
      <c r="CY160" s="60">
        <f ca="1">AVERAGE(OFFSET($CX$3,0,0,'Données projet'!$E$13+1,1))-AVERAGE(OFFSET($H$3,0,0,'Données projet'!$E$13+1,1))</f>
        <v>355.03862261578701</v>
      </c>
      <c r="CZ160" s="60">
        <f t="shared" si="150"/>
        <v>382.84441399266029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68.950560951885706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1.1368683772161603E-13</v>
      </c>
      <c r="DP160" s="18">
        <f>DO160*VLOOKUP('Données projet'!$B$14,Paramètres!$A$1:$I$89,3,0)*VLOOKUP('Données projet'!$B$14,Paramètres!$A$1:$I$89,5,0)</f>
        <v>8.8675733422860506E-14</v>
      </c>
      <c r="DQ160" s="14">
        <f t="shared" si="176"/>
        <v>1.3509285393066301E-12</v>
      </c>
      <c r="DR160" s="22">
        <f t="shared" si="177"/>
        <v>2.5073107750038623E-12</v>
      </c>
      <c r="DS160" s="60">
        <f t="shared" si="125"/>
        <v>289.48539015691676</v>
      </c>
      <c r="DT160" s="60">
        <f ca="1">AVERAGE(OFFSET($DS$3,0,0,'Données projet'!$E$14+1,1))-AVERAGE(OFFSET($H$3,0,0,'Données projet'!$E$14+1,1))</f>
        <v>305.68891030516761</v>
      </c>
      <c r="DU160" s="60">
        <f t="shared" si="152"/>
        <v>296.00275062228275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68.950560951885706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-9.0949470177292824E-13</v>
      </c>
      <c r="EK160" s="18">
        <f>EJ160*VLOOKUP('Données projet'!$B$15,Paramètres!$A$1:$I$89,3,0)*VLOOKUP('Données projet'!$B$15,Paramètres!$A$1:$I$89,5,0)</f>
        <v>-8.7966327555477625E-13</v>
      </c>
      <c r="EL160" s="14" t="e">
        <f t="shared" si="179"/>
        <v>#NUM!</v>
      </c>
      <c r="EM160" s="22" t="e">
        <f t="shared" si="180"/>
        <v>#NUM!</v>
      </c>
      <c r="EN160" s="60" t="e">
        <f t="shared" si="128"/>
        <v>#NUM!</v>
      </c>
      <c r="EO160" s="60">
        <f ca="1">AVERAGE(OFFSET($EN$3,0,0,'Données projet'!$E$15+1,1))-AVERAGE(OFFSET($H$3,0,0,'Données projet'!$E$15+1,1))</f>
        <v>483.60545605360528</v>
      </c>
      <c r="EP160" s="60">
        <f t="shared" si="154"/>
        <v>256.96685577560345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68.950560951885706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0" t="e">
        <f t="shared" si="131"/>
        <v>#N/A</v>
      </c>
      <c r="FJ160" s="60" t="e">
        <f ca="1">AVERAGE(OFFSET($FI$3,0,0,'Données projet'!$E$16+1,1))-AVERAGE(OFFSET($H$3,0,0,'Données projet'!$E$16+1,1))</f>
        <v>#N/A</v>
      </c>
      <c r="FK160" s="60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68.950560951885706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0" t="e">
        <f t="shared" si="134"/>
        <v>#N/A</v>
      </c>
      <c r="GE160" s="60" t="e">
        <f ca="1">AVERAGE(OFFSET($GD$3,0,0,'Données projet'!$E$17+1,1))-AVERAGE(OFFSET($H$3,0,0,'Données projet'!$E$17+1,1))</f>
        <v>#N/A</v>
      </c>
      <c r="GF160" s="60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68.950560951885706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4">
        <f>'Scénario référence'!$B$16*5+'Scénario référence'!$B$17*0+'Scénario référence'!$B$18*5</f>
        <v>3.2750000000000004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12.008333333333335</v>
      </c>
      <c r="H161" s="67">
        <f t="shared" si="110"/>
        <v>208.63333333333333</v>
      </c>
      <c r="I161" s="7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68.968766373176265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-9.0949470177292824E-13</v>
      </c>
      <c r="O161" s="14">
        <f>N161*VLOOKUP('Données projet'!$B$9,Paramètres!$A$1:$I$89,3,0)*VLOOKUP('Données projet'!$B$9,Paramètres!$A$1:$I$89,5,0)</f>
        <v>-9.2222762759774924E-13</v>
      </c>
      <c r="P161" s="14" t="e">
        <f t="shared" si="141"/>
        <v>#NUM!</v>
      </c>
      <c r="Q161" s="22" t="e">
        <f t="shared" si="162"/>
        <v>#NUM!</v>
      </c>
      <c r="R161" s="60" t="e">
        <f t="shared" si="109"/>
        <v>#NUM!</v>
      </c>
      <c r="S161" s="60">
        <f ca="1">AVERAGE(OFFSET($R$3,0,0,'Données projet'!$E$9+1,1))-AVERAGE(OFFSET($H$3,0,0,'Données projet'!$E$9+1,1))</f>
        <v>503.64055031157477</v>
      </c>
      <c r="T161" s="60">
        <f t="shared" si="142"/>
        <v>266.76572540460842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68.968766373176265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-9.0949470177292824E-13</v>
      </c>
      <c r="AJ161" s="14">
        <f>AI161*VLOOKUP('Données projet'!$B$10,Paramètres!$A$1:$I$89,3,0)*VLOOKUP('Données projet'!$B$10,Paramètres!$A$1:$I$89,5,0)</f>
        <v>-8.2291080616414541E-13</v>
      </c>
      <c r="AK161" s="14" t="e">
        <f t="shared" si="164"/>
        <v>#NUM!</v>
      </c>
      <c r="AL161" s="22" t="e">
        <f t="shared" si="165"/>
        <v>#NUM!</v>
      </c>
      <c r="AM161" s="60" t="e">
        <f t="shared" si="113"/>
        <v>#NUM!</v>
      </c>
      <c r="AN161" s="60">
        <f ca="1">AVERAGE(OFFSET($AM$3,0,0,'Données projet'!$E$10+1,1))-AVERAGE(OFFSET($H$3,0,0,'Données projet'!$E$10+1,1))</f>
        <v>456.86058467343139</v>
      </c>
      <c r="AO161" s="60">
        <f t="shared" si="144"/>
        <v>243.88495931574937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68.968766373176265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-5.6843418860808015E-14</v>
      </c>
      <c r="BE161" s="14">
        <f>BD161*VLOOKUP('Données projet'!$B$11,Paramètres!$A$1:$I$89,3,0)*VLOOKUP('Données projet'!$B$11,Paramètres!$A$1:$I$89,5,0)</f>
        <v>-5.9412741393316544E-14</v>
      </c>
      <c r="BF161" s="14" t="e">
        <f t="shared" si="167"/>
        <v>#NUM!</v>
      </c>
      <c r="BG161" s="22" t="e">
        <f t="shared" si="168"/>
        <v>#NUM!</v>
      </c>
      <c r="BH161" s="60" t="e">
        <f t="shared" si="116"/>
        <v>#NUM!</v>
      </c>
      <c r="BI161" s="60">
        <f ca="1">AVERAGE(OFFSET($BH$3,0,0,'Données projet'!$E$11+1,1))-AVERAGE(OFFSET($H$3,0,0,'Données projet'!$E$11+1,1))</f>
        <v>518.47226207416952</v>
      </c>
      <c r="BJ161" s="60">
        <f t="shared" si="146"/>
        <v>314.6379787306804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68.968766373176265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-9.0949470177292824E-13</v>
      </c>
      <c r="BZ161" s="14">
        <f>BY161*VLOOKUP('Données projet'!$B$12,Paramètres!$A$1:$I$89,3,0)*VLOOKUP('Données projet'!$B$12,Paramètres!$A$1:$I$89,5,0)</f>
        <v>-9.7898009698837998E-13</v>
      </c>
      <c r="CA161" s="14" t="e">
        <f t="shared" si="170"/>
        <v>#NUM!</v>
      </c>
      <c r="CB161" s="22" t="e">
        <f t="shared" si="171"/>
        <v>#NUM!</v>
      </c>
      <c r="CC161" s="60" t="e">
        <f t="shared" si="119"/>
        <v>#NUM!</v>
      </c>
      <c r="CD161" s="60">
        <f ca="1">AVERAGE(OFFSET($CC$3,0,0,'Données projet'!$E$12+1,1))-AVERAGE(OFFSET($H$3,0,0,'Données projet'!$E$12+1,1))</f>
        <v>530.32456073177104</v>
      </c>
      <c r="CE161" s="60">
        <f t="shared" si="148"/>
        <v>279.81519428470625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68.968766373176265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3.4106051316484809E-13</v>
      </c>
      <c r="CU161" s="18">
        <f>CT161*VLOOKUP('Données projet'!$B$13,Paramètres!$A$1:$I$89,3,0)*VLOOKUP('Données projet'!$B$13,Paramètres!$A$1:$I$89,5,0)</f>
        <v>2.9795046430081134E-13</v>
      </c>
      <c r="CV161" s="14">
        <f t="shared" si="173"/>
        <v>3.9419014464513778E-12</v>
      </c>
      <c r="CW161" s="22">
        <f t="shared" si="174"/>
        <v>7.384408744560063E-12</v>
      </c>
      <c r="CX161" s="60">
        <f t="shared" si="122"/>
        <v>289.55214336832034</v>
      </c>
      <c r="CY161" s="60">
        <f ca="1">AVERAGE(OFFSET($CX$3,0,0,'Données projet'!$E$13+1,1))-AVERAGE(OFFSET($H$3,0,0,'Données projet'!$E$13+1,1))</f>
        <v>355.03862261578701</v>
      </c>
      <c r="CZ161" s="60">
        <f t="shared" si="150"/>
        <v>382.84441399266029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68.968766373176265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1.1368683772161603E-13</v>
      </c>
      <c r="DP161" s="18">
        <f>DO161*VLOOKUP('Données projet'!$B$14,Paramètres!$A$1:$I$89,3,0)*VLOOKUP('Données projet'!$B$14,Paramètres!$A$1:$I$89,5,0)</f>
        <v>8.8675733422860506E-14</v>
      </c>
      <c r="DQ161" s="14">
        <f t="shared" si="176"/>
        <v>1.3509285393066301E-12</v>
      </c>
      <c r="DR161" s="22">
        <f t="shared" si="177"/>
        <v>2.5073107750038623E-12</v>
      </c>
      <c r="DS161" s="60">
        <f t="shared" si="125"/>
        <v>289.55214336831546</v>
      </c>
      <c r="DT161" s="60">
        <f ca="1">AVERAGE(OFFSET($DS$3,0,0,'Données projet'!$E$14+1,1))-AVERAGE(OFFSET($H$3,0,0,'Données projet'!$E$14+1,1))</f>
        <v>305.68891030516761</v>
      </c>
      <c r="DU161" s="60">
        <f t="shared" si="152"/>
        <v>296.00275062228275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68.968766373176265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-9.0949470177292824E-13</v>
      </c>
      <c r="EK161" s="18">
        <f>EJ161*VLOOKUP('Données projet'!$B$15,Paramètres!$A$1:$I$89,3,0)*VLOOKUP('Données projet'!$B$15,Paramètres!$A$1:$I$89,5,0)</f>
        <v>-8.7966327555477625E-13</v>
      </c>
      <c r="EL161" s="14" t="e">
        <f t="shared" si="179"/>
        <v>#NUM!</v>
      </c>
      <c r="EM161" s="22" t="e">
        <f t="shared" si="180"/>
        <v>#NUM!</v>
      </c>
      <c r="EN161" s="60" t="e">
        <f t="shared" si="128"/>
        <v>#NUM!</v>
      </c>
      <c r="EO161" s="60">
        <f ca="1">AVERAGE(OFFSET($EN$3,0,0,'Données projet'!$E$15+1,1))-AVERAGE(OFFSET($H$3,0,0,'Données projet'!$E$15+1,1))</f>
        <v>483.60545605360528</v>
      </c>
      <c r="EP161" s="60">
        <f t="shared" si="154"/>
        <v>256.96685577560345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68.968766373176265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0" t="e">
        <f t="shared" si="131"/>
        <v>#N/A</v>
      </c>
      <c r="FJ161" s="60" t="e">
        <f ca="1">AVERAGE(OFFSET($FI$3,0,0,'Données projet'!$E$16+1,1))-AVERAGE(OFFSET($H$3,0,0,'Données projet'!$E$16+1,1))</f>
        <v>#N/A</v>
      </c>
      <c r="FK161" s="60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68.968766373176265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0" t="e">
        <f t="shared" si="134"/>
        <v>#N/A</v>
      </c>
      <c r="GE161" s="60" t="e">
        <f ca="1">AVERAGE(OFFSET($GD$3,0,0,'Données projet'!$E$17+1,1))-AVERAGE(OFFSET($H$3,0,0,'Données projet'!$E$17+1,1))</f>
        <v>#N/A</v>
      </c>
      <c r="GF161" s="60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68.968766373176265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4">
        <f>'Scénario référence'!$B$16*5+'Scénario référence'!$B$17*0+'Scénario référence'!$B$18*5</f>
        <v>3.2750000000000004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12.008333333333335</v>
      </c>
      <c r="H162" s="67">
        <f t="shared" si="110"/>
        <v>208.63333333333333</v>
      </c>
      <c r="I162" s="7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68.986655971108632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-9.0949470177292824E-13</v>
      </c>
      <c r="O162" s="14">
        <f>N162*VLOOKUP('Données projet'!$B$9,Paramètres!$A$1:$I$89,3,0)*VLOOKUP('Données projet'!$B$9,Paramètres!$A$1:$I$89,5,0)</f>
        <v>-9.2222762759774924E-13</v>
      </c>
      <c r="P162" s="14" t="e">
        <f t="shared" si="141"/>
        <v>#NUM!</v>
      </c>
      <c r="Q162" s="22" t="e">
        <f t="shared" si="162"/>
        <v>#NUM!</v>
      </c>
      <c r="R162" s="60" t="e">
        <f t="shared" si="109"/>
        <v>#NUM!</v>
      </c>
      <c r="S162" s="60">
        <f ca="1">AVERAGE(OFFSET($R$3,0,0,'Données projet'!$E$9+1,1))-AVERAGE(OFFSET($H$3,0,0,'Données projet'!$E$9+1,1))</f>
        <v>503.64055031157477</v>
      </c>
      <c r="T162" s="60">
        <f t="shared" si="142"/>
        <v>266.76572540460842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68.986655971108632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-9.0949470177292824E-13</v>
      </c>
      <c r="AJ162" s="14">
        <f>AI162*VLOOKUP('Données projet'!$B$10,Paramètres!$A$1:$I$89,3,0)*VLOOKUP('Données projet'!$B$10,Paramètres!$A$1:$I$89,5,0)</f>
        <v>-8.2291080616414541E-13</v>
      </c>
      <c r="AK162" s="14" t="e">
        <f t="shared" si="164"/>
        <v>#NUM!</v>
      </c>
      <c r="AL162" s="22" t="e">
        <f t="shared" si="165"/>
        <v>#NUM!</v>
      </c>
      <c r="AM162" s="60" t="e">
        <f t="shared" si="113"/>
        <v>#NUM!</v>
      </c>
      <c r="AN162" s="60">
        <f ca="1">AVERAGE(OFFSET($AM$3,0,0,'Données projet'!$E$10+1,1))-AVERAGE(OFFSET($H$3,0,0,'Données projet'!$E$10+1,1))</f>
        <v>456.86058467343139</v>
      </c>
      <c r="AO162" s="60">
        <f t="shared" si="144"/>
        <v>243.88495931574937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68.986655971108632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-5.6843418860808015E-14</v>
      </c>
      <c r="BE162" s="14">
        <f>BD162*VLOOKUP('Données projet'!$B$11,Paramètres!$A$1:$I$89,3,0)*VLOOKUP('Données projet'!$B$11,Paramètres!$A$1:$I$89,5,0)</f>
        <v>-5.9412741393316544E-14</v>
      </c>
      <c r="BF162" s="14" t="e">
        <f t="shared" si="167"/>
        <v>#NUM!</v>
      </c>
      <c r="BG162" s="22" t="e">
        <f t="shared" si="168"/>
        <v>#NUM!</v>
      </c>
      <c r="BH162" s="60" t="e">
        <f t="shared" si="116"/>
        <v>#NUM!</v>
      </c>
      <c r="BI162" s="60">
        <f ca="1">AVERAGE(OFFSET($BH$3,0,0,'Données projet'!$E$11+1,1))-AVERAGE(OFFSET($H$3,0,0,'Données projet'!$E$11+1,1))</f>
        <v>518.47226207416952</v>
      </c>
      <c r="BJ162" s="60">
        <f t="shared" si="146"/>
        <v>314.6379787306804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68.986655971108632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-9.0949470177292824E-13</v>
      </c>
      <c r="BZ162" s="14">
        <f>BY162*VLOOKUP('Données projet'!$B$12,Paramètres!$A$1:$I$89,3,0)*VLOOKUP('Données projet'!$B$12,Paramètres!$A$1:$I$89,5,0)</f>
        <v>-9.7898009698837998E-13</v>
      </c>
      <c r="CA162" s="14" t="e">
        <f t="shared" si="170"/>
        <v>#NUM!</v>
      </c>
      <c r="CB162" s="22" t="e">
        <f t="shared" si="171"/>
        <v>#NUM!</v>
      </c>
      <c r="CC162" s="60" t="e">
        <f t="shared" si="119"/>
        <v>#NUM!</v>
      </c>
      <c r="CD162" s="60">
        <f ca="1">AVERAGE(OFFSET($CC$3,0,0,'Données projet'!$E$12+1,1))-AVERAGE(OFFSET($H$3,0,0,'Données projet'!$E$12+1,1))</f>
        <v>530.32456073177104</v>
      </c>
      <c r="CE162" s="60">
        <f t="shared" si="148"/>
        <v>279.81519428470625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68.986655971108632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3.4106051316484809E-13</v>
      </c>
      <c r="CU162" s="18">
        <f>CT162*VLOOKUP('Données projet'!$B$13,Paramètres!$A$1:$I$89,3,0)*VLOOKUP('Données projet'!$B$13,Paramètres!$A$1:$I$89,5,0)</f>
        <v>2.9795046430081134E-13</v>
      </c>
      <c r="CV162" s="14">
        <f t="shared" si="173"/>
        <v>3.9419014464513778E-12</v>
      </c>
      <c r="CW162" s="22">
        <f t="shared" si="174"/>
        <v>7.384408744560063E-12</v>
      </c>
      <c r="CX162" s="60">
        <f t="shared" si="122"/>
        <v>289.61773856073904</v>
      </c>
      <c r="CY162" s="60">
        <f ca="1">AVERAGE(OFFSET($CX$3,0,0,'Données projet'!$E$13+1,1))-AVERAGE(OFFSET($H$3,0,0,'Données projet'!$E$13+1,1))</f>
        <v>355.03862261578701</v>
      </c>
      <c r="CZ162" s="60">
        <f t="shared" si="150"/>
        <v>382.84441399266029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68.986655971108632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1.1368683772161603E-13</v>
      </c>
      <c r="DP162" s="18">
        <f>DO162*VLOOKUP('Données projet'!$B$14,Paramètres!$A$1:$I$89,3,0)*VLOOKUP('Données projet'!$B$14,Paramètres!$A$1:$I$89,5,0)</f>
        <v>8.8675733422860506E-14</v>
      </c>
      <c r="DQ162" s="14">
        <f t="shared" si="176"/>
        <v>1.3509285393066301E-12</v>
      </c>
      <c r="DR162" s="22">
        <f t="shared" si="177"/>
        <v>2.5073107750038623E-12</v>
      </c>
      <c r="DS162" s="60">
        <f t="shared" si="125"/>
        <v>289.61773856073415</v>
      </c>
      <c r="DT162" s="60">
        <f ca="1">AVERAGE(OFFSET($DS$3,0,0,'Données projet'!$E$14+1,1))-AVERAGE(OFFSET($H$3,0,0,'Données projet'!$E$14+1,1))</f>
        <v>305.68891030516761</v>
      </c>
      <c r="DU162" s="60">
        <f t="shared" si="152"/>
        <v>296.00275062228275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68.986655971108632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-9.0949470177292824E-13</v>
      </c>
      <c r="EK162" s="18">
        <f>EJ162*VLOOKUP('Données projet'!$B$15,Paramètres!$A$1:$I$89,3,0)*VLOOKUP('Données projet'!$B$15,Paramètres!$A$1:$I$89,5,0)</f>
        <v>-8.7966327555477625E-13</v>
      </c>
      <c r="EL162" s="14" t="e">
        <f t="shared" si="179"/>
        <v>#NUM!</v>
      </c>
      <c r="EM162" s="22" t="e">
        <f t="shared" si="180"/>
        <v>#NUM!</v>
      </c>
      <c r="EN162" s="60" t="e">
        <f t="shared" si="128"/>
        <v>#NUM!</v>
      </c>
      <c r="EO162" s="60">
        <f ca="1">AVERAGE(OFFSET($EN$3,0,0,'Données projet'!$E$15+1,1))-AVERAGE(OFFSET($H$3,0,0,'Données projet'!$E$15+1,1))</f>
        <v>483.60545605360528</v>
      </c>
      <c r="EP162" s="60">
        <f t="shared" si="154"/>
        <v>256.96685577560345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68.986655971108632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0" t="e">
        <f t="shared" si="131"/>
        <v>#N/A</v>
      </c>
      <c r="FJ162" s="60" t="e">
        <f ca="1">AVERAGE(OFFSET($FI$3,0,0,'Données projet'!$E$16+1,1))-AVERAGE(OFFSET($H$3,0,0,'Données projet'!$E$16+1,1))</f>
        <v>#N/A</v>
      </c>
      <c r="FK162" s="60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68.986655971108632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0" t="e">
        <f t="shared" si="134"/>
        <v>#N/A</v>
      </c>
      <c r="GE162" s="60" t="e">
        <f ca="1">AVERAGE(OFFSET($GD$3,0,0,'Données projet'!$E$17+1,1))-AVERAGE(OFFSET($H$3,0,0,'Données projet'!$E$17+1,1))</f>
        <v>#N/A</v>
      </c>
      <c r="GF162" s="60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68.986655971108632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4">
        <f>'Scénario référence'!$B$16*5+'Scénario référence'!$B$17*0+'Scénario référence'!$B$18*5</f>
        <v>3.2750000000000004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12.008333333333335</v>
      </c>
      <c r="H163" s="67">
        <f t="shared" si="110"/>
        <v>208.63333333333333</v>
      </c>
      <c r="I163" s="7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69.004235224512058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-9.0949470177292824E-13</v>
      </c>
      <c r="O163" s="14">
        <f>N163*VLOOKUP('Données projet'!$B$9,Paramètres!$A$1:$I$89,3,0)*VLOOKUP('Données projet'!$B$9,Paramètres!$A$1:$I$89,5,0)</f>
        <v>-9.2222762759774924E-13</v>
      </c>
      <c r="P163" s="14" t="e">
        <f t="shared" si="141"/>
        <v>#NUM!</v>
      </c>
      <c r="Q163" s="22" t="e">
        <f t="shared" si="162"/>
        <v>#NUM!</v>
      </c>
      <c r="R163" s="60" t="e">
        <f t="shared" si="109"/>
        <v>#NUM!</v>
      </c>
      <c r="S163" s="60">
        <f ca="1">AVERAGE(OFFSET($R$3,0,0,'Données projet'!$E$9+1,1))-AVERAGE(OFFSET($H$3,0,0,'Données projet'!$E$9+1,1))</f>
        <v>503.64055031157477</v>
      </c>
      <c r="T163" s="60">
        <f t="shared" si="142"/>
        <v>266.76572540460842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69.004235224512058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-9.0949470177292824E-13</v>
      </c>
      <c r="AJ163" s="14">
        <f>AI163*VLOOKUP('Données projet'!$B$10,Paramètres!$A$1:$I$89,3,0)*VLOOKUP('Données projet'!$B$10,Paramètres!$A$1:$I$89,5,0)</f>
        <v>-8.2291080616414541E-13</v>
      </c>
      <c r="AK163" s="14" t="e">
        <f t="shared" si="164"/>
        <v>#NUM!</v>
      </c>
      <c r="AL163" s="22" t="e">
        <f t="shared" si="165"/>
        <v>#NUM!</v>
      </c>
      <c r="AM163" s="60" t="e">
        <f t="shared" si="113"/>
        <v>#NUM!</v>
      </c>
      <c r="AN163" s="60">
        <f ca="1">AVERAGE(OFFSET($AM$3,0,0,'Données projet'!$E$10+1,1))-AVERAGE(OFFSET($H$3,0,0,'Données projet'!$E$10+1,1))</f>
        <v>456.86058467343139</v>
      </c>
      <c r="AO163" s="60">
        <f t="shared" si="144"/>
        <v>243.88495931574937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69.004235224512058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-5.6843418860808015E-14</v>
      </c>
      <c r="BE163" s="14">
        <f>BD163*VLOOKUP('Données projet'!$B$11,Paramètres!$A$1:$I$89,3,0)*VLOOKUP('Données projet'!$B$11,Paramètres!$A$1:$I$89,5,0)</f>
        <v>-5.9412741393316544E-14</v>
      </c>
      <c r="BF163" s="14" t="e">
        <f t="shared" si="167"/>
        <v>#NUM!</v>
      </c>
      <c r="BG163" s="22" t="e">
        <f t="shared" si="168"/>
        <v>#NUM!</v>
      </c>
      <c r="BH163" s="60" t="e">
        <f t="shared" si="116"/>
        <v>#NUM!</v>
      </c>
      <c r="BI163" s="60">
        <f ca="1">AVERAGE(OFFSET($BH$3,0,0,'Données projet'!$E$11+1,1))-AVERAGE(OFFSET($H$3,0,0,'Données projet'!$E$11+1,1))</f>
        <v>518.47226207416952</v>
      </c>
      <c r="BJ163" s="60">
        <f t="shared" si="146"/>
        <v>314.6379787306804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69.004235224512058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-9.0949470177292824E-13</v>
      </c>
      <c r="BZ163" s="14">
        <f>BY163*VLOOKUP('Données projet'!$B$12,Paramètres!$A$1:$I$89,3,0)*VLOOKUP('Données projet'!$B$12,Paramètres!$A$1:$I$89,5,0)</f>
        <v>-9.7898009698837998E-13</v>
      </c>
      <c r="CA163" s="14" t="e">
        <f t="shared" si="170"/>
        <v>#NUM!</v>
      </c>
      <c r="CB163" s="22" t="e">
        <f t="shared" si="171"/>
        <v>#NUM!</v>
      </c>
      <c r="CC163" s="60" t="e">
        <f t="shared" si="119"/>
        <v>#NUM!</v>
      </c>
      <c r="CD163" s="60">
        <f ca="1">AVERAGE(OFFSET($CC$3,0,0,'Données projet'!$E$12+1,1))-AVERAGE(OFFSET($H$3,0,0,'Données projet'!$E$12+1,1))</f>
        <v>530.32456073177104</v>
      </c>
      <c r="CE163" s="60">
        <f t="shared" si="148"/>
        <v>279.81519428470625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69.004235224512058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3.4106051316484809E-13</v>
      </c>
      <c r="CU163" s="18">
        <f>CT163*VLOOKUP('Données projet'!$B$13,Paramètres!$A$1:$I$89,3,0)*VLOOKUP('Données projet'!$B$13,Paramètres!$A$1:$I$89,5,0)</f>
        <v>2.9795046430081134E-13</v>
      </c>
      <c r="CV163" s="14">
        <f t="shared" si="173"/>
        <v>3.9419014464513778E-12</v>
      </c>
      <c r="CW163" s="22">
        <f t="shared" si="174"/>
        <v>7.384408744560063E-12</v>
      </c>
      <c r="CX163" s="60">
        <f t="shared" si="122"/>
        <v>289.68219582321825</v>
      </c>
      <c r="CY163" s="60">
        <f ca="1">AVERAGE(OFFSET($CX$3,0,0,'Données projet'!$E$13+1,1))-AVERAGE(OFFSET($H$3,0,0,'Données projet'!$E$13+1,1))</f>
        <v>355.03862261578701</v>
      </c>
      <c r="CZ163" s="60">
        <f t="shared" si="150"/>
        <v>382.84441399266029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69.004235224512058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1.1368683772161603E-13</v>
      </c>
      <c r="DP163" s="18">
        <f>DO163*VLOOKUP('Données projet'!$B$14,Paramètres!$A$1:$I$89,3,0)*VLOOKUP('Données projet'!$B$14,Paramètres!$A$1:$I$89,5,0)</f>
        <v>8.8675733422860506E-14</v>
      </c>
      <c r="DQ163" s="14">
        <f t="shared" si="176"/>
        <v>1.3509285393066301E-12</v>
      </c>
      <c r="DR163" s="22">
        <f t="shared" si="177"/>
        <v>2.5073107750038623E-12</v>
      </c>
      <c r="DS163" s="60">
        <f t="shared" si="125"/>
        <v>289.68219582321336</v>
      </c>
      <c r="DT163" s="60">
        <f ca="1">AVERAGE(OFFSET($DS$3,0,0,'Données projet'!$E$14+1,1))-AVERAGE(OFFSET($H$3,0,0,'Données projet'!$E$14+1,1))</f>
        <v>305.68891030516761</v>
      </c>
      <c r="DU163" s="60">
        <f t="shared" si="152"/>
        <v>296.00275062228275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69.004235224512058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-9.0949470177292824E-13</v>
      </c>
      <c r="EK163" s="18">
        <f>EJ163*VLOOKUP('Données projet'!$B$15,Paramètres!$A$1:$I$89,3,0)*VLOOKUP('Données projet'!$B$15,Paramètres!$A$1:$I$89,5,0)</f>
        <v>-8.7966327555477625E-13</v>
      </c>
      <c r="EL163" s="14" t="e">
        <f t="shared" si="179"/>
        <v>#NUM!</v>
      </c>
      <c r="EM163" s="22" t="e">
        <f t="shared" si="180"/>
        <v>#NUM!</v>
      </c>
      <c r="EN163" s="60" t="e">
        <f t="shared" si="128"/>
        <v>#NUM!</v>
      </c>
      <c r="EO163" s="60">
        <f ca="1">AVERAGE(OFFSET($EN$3,0,0,'Données projet'!$E$15+1,1))-AVERAGE(OFFSET($H$3,0,0,'Données projet'!$E$15+1,1))</f>
        <v>483.60545605360528</v>
      </c>
      <c r="EP163" s="60">
        <f t="shared" si="154"/>
        <v>256.96685577560345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69.004235224512058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0" t="e">
        <f t="shared" si="131"/>
        <v>#N/A</v>
      </c>
      <c r="FJ163" s="60" t="e">
        <f ca="1">AVERAGE(OFFSET($FI$3,0,0,'Données projet'!$E$16+1,1))-AVERAGE(OFFSET($H$3,0,0,'Données projet'!$E$16+1,1))</f>
        <v>#N/A</v>
      </c>
      <c r="FK163" s="60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69.004235224512058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0" t="e">
        <f t="shared" si="134"/>
        <v>#N/A</v>
      </c>
      <c r="GE163" s="60" t="e">
        <f ca="1">AVERAGE(OFFSET($GD$3,0,0,'Données projet'!$E$17+1,1))-AVERAGE(OFFSET($H$3,0,0,'Données projet'!$E$17+1,1))</f>
        <v>#N/A</v>
      </c>
      <c r="GF163" s="60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69.004235224512058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4">
        <f>'Scénario référence'!$B$16*5+'Scénario référence'!$B$17*0+'Scénario référence'!$B$18*5</f>
        <v>3.2750000000000004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12.008333333333335</v>
      </c>
      <c r="H164" s="67">
        <f t="shared" si="110"/>
        <v>208.63333333333333</v>
      </c>
      <c r="I164" s="7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69.021509517170244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-9.0949470177292824E-13</v>
      </c>
      <c r="O164" s="14">
        <f>N164*VLOOKUP('Données projet'!$B$9,Paramètres!$A$1:$I$89,3,0)*VLOOKUP('Données projet'!$B$9,Paramètres!$A$1:$I$89,5,0)</f>
        <v>-9.2222762759774924E-13</v>
      </c>
      <c r="P164" s="14" t="e">
        <f t="shared" si="141"/>
        <v>#NUM!</v>
      </c>
      <c r="Q164" s="22" t="e">
        <f t="shared" si="162"/>
        <v>#NUM!</v>
      </c>
      <c r="R164" s="60" t="e">
        <f t="shared" si="109"/>
        <v>#NUM!</v>
      </c>
      <c r="S164" s="60">
        <f ca="1">AVERAGE(OFFSET($R$3,0,0,'Données projet'!$E$9+1,1))-AVERAGE(OFFSET($H$3,0,0,'Données projet'!$E$9+1,1))</f>
        <v>503.64055031157477</v>
      </c>
      <c r="T164" s="60">
        <f t="shared" si="142"/>
        <v>266.76572540460842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69.021509517170244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-9.0949470177292824E-13</v>
      </c>
      <c r="AJ164" s="14">
        <f>AI164*VLOOKUP('Données projet'!$B$10,Paramètres!$A$1:$I$89,3,0)*VLOOKUP('Données projet'!$B$10,Paramètres!$A$1:$I$89,5,0)</f>
        <v>-8.2291080616414541E-13</v>
      </c>
      <c r="AK164" s="14" t="e">
        <f t="shared" si="164"/>
        <v>#NUM!</v>
      </c>
      <c r="AL164" s="22" t="e">
        <f t="shared" si="165"/>
        <v>#NUM!</v>
      </c>
      <c r="AM164" s="60" t="e">
        <f t="shared" si="113"/>
        <v>#NUM!</v>
      </c>
      <c r="AN164" s="60">
        <f ca="1">AVERAGE(OFFSET($AM$3,0,0,'Données projet'!$E$10+1,1))-AVERAGE(OFFSET($H$3,0,0,'Données projet'!$E$10+1,1))</f>
        <v>456.86058467343139</v>
      </c>
      <c r="AO164" s="60">
        <f t="shared" si="144"/>
        <v>243.88495931574937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69.021509517170244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-5.6843418860808015E-14</v>
      </c>
      <c r="BE164" s="14">
        <f>BD164*VLOOKUP('Données projet'!$B$11,Paramètres!$A$1:$I$89,3,0)*VLOOKUP('Données projet'!$B$11,Paramètres!$A$1:$I$89,5,0)</f>
        <v>-5.9412741393316544E-14</v>
      </c>
      <c r="BF164" s="14" t="e">
        <f t="shared" si="167"/>
        <v>#NUM!</v>
      </c>
      <c r="BG164" s="22" t="e">
        <f t="shared" si="168"/>
        <v>#NUM!</v>
      </c>
      <c r="BH164" s="60" t="e">
        <f t="shared" si="116"/>
        <v>#NUM!</v>
      </c>
      <c r="BI164" s="60">
        <f ca="1">AVERAGE(OFFSET($BH$3,0,0,'Données projet'!$E$11+1,1))-AVERAGE(OFFSET($H$3,0,0,'Données projet'!$E$11+1,1))</f>
        <v>518.47226207416952</v>
      </c>
      <c r="BJ164" s="60">
        <f t="shared" si="146"/>
        <v>314.6379787306804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69.021509517170244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-9.0949470177292824E-13</v>
      </c>
      <c r="BZ164" s="14">
        <f>BY164*VLOOKUP('Données projet'!$B$12,Paramètres!$A$1:$I$89,3,0)*VLOOKUP('Données projet'!$B$12,Paramètres!$A$1:$I$89,5,0)</f>
        <v>-9.7898009698837998E-13</v>
      </c>
      <c r="CA164" s="14" t="e">
        <f t="shared" si="170"/>
        <v>#NUM!</v>
      </c>
      <c r="CB164" s="22" t="e">
        <f t="shared" si="171"/>
        <v>#NUM!</v>
      </c>
      <c r="CC164" s="60" t="e">
        <f t="shared" si="119"/>
        <v>#NUM!</v>
      </c>
      <c r="CD164" s="60">
        <f ca="1">AVERAGE(OFFSET($CC$3,0,0,'Données projet'!$E$12+1,1))-AVERAGE(OFFSET($H$3,0,0,'Données projet'!$E$12+1,1))</f>
        <v>530.32456073177104</v>
      </c>
      <c r="CE164" s="60">
        <f t="shared" si="148"/>
        <v>279.81519428470625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69.021509517170244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3.4106051316484809E-13</v>
      </c>
      <c r="CU164" s="18">
        <f>CT164*VLOOKUP('Données projet'!$B$13,Paramètres!$A$1:$I$89,3,0)*VLOOKUP('Données projet'!$B$13,Paramètres!$A$1:$I$89,5,0)</f>
        <v>2.9795046430081134E-13</v>
      </c>
      <c r="CV164" s="14">
        <f t="shared" si="173"/>
        <v>3.9419014464513778E-12</v>
      </c>
      <c r="CW164" s="22">
        <f t="shared" si="174"/>
        <v>7.384408744560063E-12</v>
      </c>
      <c r="CX164" s="60">
        <f t="shared" si="122"/>
        <v>289.7455348962983</v>
      </c>
      <c r="CY164" s="60">
        <f ca="1">AVERAGE(OFFSET($CX$3,0,0,'Données projet'!$E$13+1,1))-AVERAGE(OFFSET($H$3,0,0,'Données projet'!$E$13+1,1))</f>
        <v>355.03862261578701</v>
      </c>
      <c r="CZ164" s="60">
        <f t="shared" si="150"/>
        <v>382.84441399266029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69.021509517170244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1.1368683772161603E-13</v>
      </c>
      <c r="DP164" s="18">
        <f>DO164*VLOOKUP('Données projet'!$B$14,Paramètres!$A$1:$I$89,3,0)*VLOOKUP('Données projet'!$B$14,Paramètres!$A$1:$I$89,5,0)</f>
        <v>8.8675733422860506E-14</v>
      </c>
      <c r="DQ164" s="14">
        <f t="shared" si="176"/>
        <v>1.3509285393066301E-12</v>
      </c>
      <c r="DR164" s="22">
        <f t="shared" si="177"/>
        <v>2.5073107750038623E-12</v>
      </c>
      <c r="DS164" s="60">
        <f t="shared" si="125"/>
        <v>289.74553489629341</v>
      </c>
      <c r="DT164" s="60">
        <f ca="1">AVERAGE(OFFSET($DS$3,0,0,'Données projet'!$E$14+1,1))-AVERAGE(OFFSET($H$3,0,0,'Données projet'!$E$14+1,1))</f>
        <v>305.68891030516761</v>
      </c>
      <c r="DU164" s="60">
        <f t="shared" si="152"/>
        <v>296.00275062228275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69.021509517170244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-9.0949470177292824E-13</v>
      </c>
      <c r="EK164" s="18">
        <f>EJ164*VLOOKUP('Données projet'!$B$15,Paramètres!$A$1:$I$89,3,0)*VLOOKUP('Données projet'!$B$15,Paramètres!$A$1:$I$89,5,0)</f>
        <v>-8.7966327555477625E-13</v>
      </c>
      <c r="EL164" s="14" t="e">
        <f t="shared" si="179"/>
        <v>#NUM!</v>
      </c>
      <c r="EM164" s="22" t="e">
        <f t="shared" si="180"/>
        <v>#NUM!</v>
      </c>
      <c r="EN164" s="60" t="e">
        <f t="shared" si="128"/>
        <v>#NUM!</v>
      </c>
      <c r="EO164" s="60">
        <f ca="1">AVERAGE(OFFSET($EN$3,0,0,'Données projet'!$E$15+1,1))-AVERAGE(OFFSET($H$3,0,0,'Données projet'!$E$15+1,1))</f>
        <v>483.60545605360528</v>
      </c>
      <c r="EP164" s="60">
        <f t="shared" si="154"/>
        <v>256.96685577560345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69.021509517170244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0" t="e">
        <f t="shared" si="131"/>
        <v>#N/A</v>
      </c>
      <c r="FJ164" s="60" t="e">
        <f ca="1">AVERAGE(OFFSET($FI$3,0,0,'Données projet'!$E$16+1,1))-AVERAGE(OFFSET($H$3,0,0,'Données projet'!$E$16+1,1))</f>
        <v>#N/A</v>
      </c>
      <c r="FK164" s="60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69.021509517170244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0" t="e">
        <f t="shared" si="134"/>
        <v>#N/A</v>
      </c>
      <c r="GE164" s="60" t="e">
        <f ca="1">AVERAGE(OFFSET($GD$3,0,0,'Données projet'!$E$17+1,1))-AVERAGE(OFFSET($H$3,0,0,'Données projet'!$E$17+1,1))</f>
        <v>#N/A</v>
      </c>
      <c r="GF164" s="60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69.021509517170244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4">
        <f>'Scénario référence'!$B$16*5+'Scénario référence'!$B$17*0+'Scénario référence'!$B$18*5</f>
        <v>3.2750000000000004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12.008333333333335</v>
      </c>
      <c r="H165" s="67">
        <f t="shared" si="110"/>
        <v>208.63333333333333</v>
      </c>
      <c r="I165" s="7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69.038484139470341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-9.0949470177292824E-13</v>
      </c>
      <c r="O165" s="14">
        <f>N165*VLOOKUP('Données projet'!$B$9,Paramètres!$A$1:$I$89,3,0)*VLOOKUP('Données projet'!$B$9,Paramètres!$A$1:$I$89,5,0)</f>
        <v>-9.2222762759774924E-13</v>
      </c>
      <c r="P165" s="14" t="e">
        <f t="shared" si="141"/>
        <v>#NUM!</v>
      </c>
      <c r="Q165" s="22" t="e">
        <f t="shared" si="162"/>
        <v>#NUM!</v>
      </c>
      <c r="R165" s="60" t="e">
        <f t="shared" si="109"/>
        <v>#NUM!</v>
      </c>
      <c r="S165" s="60">
        <f ca="1">AVERAGE(OFFSET($R$3,0,0,'Données projet'!$E$9+1,1))-AVERAGE(OFFSET($H$3,0,0,'Données projet'!$E$9+1,1))</f>
        <v>503.64055031157477</v>
      </c>
      <c r="T165" s="60">
        <f t="shared" si="142"/>
        <v>266.76572540460842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69.038484139470341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-9.0949470177292824E-13</v>
      </c>
      <c r="AJ165" s="14">
        <f>AI165*VLOOKUP('Données projet'!$B$10,Paramètres!$A$1:$I$89,3,0)*VLOOKUP('Données projet'!$B$10,Paramètres!$A$1:$I$89,5,0)</f>
        <v>-8.2291080616414541E-13</v>
      </c>
      <c r="AK165" s="14" t="e">
        <f t="shared" si="164"/>
        <v>#NUM!</v>
      </c>
      <c r="AL165" s="22" t="e">
        <f t="shared" si="165"/>
        <v>#NUM!</v>
      </c>
      <c r="AM165" s="60" t="e">
        <f t="shared" si="113"/>
        <v>#NUM!</v>
      </c>
      <c r="AN165" s="60">
        <f ca="1">AVERAGE(OFFSET($AM$3,0,0,'Données projet'!$E$10+1,1))-AVERAGE(OFFSET($H$3,0,0,'Données projet'!$E$10+1,1))</f>
        <v>456.86058467343139</v>
      </c>
      <c r="AO165" s="60">
        <f t="shared" si="144"/>
        <v>243.88495931574937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69.038484139470341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-5.6843418860808015E-14</v>
      </c>
      <c r="BE165" s="14">
        <f>BD165*VLOOKUP('Données projet'!$B$11,Paramètres!$A$1:$I$89,3,0)*VLOOKUP('Données projet'!$B$11,Paramètres!$A$1:$I$89,5,0)</f>
        <v>-5.9412741393316544E-14</v>
      </c>
      <c r="BF165" s="14" t="e">
        <f t="shared" si="167"/>
        <v>#NUM!</v>
      </c>
      <c r="BG165" s="22" t="e">
        <f t="shared" si="168"/>
        <v>#NUM!</v>
      </c>
      <c r="BH165" s="60" t="e">
        <f t="shared" si="116"/>
        <v>#NUM!</v>
      </c>
      <c r="BI165" s="60">
        <f ca="1">AVERAGE(OFFSET($BH$3,0,0,'Données projet'!$E$11+1,1))-AVERAGE(OFFSET($H$3,0,0,'Données projet'!$E$11+1,1))</f>
        <v>518.47226207416952</v>
      </c>
      <c r="BJ165" s="60">
        <f t="shared" si="146"/>
        <v>314.6379787306804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69.038484139470341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-9.0949470177292824E-13</v>
      </c>
      <c r="BZ165" s="14">
        <f>BY165*VLOOKUP('Données projet'!$B$12,Paramètres!$A$1:$I$89,3,0)*VLOOKUP('Données projet'!$B$12,Paramètres!$A$1:$I$89,5,0)</f>
        <v>-9.7898009698837998E-13</v>
      </c>
      <c r="CA165" s="14" t="e">
        <f t="shared" si="170"/>
        <v>#NUM!</v>
      </c>
      <c r="CB165" s="22" t="e">
        <f t="shared" si="171"/>
        <v>#NUM!</v>
      </c>
      <c r="CC165" s="60" t="e">
        <f t="shared" si="119"/>
        <v>#NUM!</v>
      </c>
      <c r="CD165" s="60">
        <f ca="1">AVERAGE(OFFSET($CC$3,0,0,'Données projet'!$E$12+1,1))-AVERAGE(OFFSET($H$3,0,0,'Données projet'!$E$12+1,1))</f>
        <v>530.32456073177104</v>
      </c>
      <c r="CE165" s="60">
        <f t="shared" si="148"/>
        <v>279.81519428470625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69.038484139470341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3.4106051316484809E-13</v>
      </c>
      <c r="CU165" s="18">
        <f>CT165*VLOOKUP('Données projet'!$B$13,Paramètres!$A$1:$I$89,3,0)*VLOOKUP('Données projet'!$B$13,Paramètres!$A$1:$I$89,5,0)</f>
        <v>2.9795046430081134E-13</v>
      </c>
      <c r="CV165" s="14">
        <f t="shared" si="173"/>
        <v>3.9419014464513778E-12</v>
      </c>
      <c r="CW165" s="22">
        <f t="shared" si="174"/>
        <v>7.384408744560063E-12</v>
      </c>
      <c r="CX165" s="60">
        <f t="shared" si="122"/>
        <v>289.8077751780653</v>
      </c>
      <c r="CY165" s="60">
        <f ca="1">AVERAGE(OFFSET($CX$3,0,0,'Données projet'!$E$13+1,1))-AVERAGE(OFFSET($H$3,0,0,'Données projet'!$E$13+1,1))</f>
        <v>355.03862261578701</v>
      </c>
      <c r="CZ165" s="60">
        <f t="shared" si="150"/>
        <v>382.84441399266029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69.038484139470341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1.1368683772161603E-13</v>
      </c>
      <c r="DP165" s="18">
        <f>DO165*VLOOKUP('Données projet'!$B$14,Paramètres!$A$1:$I$89,3,0)*VLOOKUP('Données projet'!$B$14,Paramètres!$A$1:$I$89,5,0)</f>
        <v>8.8675733422860506E-14</v>
      </c>
      <c r="DQ165" s="14">
        <f t="shared" si="176"/>
        <v>1.3509285393066301E-12</v>
      </c>
      <c r="DR165" s="22">
        <f t="shared" si="177"/>
        <v>2.5073107750038623E-12</v>
      </c>
      <c r="DS165" s="60">
        <f t="shared" si="125"/>
        <v>289.80777517806041</v>
      </c>
      <c r="DT165" s="60">
        <f ca="1">AVERAGE(OFFSET($DS$3,0,0,'Données projet'!$E$14+1,1))-AVERAGE(OFFSET($H$3,0,0,'Données projet'!$E$14+1,1))</f>
        <v>305.68891030516761</v>
      </c>
      <c r="DU165" s="60">
        <f t="shared" si="152"/>
        <v>296.00275062228275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69.038484139470341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-9.0949470177292824E-13</v>
      </c>
      <c r="EK165" s="18">
        <f>EJ165*VLOOKUP('Données projet'!$B$15,Paramètres!$A$1:$I$89,3,0)*VLOOKUP('Données projet'!$B$15,Paramètres!$A$1:$I$89,5,0)</f>
        <v>-8.7966327555477625E-13</v>
      </c>
      <c r="EL165" s="14" t="e">
        <f t="shared" si="179"/>
        <v>#NUM!</v>
      </c>
      <c r="EM165" s="22" t="e">
        <f t="shared" si="180"/>
        <v>#NUM!</v>
      </c>
      <c r="EN165" s="60" t="e">
        <f t="shared" si="128"/>
        <v>#NUM!</v>
      </c>
      <c r="EO165" s="60">
        <f ca="1">AVERAGE(OFFSET($EN$3,0,0,'Données projet'!$E$15+1,1))-AVERAGE(OFFSET($H$3,0,0,'Données projet'!$E$15+1,1))</f>
        <v>483.60545605360528</v>
      </c>
      <c r="EP165" s="60">
        <f t="shared" si="154"/>
        <v>256.96685577560345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69.038484139470341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0" t="e">
        <f t="shared" si="131"/>
        <v>#N/A</v>
      </c>
      <c r="FJ165" s="60" t="e">
        <f ca="1">AVERAGE(OFFSET($FI$3,0,0,'Données projet'!$E$16+1,1))-AVERAGE(OFFSET($H$3,0,0,'Données projet'!$E$16+1,1))</f>
        <v>#N/A</v>
      </c>
      <c r="FK165" s="60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69.038484139470341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0" t="e">
        <f t="shared" si="134"/>
        <v>#N/A</v>
      </c>
      <c r="GE165" s="60" t="e">
        <f ca="1">AVERAGE(OFFSET($GD$3,0,0,'Données projet'!$E$17+1,1))-AVERAGE(OFFSET($H$3,0,0,'Données projet'!$E$17+1,1))</f>
        <v>#N/A</v>
      </c>
      <c r="GF165" s="60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69.038484139470341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4">
        <f>'Scénario référence'!$B$16*5+'Scénario référence'!$B$17*0+'Scénario référence'!$B$18*5</f>
        <v>3.2750000000000004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12.008333333333335</v>
      </c>
      <c r="H166" s="67">
        <f t="shared" si="110"/>
        <v>208.63333333333333</v>
      </c>
      <c r="I166" s="7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69.0551642900231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-9.0949470177292824E-13</v>
      </c>
      <c r="O166" s="14">
        <f>N166*VLOOKUP('Données projet'!$B$9,Paramètres!$A$1:$I$89,3,0)*VLOOKUP('Données projet'!$B$9,Paramètres!$A$1:$I$89,5,0)</f>
        <v>-9.2222762759774924E-13</v>
      </c>
      <c r="P166" s="14" t="e">
        <f t="shared" si="141"/>
        <v>#NUM!</v>
      </c>
      <c r="Q166" s="22" t="e">
        <f t="shared" si="162"/>
        <v>#NUM!</v>
      </c>
      <c r="R166" s="60" t="e">
        <f t="shared" si="109"/>
        <v>#NUM!</v>
      </c>
      <c r="S166" s="60">
        <f ca="1">AVERAGE(OFFSET($R$3,0,0,'Données projet'!$E$9+1,1))-AVERAGE(OFFSET($H$3,0,0,'Données projet'!$E$9+1,1))</f>
        <v>503.64055031157477</v>
      </c>
      <c r="T166" s="60">
        <f t="shared" si="142"/>
        <v>266.76572540460842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69.0551642900231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-9.0949470177292824E-13</v>
      </c>
      <c r="AJ166" s="14">
        <f>AI166*VLOOKUP('Données projet'!$B$10,Paramètres!$A$1:$I$89,3,0)*VLOOKUP('Données projet'!$B$10,Paramètres!$A$1:$I$89,5,0)</f>
        <v>-8.2291080616414541E-13</v>
      </c>
      <c r="AK166" s="14" t="e">
        <f t="shared" si="164"/>
        <v>#NUM!</v>
      </c>
      <c r="AL166" s="22" t="e">
        <f t="shared" si="165"/>
        <v>#NUM!</v>
      </c>
      <c r="AM166" s="60" t="e">
        <f t="shared" si="113"/>
        <v>#NUM!</v>
      </c>
      <c r="AN166" s="60">
        <f ca="1">AVERAGE(OFFSET($AM$3,0,0,'Données projet'!$E$10+1,1))-AVERAGE(OFFSET($H$3,0,0,'Données projet'!$E$10+1,1))</f>
        <v>456.86058467343139</v>
      </c>
      <c r="AO166" s="60">
        <f t="shared" si="144"/>
        <v>243.88495931574937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69.0551642900231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-5.6843418860808015E-14</v>
      </c>
      <c r="BE166" s="14">
        <f>BD166*VLOOKUP('Données projet'!$B$11,Paramètres!$A$1:$I$89,3,0)*VLOOKUP('Données projet'!$B$11,Paramètres!$A$1:$I$89,5,0)</f>
        <v>-5.9412741393316544E-14</v>
      </c>
      <c r="BF166" s="14" t="e">
        <f t="shared" si="167"/>
        <v>#NUM!</v>
      </c>
      <c r="BG166" s="22" t="e">
        <f t="shared" si="168"/>
        <v>#NUM!</v>
      </c>
      <c r="BH166" s="60" t="e">
        <f t="shared" si="116"/>
        <v>#NUM!</v>
      </c>
      <c r="BI166" s="60">
        <f ca="1">AVERAGE(OFFSET($BH$3,0,0,'Données projet'!$E$11+1,1))-AVERAGE(OFFSET($H$3,0,0,'Données projet'!$E$11+1,1))</f>
        <v>518.47226207416952</v>
      </c>
      <c r="BJ166" s="60">
        <f t="shared" si="146"/>
        <v>314.6379787306804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69.0551642900231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-9.0949470177292824E-13</v>
      </c>
      <c r="BZ166" s="14">
        <f>BY166*VLOOKUP('Données projet'!$B$12,Paramètres!$A$1:$I$89,3,0)*VLOOKUP('Données projet'!$B$12,Paramètres!$A$1:$I$89,5,0)</f>
        <v>-9.7898009698837998E-13</v>
      </c>
      <c r="CA166" s="14" t="e">
        <f t="shared" si="170"/>
        <v>#NUM!</v>
      </c>
      <c r="CB166" s="22" t="e">
        <f t="shared" si="171"/>
        <v>#NUM!</v>
      </c>
      <c r="CC166" s="60" t="e">
        <f t="shared" si="119"/>
        <v>#NUM!</v>
      </c>
      <c r="CD166" s="60">
        <f ca="1">AVERAGE(OFFSET($CC$3,0,0,'Données projet'!$E$12+1,1))-AVERAGE(OFFSET($H$3,0,0,'Données projet'!$E$12+1,1))</f>
        <v>530.32456073177104</v>
      </c>
      <c r="CE166" s="60">
        <f t="shared" si="148"/>
        <v>279.81519428470625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69.0551642900231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3.4106051316484809E-13</v>
      </c>
      <c r="CU166" s="18">
        <f>CT166*VLOOKUP('Données projet'!$B$13,Paramètres!$A$1:$I$89,3,0)*VLOOKUP('Données projet'!$B$13,Paramètres!$A$1:$I$89,5,0)</f>
        <v>2.9795046430081134E-13</v>
      </c>
      <c r="CV166" s="14">
        <f t="shared" si="173"/>
        <v>3.9419014464513778E-12</v>
      </c>
      <c r="CW166" s="22">
        <f t="shared" si="174"/>
        <v>7.384408744560063E-12</v>
      </c>
      <c r="CX166" s="60">
        <f t="shared" si="122"/>
        <v>289.86893573009212</v>
      </c>
      <c r="CY166" s="60">
        <f ca="1">AVERAGE(OFFSET($CX$3,0,0,'Données projet'!$E$13+1,1))-AVERAGE(OFFSET($H$3,0,0,'Données projet'!$E$13+1,1))</f>
        <v>355.03862261578701</v>
      </c>
      <c r="CZ166" s="60">
        <f t="shared" si="150"/>
        <v>382.84441399266029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69.0551642900231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1.1368683772161603E-13</v>
      </c>
      <c r="DP166" s="18">
        <f>DO166*VLOOKUP('Données projet'!$B$14,Paramètres!$A$1:$I$89,3,0)*VLOOKUP('Données projet'!$B$14,Paramètres!$A$1:$I$89,5,0)</f>
        <v>8.8675733422860506E-14</v>
      </c>
      <c r="DQ166" s="14">
        <f t="shared" si="176"/>
        <v>1.3509285393066301E-12</v>
      </c>
      <c r="DR166" s="22">
        <f t="shared" si="177"/>
        <v>2.5073107750038623E-12</v>
      </c>
      <c r="DS166" s="60">
        <f t="shared" si="125"/>
        <v>289.86893573008723</v>
      </c>
      <c r="DT166" s="60">
        <f ca="1">AVERAGE(OFFSET($DS$3,0,0,'Données projet'!$E$14+1,1))-AVERAGE(OFFSET($H$3,0,0,'Données projet'!$E$14+1,1))</f>
        <v>305.68891030516761</v>
      </c>
      <c r="DU166" s="60">
        <f t="shared" si="152"/>
        <v>296.00275062228275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69.0551642900231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-9.0949470177292824E-13</v>
      </c>
      <c r="EK166" s="18">
        <f>EJ166*VLOOKUP('Données projet'!$B$15,Paramètres!$A$1:$I$89,3,0)*VLOOKUP('Données projet'!$B$15,Paramètres!$A$1:$I$89,5,0)</f>
        <v>-8.7966327555477625E-13</v>
      </c>
      <c r="EL166" s="14" t="e">
        <f t="shared" si="179"/>
        <v>#NUM!</v>
      </c>
      <c r="EM166" s="22" t="e">
        <f t="shared" si="180"/>
        <v>#NUM!</v>
      </c>
      <c r="EN166" s="60" t="e">
        <f t="shared" si="128"/>
        <v>#NUM!</v>
      </c>
      <c r="EO166" s="60">
        <f ca="1">AVERAGE(OFFSET($EN$3,0,0,'Données projet'!$E$15+1,1))-AVERAGE(OFFSET($H$3,0,0,'Données projet'!$E$15+1,1))</f>
        <v>483.60545605360528</v>
      </c>
      <c r="EP166" s="60">
        <f t="shared" si="154"/>
        <v>256.96685577560345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69.0551642900231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0" t="e">
        <f t="shared" si="131"/>
        <v>#N/A</v>
      </c>
      <c r="FJ166" s="60" t="e">
        <f ca="1">AVERAGE(OFFSET($FI$3,0,0,'Données projet'!$E$16+1,1))-AVERAGE(OFFSET($H$3,0,0,'Données projet'!$E$16+1,1))</f>
        <v>#N/A</v>
      </c>
      <c r="FK166" s="60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69.0551642900231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0" t="e">
        <f t="shared" si="134"/>
        <v>#N/A</v>
      </c>
      <c r="GE166" s="60" t="e">
        <f ca="1">AVERAGE(OFFSET($GD$3,0,0,'Données projet'!$E$17+1,1))-AVERAGE(OFFSET($H$3,0,0,'Données projet'!$E$17+1,1))</f>
        <v>#N/A</v>
      </c>
      <c r="GF166" s="60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69.0551642900231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4">
        <f>'Scénario référence'!$B$16*5+'Scénario référence'!$B$17*0+'Scénario référence'!$B$18*5</f>
        <v>3.2750000000000004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12.008333333333335</v>
      </c>
      <c r="H167" s="67">
        <f t="shared" si="110"/>
        <v>208.63333333333333</v>
      </c>
      <c r="I167" s="7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69.071555077254999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-9.0949470177292824E-13</v>
      </c>
      <c r="O167" s="14">
        <f>N167*VLOOKUP('Données projet'!$B$9,Paramètres!$A$1:$I$89,3,0)*VLOOKUP('Données projet'!$B$9,Paramètres!$A$1:$I$89,5,0)</f>
        <v>-9.2222762759774924E-13</v>
      </c>
      <c r="P167" s="14" t="e">
        <f t="shared" si="141"/>
        <v>#NUM!</v>
      </c>
      <c r="Q167" s="22" t="e">
        <f t="shared" si="162"/>
        <v>#NUM!</v>
      </c>
      <c r="R167" s="60" t="e">
        <f t="shared" si="109"/>
        <v>#NUM!</v>
      </c>
      <c r="S167" s="60">
        <f ca="1">AVERAGE(OFFSET($R$3,0,0,'Données projet'!$E$9+1,1))-AVERAGE(OFFSET($H$3,0,0,'Données projet'!$E$9+1,1))</f>
        <v>503.64055031157477</v>
      </c>
      <c r="T167" s="60">
        <f t="shared" si="142"/>
        <v>266.76572540460842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69.071555077254999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-9.0949470177292824E-13</v>
      </c>
      <c r="AJ167" s="14">
        <f>AI167*VLOOKUP('Données projet'!$B$10,Paramètres!$A$1:$I$89,3,0)*VLOOKUP('Données projet'!$B$10,Paramètres!$A$1:$I$89,5,0)</f>
        <v>-8.2291080616414541E-13</v>
      </c>
      <c r="AK167" s="14" t="e">
        <f t="shared" si="164"/>
        <v>#NUM!</v>
      </c>
      <c r="AL167" s="22" t="e">
        <f t="shared" si="165"/>
        <v>#NUM!</v>
      </c>
      <c r="AM167" s="60" t="e">
        <f t="shared" si="113"/>
        <v>#NUM!</v>
      </c>
      <c r="AN167" s="60">
        <f ca="1">AVERAGE(OFFSET($AM$3,0,0,'Données projet'!$E$10+1,1))-AVERAGE(OFFSET($H$3,0,0,'Données projet'!$E$10+1,1))</f>
        <v>456.86058467343139</v>
      </c>
      <c r="AO167" s="60">
        <f t="shared" si="144"/>
        <v>243.88495931574937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69.071555077254999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-5.6843418860808015E-14</v>
      </c>
      <c r="BE167" s="14">
        <f>BD167*VLOOKUP('Données projet'!$B$11,Paramètres!$A$1:$I$89,3,0)*VLOOKUP('Données projet'!$B$11,Paramètres!$A$1:$I$89,5,0)</f>
        <v>-5.9412741393316544E-14</v>
      </c>
      <c r="BF167" s="14" t="e">
        <f t="shared" si="167"/>
        <v>#NUM!</v>
      </c>
      <c r="BG167" s="22" t="e">
        <f t="shared" si="168"/>
        <v>#NUM!</v>
      </c>
      <c r="BH167" s="60" t="e">
        <f t="shared" si="116"/>
        <v>#NUM!</v>
      </c>
      <c r="BI167" s="60">
        <f ca="1">AVERAGE(OFFSET($BH$3,0,0,'Données projet'!$E$11+1,1))-AVERAGE(OFFSET($H$3,0,0,'Données projet'!$E$11+1,1))</f>
        <v>518.47226207416952</v>
      </c>
      <c r="BJ167" s="60">
        <f t="shared" si="146"/>
        <v>314.6379787306804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69.071555077254999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-9.0949470177292824E-13</v>
      </c>
      <c r="BZ167" s="14">
        <f>BY167*VLOOKUP('Données projet'!$B$12,Paramètres!$A$1:$I$89,3,0)*VLOOKUP('Données projet'!$B$12,Paramètres!$A$1:$I$89,5,0)</f>
        <v>-9.7898009698837998E-13</v>
      </c>
      <c r="CA167" s="14" t="e">
        <f t="shared" si="170"/>
        <v>#NUM!</v>
      </c>
      <c r="CB167" s="22" t="e">
        <f t="shared" si="171"/>
        <v>#NUM!</v>
      </c>
      <c r="CC167" s="60" t="e">
        <f t="shared" si="119"/>
        <v>#NUM!</v>
      </c>
      <c r="CD167" s="60">
        <f ca="1">AVERAGE(OFFSET($CC$3,0,0,'Données projet'!$E$12+1,1))-AVERAGE(OFFSET($H$3,0,0,'Données projet'!$E$12+1,1))</f>
        <v>530.32456073177104</v>
      </c>
      <c r="CE167" s="60">
        <f t="shared" si="148"/>
        <v>279.81519428470625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69.071555077254999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3.4106051316484809E-13</v>
      </c>
      <c r="CU167" s="18">
        <f>CT167*VLOOKUP('Données projet'!$B$13,Paramètres!$A$1:$I$89,3,0)*VLOOKUP('Données projet'!$B$13,Paramètres!$A$1:$I$89,5,0)</f>
        <v>2.9795046430081134E-13</v>
      </c>
      <c r="CV167" s="14">
        <f t="shared" si="173"/>
        <v>3.9419014464513778E-12</v>
      </c>
      <c r="CW167" s="22">
        <f t="shared" si="174"/>
        <v>7.384408744560063E-12</v>
      </c>
      <c r="CX167" s="60">
        <f t="shared" si="122"/>
        <v>289.92903528327571</v>
      </c>
      <c r="CY167" s="60">
        <f ca="1">AVERAGE(OFFSET($CX$3,0,0,'Données projet'!$E$13+1,1))-AVERAGE(OFFSET($H$3,0,0,'Données projet'!$E$13+1,1))</f>
        <v>355.03862261578701</v>
      </c>
      <c r="CZ167" s="60">
        <f t="shared" si="150"/>
        <v>382.84441399266029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69.071555077254999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1.1368683772161603E-13</v>
      </c>
      <c r="DP167" s="18">
        <f>DO167*VLOOKUP('Données projet'!$B$14,Paramètres!$A$1:$I$89,3,0)*VLOOKUP('Données projet'!$B$14,Paramètres!$A$1:$I$89,5,0)</f>
        <v>8.8675733422860506E-14</v>
      </c>
      <c r="DQ167" s="14">
        <f t="shared" si="176"/>
        <v>1.3509285393066301E-12</v>
      </c>
      <c r="DR167" s="22">
        <f t="shared" si="177"/>
        <v>2.5073107750038623E-12</v>
      </c>
      <c r="DS167" s="60">
        <f t="shared" si="125"/>
        <v>289.92903528327082</v>
      </c>
      <c r="DT167" s="60">
        <f ca="1">AVERAGE(OFFSET($DS$3,0,0,'Données projet'!$E$14+1,1))-AVERAGE(OFFSET($H$3,0,0,'Données projet'!$E$14+1,1))</f>
        <v>305.68891030516761</v>
      </c>
      <c r="DU167" s="60">
        <f t="shared" si="152"/>
        <v>296.00275062228275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69.071555077254999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-9.0949470177292824E-13</v>
      </c>
      <c r="EK167" s="18">
        <f>EJ167*VLOOKUP('Données projet'!$B$15,Paramètres!$A$1:$I$89,3,0)*VLOOKUP('Données projet'!$B$15,Paramètres!$A$1:$I$89,5,0)</f>
        <v>-8.7966327555477625E-13</v>
      </c>
      <c r="EL167" s="14" t="e">
        <f t="shared" si="179"/>
        <v>#NUM!</v>
      </c>
      <c r="EM167" s="22" t="e">
        <f t="shared" si="180"/>
        <v>#NUM!</v>
      </c>
      <c r="EN167" s="60" t="e">
        <f t="shared" si="128"/>
        <v>#NUM!</v>
      </c>
      <c r="EO167" s="60">
        <f ca="1">AVERAGE(OFFSET($EN$3,0,0,'Données projet'!$E$15+1,1))-AVERAGE(OFFSET($H$3,0,0,'Données projet'!$E$15+1,1))</f>
        <v>483.60545605360528</v>
      </c>
      <c r="EP167" s="60">
        <f t="shared" si="154"/>
        <v>256.96685577560345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69.071555077254999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0" t="e">
        <f t="shared" si="131"/>
        <v>#N/A</v>
      </c>
      <c r="FJ167" s="60" t="e">
        <f ca="1">AVERAGE(OFFSET($FI$3,0,0,'Données projet'!$E$16+1,1))-AVERAGE(OFFSET($H$3,0,0,'Données projet'!$E$16+1,1))</f>
        <v>#N/A</v>
      </c>
      <c r="FK167" s="60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69.071555077254999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0" t="e">
        <f t="shared" si="134"/>
        <v>#N/A</v>
      </c>
      <c r="GE167" s="60" t="e">
        <f ca="1">AVERAGE(OFFSET($GD$3,0,0,'Données projet'!$E$17+1,1))-AVERAGE(OFFSET($H$3,0,0,'Données projet'!$E$17+1,1))</f>
        <v>#N/A</v>
      </c>
      <c r="GF167" s="60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69.071555077254999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4">
        <f>'Scénario référence'!$B$16*5+'Scénario référence'!$B$17*0+'Scénario référence'!$B$18*5</f>
        <v>3.2750000000000004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12.008333333333335</v>
      </c>
      <c r="H168" s="67">
        <f t="shared" si="110"/>
        <v>208.63333333333333</v>
      </c>
      <c r="I168" s="7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69.087661520972745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-9.0949470177292824E-13</v>
      </c>
      <c r="O168" s="14">
        <f>N168*VLOOKUP('Données projet'!$B$9,Paramètres!$A$1:$I$89,3,0)*VLOOKUP('Données projet'!$B$9,Paramètres!$A$1:$I$89,5,0)</f>
        <v>-9.2222762759774924E-13</v>
      </c>
      <c r="P168" s="14" t="e">
        <f t="shared" si="141"/>
        <v>#NUM!</v>
      </c>
      <c r="Q168" s="22" t="e">
        <f t="shared" si="162"/>
        <v>#NUM!</v>
      </c>
      <c r="R168" s="60" t="e">
        <f t="shared" si="109"/>
        <v>#NUM!</v>
      </c>
      <c r="S168" s="60">
        <f ca="1">AVERAGE(OFFSET($R$3,0,0,'Données projet'!$E$9+1,1))-AVERAGE(OFFSET($H$3,0,0,'Données projet'!$E$9+1,1))</f>
        <v>503.64055031157477</v>
      </c>
      <c r="T168" s="60">
        <f t="shared" si="142"/>
        <v>266.76572540460842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69.087661520972745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-9.0949470177292824E-13</v>
      </c>
      <c r="AJ168" s="14">
        <f>AI168*VLOOKUP('Données projet'!$B$10,Paramètres!$A$1:$I$89,3,0)*VLOOKUP('Données projet'!$B$10,Paramètres!$A$1:$I$89,5,0)</f>
        <v>-8.2291080616414541E-13</v>
      </c>
      <c r="AK168" s="14" t="e">
        <f t="shared" si="164"/>
        <v>#NUM!</v>
      </c>
      <c r="AL168" s="22" t="e">
        <f t="shared" si="165"/>
        <v>#NUM!</v>
      </c>
      <c r="AM168" s="60" t="e">
        <f t="shared" si="113"/>
        <v>#NUM!</v>
      </c>
      <c r="AN168" s="60">
        <f ca="1">AVERAGE(OFFSET($AM$3,0,0,'Données projet'!$E$10+1,1))-AVERAGE(OFFSET($H$3,0,0,'Données projet'!$E$10+1,1))</f>
        <v>456.86058467343139</v>
      </c>
      <c r="AO168" s="60">
        <f t="shared" si="144"/>
        <v>243.88495931574937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69.087661520972745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-5.6843418860808015E-14</v>
      </c>
      <c r="BE168" s="14">
        <f>BD168*VLOOKUP('Données projet'!$B$11,Paramètres!$A$1:$I$89,3,0)*VLOOKUP('Données projet'!$B$11,Paramètres!$A$1:$I$89,5,0)</f>
        <v>-5.9412741393316544E-14</v>
      </c>
      <c r="BF168" s="14" t="e">
        <f t="shared" si="167"/>
        <v>#NUM!</v>
      </c>
      <c r="BG168" s="22" t="e">
        <f t="shared" si="168"/>
        <v>#NUM!</v>
      </c>
      <c r="BH168" s="60" t="e">
        <f t="shared" si="116"/>
        <v>#NUM!</v>
      </c>
      <c r="BI168" s="60">
        <f ca="1">AVERAGE(OFFSET($BH$3,0,0,'Données projet'!$E$11+1,1))-AVERAGE(OFFSET($H$3,0,0,'Données projet'!$E$11+1,1))</f>
        <v>518.47226207416952</v>
      </c>
      <c r="BJ168" s="60">
        <f t="shared" si="146"/>
        <v>314.6379787306804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69.087661520972745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-9.0949470177292824E-13</v>
      </c>
      <c r="BZ168" s="14">
        <f>BY168*VLOOKUP('Données projet'!$B$12,Paramètres!$A$1:$I$89,3,0)*VLOOKUP('Données projet'!$B$12,Paramètres!$A$1:$I$89,5,0)</f>
        <v>-9.7898009698837998E-13</v>
      </c>
      <c r="CA168" s="14" t="e">
        <f t="shared" si="170"/>
        <v>#NUM!</v>
      </c>
      <c r="CB168" s="22" t="e">
        <f t="shared" si="171"/>
        <v>#NUM!</v>
      </c>
      <c r="CC168" s="60" t="e">
        <f t="shared" si="119"/>
        <v>#NUM!</v>
      </c>
      <c r="CD168" s="60">
        <f ca="1">AVERAGE(OFFSET($CC$3,0,0,'Données projet'!$E$12+1,1))-AVERAGE(OFFSET($H$3,0,0,'Données projet'!$E$12+1,1))</f>
        <v>530.32456073177104</v>
      </c>
      <c r="CE168" s="60">
        <f t="shared" si="148"/>
        <v>279.81519428470625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69.087661520972745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3.4106051316484809E-13</v>
      </c>
      <c r="CU168" s="18">
        <f>CT168*VLOOKUP('Données projet'!$B$13,Paramètres!$A$1:$I$89,3,0)*VLOOKUP('Données projet'!$B$13,Paramètres!$A$1:$I$89,5,0)</f>
        <v>2.9795046430081134E-13</v>
      </c>
      <c r="CV168" s="14">
        <f t="shared" si="173"/>
        <v>3.9419014464513778E-12</v>
      </c>
      <c r="CW168" s="22">
        <f t="shared" si="174"/>
        <v>7.384408744560063E-12</v>
      </c>
      <c r="CX168" s="60">
        <f t="shared" si="122"/>
        <v>289.98809224357416</v>
      </c>
      <c r="CY168" s="60">
        <f ca="1">AVERAGE(OFFSET($CX$3,0,0,'Données projet'!$E$13+1,1))-AVERAGE(OFFSET($H$3,0,0,'Données projet'!$E$13+1,1))</f>
        <v>355.03862261578701</v>
      </c>
      <c r="CZ168" s="60">
        <f t="shared" si="150"/>
        <v>382.84441399266029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69.087661520972745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1.1368683772161603E-13</v>
      </c>
      <c r="DP168" s="18">
        <f>DO168*VLOOKUP('Données projet'!$B$14,Paramètres!$A$1:$I$89,3,0)*VLOOKUP('Données projet'!$B$14,Paramètres!$A$1:$I$89,5,0)</f>
        <v>8.8675733422860506E-14</v>
      </c>
      <c r="DQ168" s="14">
        <f t="shared" si="176"/>
        <v>1.3509285393066301E-12</v>
      </c>
      <c r="DR168" s="22">
        <f t="shared" si="177"/>
        <v>2.5073107750038623E-12</v>
      </c>
      <c r="DS168" s="60">
        <f t="shared" si="125"/>
        <v>289.98809224356927</v>
      </c>
      <c r="DT168" s="60">
        <f ca="1">AVERAGE(OFFSET($DS$3,0,0,'Données projet'!$E$14+1,1))-AVERAGE(OFFSET($H$3,0,0,'Données projet'!$E$14+1,1))</f>
        <v>305.68891030516761</v>
      </c>
      <c r="DU168" s="60">
        <f t="shared" si="152"/>
        <v>296.00275062228275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69.087661520972745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-9.0949470177292824E-13</v>
      </c>
      <c r="EK168" s="18">
        <f>EJ168*VLOOKUP('Données projet'!$B$15,Paramètres!$A$1:$I$89,3,0)*VLOOKUP('Données projet'!$B$15,Paramètres!$A$1:$I$89,5,0)</f>
        <v>-8.7966327555477625E-13</v>
      </c>
      <c r="EL168" s="14" t="e">
        <f t="shared" si="179"/>
        <v>#NUM!</v>
      </c>
      <c r="EM168" s="22" t="e">
        <f t="shared" si="180"/>
        <v>#NUM!</v>
      </c>
      <c r="EN168" s="60" t="e">
        <f t="shared" si="128"/>
        <v>#NUM!</v>
      </c>
      <c r="EO168" s="60">
        <f ca="1">AVERAGE(OFFSET($EN$3,0,0,'Données projet'!$E$15+1,1))-AVERAGE(OFFSET($H$3,0,0,'Données projet'!$E$15+1,1))</f>
        <v>483.60545605360528</v>
      </c>
      <c r="EP168" s="60">
        <f t="shared" si="154"/>
        <v>256.96685577560345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69.087661520972745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0" t="e">
        <f t="shared" si="131"/>
        <v>#N/A</v>
      </c>
      <c r="FJ168" s="60" t="e">
        <f ca="1">AVERAGE(OFFSET($FI$3,0,0,'Données projet'!$E$16+1,1))-AVERAGE(OFFSET($H$3,0,0,'Données projet'!$E$16+1,1))</f>
        <v>#N/A</v>
      </c>
      <c r="FK168" s="60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69.087661520972745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0" t="e">
        <f t="shared" si="134"/>
        <v>#N/A</v>
      </c>
      <c r="GE168" s="60" t="e">
        <f ca="1">AVERAGE(OFFSET($GD$3,0,0,'Données projet'!$E$17+1,1))-AVERAGE(OFFSET($H$3,0,0,'Données projet'!$E$17+1,1))</f>
        <v>#N/A</v>
      </c>
      <c r="GF168" s="60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69.087661520972745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4">
        <f>'Scénario référence'!$B$16*5+'Scénario référence'!$B$17*0+'Scénario référence'!$B$18*5</f>
        <v>3.2750000000000004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12.008333333333335</v>
      </c>
      <c r="H169" s="67">
        <f t="shared" si="110"/>
        <v>208.63333333333333</v>
      </c>
      <c r="I169" s="7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69.103488553900604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-9.0949470177292824E-13</v>
      </c>
      <c r="O169" s="14">
        <f>N169*VLOOKUP('Données projet'!$B$9,Paramètres!$A$1:$I$89,3,0)*VLOOKUP('Données projet'!$B$9,Paramètres!$A$1:$I$89,5,0)</f>
        <v>-9.2222762759774924E-13</v>
      </c>
      <c r="P169" s="14" t="e">
        <f t="shared" si="141"/>
        <v>#NUM!</v>
      </c>
      <c r="Q169" s="22" t="e">
        <f t="shared" si="162"/>
        <v>#NUM!</v>
      </c>
      <c r="R169" s="60" t="e">
        <f t="shared" si="109"/>
        <v>#NUM!</v>
      </c>
      <c r="S169" s="60">
        <f ca="1">AVERAGE(OFFSET($R$3,0,0,'Données projet'!$E$9+1,1))-AVERAGE(OFFSET($H$3,0,0,'Données projet'!$E$9+1,1))</f>
        <v>503.64055031157477</v>
      </c>
      <c r="T169" s="60">
        <f t="shared" si="142"/>
        <v>266.76572540460842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69.103488553900604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-9.0949470177292824E-13</v>
      </c>
      <c r="AJ169" s="14">
        <f>AI169*VLOOKUP('Données projet'!$B$10,Paramètres!$A$1:$I$89,3,0)*VLOOKUP('Données projet'!$B$10,Paramètres!$A$1:$I$89,5,0)</f>
        <v>-8.2291080616414541E-13</v>
      </c>
      <c r="AK169" s="14" t="e">
        <f t="shared" si="164"/>
        <v>#NUM!</v>
      </c>
      <c r="AL169" s="22" t="e">
        <f t="shared" si="165"/>
        <v>#NUM!</v>
      </c>
      <c r="AM169" s="60" t="e">
        <f t="shared" si="113"/>
        <v>#NUM!</v>
      </c>
      <c r="AN169" s="60">
        <f ca="1">AVERAGE(OFFSET($AM$3,0,0,'Données projet'!$E$10+1,1))-AVERAGE(OFFSET($H$3,0,0,'Données projet'!$E$10+1,1))</f>
        <v>456.86058467343139</v>
      </c>
      <c r="AO169" s="60">
        <f t="shared" si="144"/>
        <v>243.88495931574937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69.103488553900604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-5.6843418860808015E-14</v>
      </c>
      <c r="BE169" s="14">
        <f>BD169*VLOOKUP('Données projet'!$B$11,Paramètres!$A$1:$I$89,3,0)*VLOOKUP('Données projet'!$B$11,Paramètres!$A$1:$I$89,5,0)</f>
        <v>-5.9412741393316544E-14</v>
      </c>
      <c r="BF169" s="14" t="e">
        <f t="shared" si="167"/>
        <v>#NUM!</v>
      </c>
      <c r="BG169" s="22" t="e">
        <f t="shared" si="168"/>
        <v>#NUM!</v>
      </c>
      <c r="BH169" s="60" t="e">
        <f t="shared" si="116"/>
        <v>#NUM!</v>
      </c>
      <c r="BI169" s="60">
        <f ca="1">AVERAGE(OFFSET($BH$3,0,0,'Données projet'!$E$11+1,1))-AVERAGE(OFFSET($H$3,0,0,'Données projet'!$E$11+1,1))</f>
        <v>518.47226207416952</v>
      </c>
      <c r="BJ169" s="60">
        <f t="shared" si="146"/>
        <v>314.6379787306804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69.103488553900604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-9.0949470177292824E-13</v>
      </c>
      <c r="BZ169" s="14">
        <f>BY169*VLOOKUP('Données projet'!$B$12,Paramètres!$A$1:$I$89,3,0)*VLOOKUP('Données projet'!$B$12,Paramètres!$A$1:$I$89,5,0)</f>
        <v>-9.7898009698837998E-13</v>
      </c>
      <c r="CA169" s="14" t="e">
        <f t="shared" si="170"/>
        <v>#NUM!</v>
      </c>
      <c r="CB169" s="22" t="e">
        <f t="shared" si="171"/>
        <v>#NUM!</v>
      </c>
      <c r="CC169" s="60" t="e">
        <f t="shared" si="119"/>
        <v>#NUM!</v>
      </c>
      <c r="CD169" s="60">
        <f ca="1">AVERAGE(OFFSET($CC$3,0,0,'Données projet'!$E$12+1,1))-AVERAGE(OFFSET($H$3,0,0,'Données projet'!$E$12+1,1))</f>
        <v>530.32456073177104</v>
      </c>
      <c r="CE169" s="60">
        <f t="shared" si="148"/>
        <v>279.81519428470625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69.103488553900604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3.4106051316484809E-13</v>
      </c>
      <c r="CU169" s="18">
        <f>CT169*VLOOKUP('Données projet'!$B$13,Paramètres!$A$1:$I$89,3,0)*VLOOKUP('Données projet'!$B$13,Paramètres!$A$1:$I$89,5,0)</f>
        <v>2.9795046430081134E-13</v>
      </c>
      <c r="CV169" s="14">
        <f t="shared" si="173"/>
        <v>3.9419014464513778E-12</v>
      </c>
      <c r="CW169" s="22">
        <f t="shared" si="174"/>
        <v>7.384408744560063E-12</v>
      </c>
      <c r="CX169" s="60">
        <f t="shared" si="122"/>
        <v>290.04612469764294</v>
      </c>
      <c r="CY169" s="60">
        <f ca="1">AVERAGE(OFFSET($CX$3,0,0,'Données projet'!$E$13+1,1))-AVERAGE(OFFSET($H$3,0,0,'Données projet'!$E$13+1,1))</f>
        <v>355.03862261578701</v>
      </c>
      <c r="CZ169" s="60">
        <f t="shared" si="150"/>
        <v>382.84441399266029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69.103488553900604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1.1368683772161603E-13</v>
      </c>
      <c r="DP169" s="18">
        <f>DO169*VLOOKUP('Données projet'!$B$14,Paramètres!$A$1:$I$89,3,0)*VLOOKUP('Données projet'!$B$14,Paramètres!$A$1:$I$89,5,0)</f>
        <v>8.8675733422860506E-14</v>
      </c>
      <c r="DQ169" s="14">
        <f t="shared" si="176"/>
        <v>1.3509285393066301E-12</v>
      </c>
      <c r="DR169" s="22">
        <f t="shared" si="177"/>
        <v>2.5073107750038623E-12</v>
      </c>
      <c r="DS169" s="60">
        <f t="shared" si="125"/>
        <v>290.04612469763805</v>
      </c>
      <c r="DT169" s="60">
        <f ca="1">AVERAGE(OFFSET($DS$3,0,0,'Données projet'!$E$14+1,1))-AVERAGE(OFFSET($H$3,0,0,'Données projet'!$E$14+1,1))</f>
        <v>305.68891030516761</v>
      </c>
      <c r="DU169" s="60">
        <f t="shared" si="152"/>
        <v>296.00275062228275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69.103488553900604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-9.0949470177292824E-13</v>
      </c>
      <c r="EK169" s="18">
        <f>EJ169*VLOOKUP('Données projet'!$B$15,Paramètres!$A$1:$I$89,3,0)*VLOOKUP('Données projet'!$B$15,Paramètres!$A$1:$I$89,5,0)</f>
        <v>-8.7966327555477625E-13</v>
      </c>
      <c r="EL169" s="14" t="e">
        <f t="shared" si="179"/>
        <v>#NUM!</v>
      </c>
      <c r="EM169" s="22" t="e">
        <f t="shared" si="180"/>
        <v>#NUM!</v>
      </c>
      <c r="EN169" s="60" t="e">
        <f t="shared" si="128"/>
        <v>#NUM!</v>
      </c>
      <c r="EO169" s="60">
        <f ca="1">AVERAGE(OFFSET($EN$3,0,0,'Données projet'!$E$15+1,1))-AVERAGE(OFFSET($H$3,0,0,'Données projet'!$E$15+1,1))</f>
        <v>483.60545605360528</v>
      </c>
      <c r="EP169" s="60">
        <f t="shared" si="154"/>
        <v>256.96685577560345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69.103488553900604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0" t="e">
        <f t="shared" si="131"/>
        <v>#N/A</v>
      </c>
      <c r="FJ169" s="60" t="e">
        <f ca="1">AVERAGE(OFFSET($FI$3,0,0,'Données projet'!$E$16+1,1))-AVERAGE(OFFSET($H$3,0,0,'Données projet'!$E$16+1,1))</f>
        <v>#N/A</v>
      </c>
      <c r="FK169" s="60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69.103488553900604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0" t="e">
        <f t="shared" si="134"/>
        <v>#N/A</v>
      </c>
      <c r="GE169" s="60" t="e">
        <f ca="1">AVERAGE(OFFSET($GD$3,0,0,'Données projet'!$E$17+1,1))-AVERAGE(OFFSET($H$3,0,0,'Données projet'!$E$17+1,1))</f>
        <v>#N/A</v>
      </c>
      <c r="GF169" s="60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69.103488553900604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4">
        <f>'Scénario référence'!$B$16*5+'Scénario référence'!$B$17*0+'Scénario référence'!$B$18*5</f>
        <v>3.2750000000000004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12.008333333333335</v>
      </c>
      <c r="H170" s="67">
        <f t="shared" si="110"/>
        <v>208.63333333333333</v>
      </c>
      <c r="I170" s="7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69.119041023191102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-9.0949470177292824E-13</v>
      </c>
      <c r="O170" s="14">
        <f>N170*VLOOKUP('Données projet'!$B$9,Paramètres!$A$1:$I$89,3,0)*VLOOKUP('Données projet'!$B$9,Paramètres!$A$1:$I$89,5,0)</f>
        <v>-9.2222762759774924E-13</v>
      </c>
      <c r="P170" s="14" t="e">
        <f t="shared" si="141"/>
        <v>#NUM!</v>
      </c>
      <c r="Q170" s="22" t="e">
        <f t="shared" si="162"/>
        <v>#NUM!</v>
      </c>
      <c r="R170" s="60" t="e">
        <f t="shared" si="109"/>
        <v>#NUM!</v>
      </c>
      <c r="S170" s="60">
        <f ca="1">AVERAGE(OFFSET($R$3,0,0,'Données projet'!$E$9+1,1))-AVERAGE(OFFSET($H$3,0,0,'Données projet'!$E$9+1,1))</f>
        <v>503.64055031157477</v>
      </c>
      <c r="T170" s="60">
        <f t="shared" si="142"/>
        <v>266.76572540460842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69.119041023191102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-9.0949470177292824E-13</v>
      </c>
      <c r="AJ170" s="14">
        <f>AI170*VLOOKUP('Données projet'!$B$10,Paramètres!$A$1:$I$89,3,0)*VLOOKUP('Données projet'!$B$10,Paramètres!$A$1:$I$89,5,0)</f>
        <v>-8.2291080616414541E-13</v>
      </c>
      <c r="AK170" s="14" t="e">
        <f t="shared" si="164"/>
        <v>#NUM!</v>
      </c>
      <c r="AL170" s="22" t="e">
        <f t="shared" si="165"/>
        <v>#NUM!</v>
      </c>
      <c r="AM170" s="60" t="e">
        <f t="shared" si="113"/>
        <v>#NUM!</v>
      </c>
      <c r="AN170" s="60">
        <f ca="1">AVERAGE(OFFSET($AM$3,0,0,'Données projet'!$E$10+1,1))-AVERAGE(OFFSET($H$3,0,0,'Données projet'!$E$10+1,1))</f>
        <v>456.86058467343139</v>
      </c>
      <c r="AO170" s="60">
        <f t="shared" si="144"/>
        <v>243.88495931574937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69.119041023191102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-5.6843418860808015E-14</v>
      </c>
      <c r="BE170" s="14">
        <f>BD170*VLOOKUP('Données projet'!$B$11,Paramètres!$A$1:$I$89,3,0)*VLOOKUP('Données projet'!$B$11,Paramètres!$A$1:$I$89,5,0)</f>
        <v>-5.9412741393316544E-14</v>
      </c>
      <c r="BF170" s="14" t="e">
        <f t="shared" si="167"/>
        <v>#NUM!</v>
      </c>
      <c r="BG170" s="22" t="e">
        <f t="shared" si="168"/>
        <v>#NUM!</v>
      </c>
      <c r="BH170" s="60" t="e">
        <f t="shared" si="116"/>
        <v>#NUM!</v>
      </c>
      <c r="BI170" s="60">
        <f ca="1">AVERAGE(OFFSET($BH$3,0,0,'Données projet'!$E$11+1,1))-AVERAGE(OFFSET($H$3,0,0,'Données projet'!$E$11+1,1))</f>
        <v>518.47226207416952</v>
      </c>
      <c r="BJ170" s="60">
        <f t="shared" si="146"/>
        <v>314.6379787306804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69.119041023191102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-9.0949470177292824E-13</v>
      </c>
      <c r="BZ170" s="14">
        <f>BY170*VLOOKUP('Données projet'!$B$12,Paramètres!$A$1:$I$89,3,0)*VLOOKUP('Données projet'!$B$12,Paramètres!$A$1:$I$89,5,0)</f>
        <v>-9.7898009698837998E-13</v>
      </c>
      <c r="CA170" s="14" t="e">
        <f t="shared" si="170"/>
        <v>#NUM!</v>
      </c>
      <c r="CB170" s="22" t="e">
        <f t="shared" si="171"/>
        <v>#NUM!</v>
      </c>
      <c r="CC170" s="60" t="e">
        <f t="shared" si="119"/>
        <v>#NUM!</v>
      </c>
      <c r="CD170" s="60">
        <f ca="1">AVERAGE(OFFSET($CC$3,0,0,'Données projet'!$E$12+1,1))-AVERAGE(OFFSET($H$3,0,0,'Données projet'!$E$12+1,1))</f>
        <v>530.32456073177104</v>
      </c>
      <c r="CE170" s="60">
        <f t="shared" si="148"/>
        <v>279.81519428470625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69.119041023191102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3.4106051316484809E-13</v>
      </c>
      <c r="CU170" s="18">
        <f>CT170*VLOOKUP('Données projet'!$B$13,Paramètres!$A$1:$I$89,3,0)*VLOOKUP('Données projet'!$B$13,Paramètres!$A$1:$I$89,5,0)</f>
        <v>2.9795046430081134E-13</v>
      </c>
      <c r="CV170" s="14">
        <f t="shared" si="173"/>
        <v>3.9419014464513778E-12</v>
      </c>
      <c r="CW170" s="22">
        <f t="shared" si="174"/>
        <v>7.384408744560063E-12</v>
      </c>
      <c r="CX170" s="60">
        <f t="shared" si="122"/>
        <v>290.10315041837475</v>
      </c>
      <c r="CY170" s="60">
        <f ca="1">AVERAGE(OFFSET($CX$3,0,0,'Données projet'!$E$13+1,1))-AVERAGE(OFFSET($H$3,0,0,'Données projet'!$E$13+1,1))</f>
        <v>355.03862261578701</v>
      </c>
      <c r="CZ170" s="60">
        <f t="shared" si="150"/>
        <v>382.84441399266029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69.119041023191102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1.1368683772161603E-13</v>
      </c>
      <c r="DP170" s="18">
        <f>DO170*VLOOKUP('Données projet'!$B$14,Paramètres!$A$1:$I$89,3,0)*VLOOKUP('Données projet'!$B$14,Paramètres!$A$1:$I$89,5,0)</f>
        <v>8.8675733422860506E-14</v>
      </c>
      <c r="DQ170" s="14">
        <f t="shared" si="176"/>
        <v>1.3509285393066301E-12</v>
      </c>
      <c r="DR170" s="22">
        <f t="shared" si="177"/>
        <v>2.5073107750038623E-12</v>
      </c>
      <c r="DS170" s="60">
        <f t="shared" si="125"/>
        <v>290.10315041836986</v>
      </c>
      <c r="DT170" s="60">
        <f ca="1">AVERAGE(OFFSET($DS$3,0,0,'Données projet'!$E$14+1,1))-AVERAGE(OFFSET($H$3,0,0,'Données projet'!$E$14+1,1))</f>
        <v>305.68891030516761</v>
      </c>
      <c r="DU170" s="60">
        <f t="shared" si="152"/>
        <v>296.00275062228275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69.119041023191102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-9.0949470177292824E-13</v>
      </c>
      <c r="EK170" s="18">
        <f>EJ170*VLOOKUP('Données projet'!$B$15,Paramètres!$A$1:$I$89,3,0)*VLOOKUP('Données projet'!$B$15,Paramètres!$A$1:$I$89,5,0)</f>
        <v>-8.7966327555477625E-13</v>
      </c>
      <c r="EL170" s="14" t="e">
        <f t="shared" si="179"/>
        <v>#NUM!</v>
      </c>
      <c r="EM170" s="22" t="e">
        <f t="shared" si="180"/>
        <v>#NUM!</v>
      </c>
      <c r="EN170" s="60" t="e">
        <f t="shared" si="128"/>
        <v>#NUM!</v>
      </c>
      <c r="EO170" s="60">
        <f ca="1">AVERAGE(OFFSET($EN$3,0,0,'Données projet'!$E$15+1,1))-AVERAGE(OFFSET($H$3,0,0,'Données projet'!$E$15+1,1))</f>
        <v>483.60545605360528</v>
      </c>
      <c r="EP170" s="60">
        <f t="shared" si="154"/>
        <v>256.96685577560345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69.119041023191102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0" t="e">
        <f t="shared" si="131"/>
        <v>#N/A</v>
      </c>
      <c r="FJ170" s="60" t="e">
        <f ca="1">AVERAGE(OFFSET($FI$3,0,0,'Données projet'!$E$16+1,1))-AVERAGE(OFFSET($H$3,0,0,'Données projet'!$E$16+1,1))</f>
        <v>#N/A</v>
      </c>
      <c r="FK170" s="60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69.119041023191102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0" t="e">
        <f t="shared" si="134"/>
        <v>#N/A</v>
      </c>
      <c r="GE170" s="60" t="e">
        <f ca="1">AVERAGE(OFFSET($GD$3,0,0,'Données projet'!$E$17+1,1))-AVERAGE(OFFSET($H$3,0,0,'Données projet'!$E$17+1,1))</f>
        <v>#N/A</v>
      </c>
      <c r="GF170" s="60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69.119041023191102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4">
        <f>'Scénario référence'!$B$16*5+'Scénario référence'!$B$17*0+'Scénario référence'!$B$18*5</f>
        <v>3.2750000000000004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12.008333333333335</v>
      </c>
      <c r="H171" s="67">
        <f t="shared" si="110"/>
        <v>208.63333333333333</v>
      </c>
      <c r="I171" s="7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69.134323691909515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-9.0949470177292824E-13</v>
      </c>
      <c r="O171" s="14">
        <f>N171*VLOOKUP('Données projet'!$B$9,Paramètres!$A$1:$I$89,3,0)*VLOOKUP('Données projet'!$B$9,Paramètres!$A$1:$I$89,5,0)</f>
        <v>-9.2222762759774924E-13</v>
      </c>
      <c r="P171" s="14" t="e">
        <f t="shared" si="141"/>
        <v>#NUM!</v>
      </c>
      <c r="Q171" s="22" t="e">
        <f t="shared" si="162"/>
        <v>#NUM!</v>
      </c>
      <c r="R171" s="60" t="e">
        <f t="shared" si="109"/>
        <v>#NUM!</v>
      </c>
      <c r="S171" s="60">
        <f ca="1">AVERAGE(OFFSET($R$3,0,0,'Données projet'!$E$9+1,1))-AVERAGE(OFFSET($H$3,0,0,'Données projet'!$E$9+1,1))</f>
        <v>503.64055031157477</v>
      </c>
      <c r="T171" s="60">
        <f t="shared" si="142"/>
        <v>266.76572540460842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69.134323691909515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-9.0949470177292824E-13</v>
      </c>
      <c r="AJ171" s="14">
        <f>AI171*VLOOKUP('Données projet'!$B$10,Paramètres!$A$1:$I$89,3,0)*VLOOKUP('Données projet'!$B$10,Paramètres!$A$1:$I$89,5,0)</f>
        <v>-8.2291080616414541E-13</v>
      </c>
      <c r="AK171" s="14" t="e">
        <f t="shared" si="164"/>
        <v>#NUM!</v>
      </c>
      <c r="AL171" s="22" t="e">
        <f t="shared" si="165"/>
        <v>#NUM!</v>
      </c>
      <c r="AM171" s="60" t="e">
        <f t="shared" si="113"/>
        <v>#NUM!</v>
      </c>
      <c r="AN171" s="60">
        <f ca="1">AVERAGE(OFFSET($AM$3,0,0,'Données projet'!$E$10+1,1))-AVERAGE(OFFSET($H$3,0,0,'Données projet'!$E$10+1,1))</f>
        <v>456.86058467343139</v>
      </c>
      <c r="AO171" s="60">
        <f t="shared" si="144"/>
        <v>243.88495931574937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69.134323691909515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-5.6843418860808015E-14</v>
      </c>
      <c r="BE171" s="14">
        <f>BD171*VLOOKUP('Données projet'!$B$11,Paramètres!$A$1:$I$89,3,0)*VLOOKUP('Données projet'!$B$11,Paramètres!$A$1:$I$89,5,0)</f>
        <v>-5.9412741393316544E-14</v>
      </c>
      <c r="BF171" s="14" t="e">
        <f t="shared" si="167"/>
        <v>#NUM!</v>
      </c>
      <c r="BG171" s="22" t="e">
        <f t="shared" si="168"/>
        <v>#NUM!</v>
      </c>
      <c r="BH171" s="60" t="e">
        <f t="shared" si="116"/>
        <v>#NUM!</v>
      </c>
      <c r="BI171" s="60">
        <f ca="1">AVERAGE(OFFSET($BH$3,0,0,'Données projet'!$E$11+1,1))-AVERAGE(OFFSET($H$3,0,0,'Données projet'!$E$11+1,1))</f>
        <v>518.47226207416952</v>
      </c>
      <c r="BJ171" s="60">
        <f t="shared" si="146"/>
        <v>314.6379787306804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69.134323691909515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-9.0949470177292824E-13</v>
      </c>
      <c r="BZ171" s="14">
        <f>BY171*VLOOKUP('Données projet'!$B$12,Paramètres!$A$1:$I$89,3,0)*VLOOKUP('Données projet'!$B$12,Paramètres!$A$1:$I$89,5,0)</f>
        <v>-9.7898009698837998E-13</v>
      </c>
      <c r="CA171" s="14" t="e">
        <f t="shared" si="170"/>
        <v>#NUM!</v>
      </c>
      <c r="CB171" s="22" t="e">
        <f t="shared" si="171"/>
        <v>#NUM!</v>
      </c>
      <c r="CC171" s="60" t="e">
        <f t="shared" si="119"/>
        <v>#NUM!</v>
      </c>
      <c r="CD171" s="60">
        <f ca="1">AVERAGE(OFFSET($CC$3,0,0,'Données projet'!$E$12+1,1))-AVERAGE(OFFSET($H$3,0,0,'Données projet'!$E$12+1,1))</f>
        <v>530.32456073177104</v>
      </c>
      <c r="CE171" s="60">
        <f t="shared" si="148"/>
        <v>279.81519428470625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69.134323691909515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3.4106051316484809E-13</v>
      </c>
      <c r="CU171" s="18">
        <f>CT171*VLOOKUP('Données projet'!$B$13,Paramètres!$A$1:$I$89,3,0)*VLOOKUP('Données projet'!$B$13,Paramètres!$A$1:$I$89,5,0)</f>
        <v>2.9795046430081134E-13</v>
      </c>
      <c r="CV171" s="14">
        <f t="shared" si="173"/>
        <v>3.9419014464513778E-12</v>
      </c>
      <c r="CW171" s="22">
        <f t="shared" si="174"/>
        <v>7.384408744560063E-12</v>
      </c>
      <c r="CX171" s="60">
        <f t="shared" si="122"/>
        <v>290.1591868703423</v>
      </c>
      <c r="CY171" s="60">
        <f ca="1">AVERAGE(OFFSET($CX$3,0,0,'Données projet'!$E$13+1,1))-AVERAGE(OFFSET($H$3,0,0,'Données projet'!$E$13+1,1))</f>
        <v>355.03862261578701</v>
      </c>
      <c r="CZ171" s="60">
        <f t="shared" si="150"/>
        <v>382.84441399266029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69.134323691909515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1.1368683772161603E-13</v>
      </c>
      <c r="DP171" s="18">
        <f>DO171*VLOOKUP('Données projet'!$B$14,Paramètres!$A$1:$I$89,3,0)*VLOOKUP('Données projet'!$B$14,Paramètres!$A$1:$I$89,5,0)</f>
        <v>8.8675733422860506E-14</v>
      </c>
      <c r="DQ171" s="14">
        <f t="shared" si="176"/>
        <v>1.3509285393066301E-12</v>
      </c>
      <c r="DR171" s="22">
        <f t="shared" si="177"/>
        <v>2.5073107750038623E-12</v>
      </c>
      <c r="DS171" s="60">
        <f t="shared" si="125"/>
        <v>290.15918687033741</v>
      </c>
      <c r="DT171" s="60">
        <f ca="1">AVERAGE(OFFSET($DS$3,0,0,'Données projet'!$E$14+1,1))-AVERAGE(OFFSET($H$3,0,0,'Données projet'!$E$14+1,1))</f>
        <v>305.68891030516761</v>
      </c>
      <c r="DU171" s="60">
        <f t="shared" si="152"/>
        <v>296.00275062228275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69.134323691909515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-9.0949470177292824E-13</v>
      </c>
      <c r="EK171" s="18">
        <f>EJ171*VLOOKUP('Données projet'!$B$15,Paramètres!$A$1:$I$89,3,0)*VLOOKUP('Données projet'!$B$15,Paramètres!$A$1:$I$89,5,0)</f>
        <v>-8.7966327555477625E-13</v>
      </c>
      <c r="EL171" s="14" t="e">
        <f t="shared" si="179"/>
        <v>#NUM!</v>
      </c>
      <c r="EM171" s="22" t="e">
        <f t="shared" si="180"/>
        <v>#NUM!</v>
      </c>
      <c r="EN171" s="60" t="e">
        <f t="shared" si="128"/>
        <v>#NUM!</v>
      </c>
      <c r="EO171" s="60">
        <f ca="1">AVERAGE(OFFSET($EN$3,0,0,'Données projet'!$E$15+1,1))-AVERAGE(OFFSET($H$3,0,0,'Données projet'!$E$15+1,1))</f>
        <v>483.60545605360528</v>
      </c>
      <c r="EP171" s="60">
        <f t="shared" si="154"/>
        <v>256.96685577560345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69.134323691909515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0" t="e">
        <f t="shared" si="131"/>
        <v>#N/A</v>
      </c>
      <c r="FJ171" s="60" t="e">
        <f ca="1">AVERAGE(OFFSET($FI$3,0,0,'Données projet'!$E$16+1,1))-AVERAGE(OFFSET($H$3,0,0,'Données projet'!$E$16+1,1))</f>
        <v>#N/A</v>
      </c>
      <c r="FK171" s="60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69.134323691909515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0" t="e">
        <f t="shared" si="134"/>
        <v>#N/A</v>
      </c>
      <c r="GE171" s="60" t="e">
        <f ca="1">AVERAGE(OFFSET($GD$3,0,0,'Données projet'!$E$17+1,1))-AVERAGE(OFFSET($H$3,0,0,'Données projet'!$E$17+1,1))</f>
        <v>#N/A</v>
      </c>
      <c r="GF171" s="60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69.134323691909515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4">
        <f>'Scénario référence'!$B$16*5+'Scénario référence'!$B$17*0+'Scénario référence'!$B$18*5</f>
        <v>3.2750000000000004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12.008333333333335</v>
      </c>
      <c r="H172" s="67">
        <f t="shared" si="110"/>
        <v>208.63333333333333</v>
      </c>
      <c r="I172" s="7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69.149341240492603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-9.0949470177292824E-13</v>
      </c>
      <c r="O172" s="14">
        <f>N172*VLOOKUP('Données projet'!$B$9,Paramètres!$A$1:$I$89,3,0)*VLOOKUP('Données projet'!$B$9,Paramètres!$A$1:$I$89,5,0)</f>
        <v>-9.2222762759774924E-13</v>
      </c>
      <c r="P172" s="14" t="e">
        <f t="shared" si="141"/>
        <v>#NUM!</v>
      </c>
      <c r="Q172" s="22" t="e">
        <f t="shared" si="162"/>
        <v>#NUM!</v>
      </c>
      <c r="R172" s="60" t="e">
        <f t="shared" si="109"/>
        <v>#NUM!</v>
      </c>
      <c r="S172" s="60">
        <f ca="1">AVERAGE(OFFSET($R$3,0,0,'Données projet'!$E$9+1,1))-AVERAGE(OFFSET($H$3,0,0,'Données projet'!$E$9+1,1))</f>
        <v>503.64055031157477</v>
      </c>
      <c r="T172" s="60">
        <f t="shared" si="142"/>
        <v>266.76572540460842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69.149341240492603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-9.0949470177292824E-13</v>
      </c>
      <c r="AJ172" s="14">
        <f>AI172*VLOOKUP('Données projet'!$B$10,Paramètres!$A$1:$I$89,3,0)*VLOOKUP('Données projet'!$B$10,Paramètres!$A$1:$I$89,5,0)</f>
        <v>-8.2291080616414541E-13</v>
      </c>
      <c r="AK172" s="14" t="e">
        <f t="shared" si="164"/>
        <v>#NUM!</v>
      </c>
      <c r="AL172" s="22" t="e">
        <f t="shared" si="165"/>
        <v>#NUM!</v>
      </c>
      <c r="AM172" s="60" t="e">
        <f t="shared" si="113"/>
        <v>#NUM!</v>
      </c>
      <c r="AN172" s="60">
        <f ca="1">AVERAGE(OFFSET($AM$3,0,0,'Données projet'!$E$10+1,1))-AVERAGE(OFFSET($H$3,0,0,'Données projet'!$E$10+1,1))</f>
        <v>456.86058467343139</v>
      </c>
      <c r="AO172" s="60">
        <f t="shared" si="144"/>
        <v>243.88495931574937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69.149341240492603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-5.6843418860808015E-14</v>
      </c>
      <c r="BE172" s="14">
        <f>BD172*VLOOKUP('Données projet'!$B$11,Paramètres!$A$1:$I$89,3,0)*VLOOKUP('Données projet'!$B$11,Paramètres!$A$1:$I$89,5,0)</f>
        <v>-5.9412741393316544E-14</v>
      </c>
      <c r="BF172" s="14" t="e">
        <f t="shared" si="167"/>
        <v>#NUM!</v>
      </c>
      <c r="BG172" s="22" t="e">
        <f t="shared" si="168"/>
        <v>#NUM!</v>
      </c>
      <c r="BH172" s="60" t="e">
        <f t="shared" si="116"/>
        <v>#NUM!</v>
      </c>
      <c r="BI172" s="60">
        <f ca="1">AVERAGE(OFFSET($BH$3,0,0,'Données projet'!$E$11+1,1))-AVERAGE(OFFSET($H$3,0,0,'Données projet'!$E$11+1,1))</f>
        <v>518.47226207416952</v>
      </c>
      <c r="BJ172" s="60">
        <f t="shared" si="146"/>
        <v>314.6379787306804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69.149341240492603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-9.0949470177292824E-13</v>
      </c>
      <c r="BZ172" s="14">
        <f>BY172*VLOOKUP('Données projet'!$B$12,Paramètres!$A$1:$I$89,3,0)*VLOOKUP('Données projet'!$B$12,Paramètres!$A$1:$I$89,5,0)</f>
        <v>-9.7898009698837998E-13</v>
      </c>
      <c r="CA172" s="14" t="e">
        <f t="shared" si="170"/>
        <v>#NUM!</v>
      </c>
      <c r="CB172" s="22" t="e">
        <f t="shared" si="171"/>
        <v>#NUM!</v>
      </c>
      <c r="CC172" s="60" t="e">
        <f t="shared" si="119"/>
        <v>#NUM!</v>
      </c>
      <c r="CD172" s="60">
        <f ca="1">AVERAGE(OFFSET($CC$3,0,0,'Données projet'!$E$12+1,1))-AVERAGE(OFFSET($H$3,0,0,'Données projet'!$E$12+1,1))</f>
        <v>530.32456073177104</v>
      </c>
      <c r="CE172" s="60">
        <f t="shared" si="148"/>
        <v>279.81519428470625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69.149341240492603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3.4106051316484809E-13</v>
      </c>
      <c r="CU172" s="18">
        <f>CT172*VLOOKUP('Données projet'!$B$13,Paramètres!$A$1:$I$89,3,0)*VLOOKUP('Données projet'!$B$13,Paramètres!$A$1:$I$89,5,0)</f>
        <v>2.9795046430081134E-13</v>
      </c>
      <c r="CV172" s="14">
        <f t="shared" si="173"/>
        <v>3.9419014464513778E-12</v>
      </c>
      <c r="CW172" s="22">
        <f t="shared" si="174"/>
        <v>7.384408744560063E-12</v>
      </c>
      <c r="CX172" s="60">
        <f t="shared" si="122"/>
        <v>290.21425121514693</v>
      </c>
      <c r="CY172" s="60">
        <f ca="1">AVERAGE(OFFSET($CX$3,0,0,'Données projet'!$E$13+1,1))-AVERAGE(OFFSET($H$3,0,0,'Données projet'!$E$13+1,1))</f>
        <v>355.03862261578701</v>
      </c>
      <c r="CZ172" s="60">
        <f t="shared" si="150"/>
        <v>382.84441399266029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69.149341240492603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1.1368683772161603E-13</v>
      </c>
      <c r="DP172" s="18">
        <f>DO172*VLOOKUP('Données projet'!$B$14,Paramètres!$A$1:$I$89,3,0)*VLOOKUP('Données projet'!$B$14,Paramètres!$A$1:$I$89,5,0)</f>
        <v>8.8675733422860506E-14</v>
      </c>
      <c r="DQ172" s="14">
        <f t="shared" si="176"/>
        <v>1.3509285393066301E-12</v>
      </c>
      <c r="DR172" s="22">
        <f t="shared" si="177"/>
        <v>2.5073107750038623E-12</v>
      </c>
      <c r="DS172" s="60">
        <f t="shared" si="125"/>
        <v>290.21425121514204</v>
      </c>
      <c r="DT172" s="60">
        <f ca="1">AVERAGE(OFFSET($DS$3,0,0,'Données projet'!$E$14+1,1))-AVERAGE(OFFSET($H$3,0,0,'Données projet'!$E$14+1,1))</f>
        <v>305.68891030516761</v>
      </c>
      <c r="DU172" s="60">
        <f t="shared" si="152"/>
        <v>296.00275062228275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69.149341240492603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-9.0949470177292824E-13</v>
      </c>
      <c r="EK172" s="18">
        <f>EJ172*VLOOKUP('Données projet'!$B$15,Paramètres!$A$1:$I$89,3,0)*VLOOKUP('Données projet'!$B$15,Paramètres!$A$1:$I$89,5,0)</f>
        <v>-8.7966327555477625E-13</v>
      </c>
      <c r="EL172" s="14" t="e">
        <f t="shared" si="179"/>
        <v>#NUM!</v>
      </c>
      <c r="EM172" s="22" t="e">
        <f t="shared" si="180"/>
        <v>#NUM!</v>
      </c>
      <c r="EN172" s="60" t="e">
        <f t="shared" si="128"/>
        <v>#NUM!</v>
      </c>
      <c r="EO172" s="60">
        <f ca="1">AVERAGE(OFFSET($EN$3,0,0,'Données projet'!$E$15+1,1))-AVERAGE(OFFSET($H$3,0,0,'Données projet'!$E$15+1,1))</f>
        <v>483.60545605360528</v>
      </c>
      <c r="EP172" s="60">
        <f t="shared" si="154"/>
        <v>256.96685577560345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69.149341240492603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0" t="e">
        <f t="shared" si="131"/>
        <v>#N/A</v>
      </c>
      <c r="FJ172" s="60" t="e">
        <f ca="1">AVERAGE(OFFSET($FI$3,0,0,'Données projet'!$E$16+1,1))-AVERAGE(OFFSET($H$3,0,0,'Données projet'!$E$16+1,1))</f>
        <v>#N/A</v>
      </c>
      <c r="FK172" s="60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69.149341240492603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0" t="e">
        <f t="shared" si="134"/>
        <v>#N/A</v>
      </c>
      <c r="GE172" s="60" t="e">
        <f ca="1">AVERAGE(OFFSET($GD$3,0,0,'Données projet'!$E$17+1,1))-AVERAGE(OFFSET($H$3,0,0,'Données projet'!$E$17+1,1))</f>
        <v>#N/A</v>
      </c>
      <c r="GF172" s="60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69.149341240492603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4">
        <f>'Scénario référence'!$B$16*5+'Scénario référence'!$B$17*0+'Scénario référence'!$B$18*5</f>
        <v>3.2750000000000004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12.008333333333335</v>
      </c>
      <c r="H173" s="67">
        <f t="shared" si="110"/>
        <v>208.63333333333333</v>
      </c>
      <c r="I173" s="7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69.164098268181974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-9.0949470177292824E-13</v>
      </c>
      <c r="O173" s="14">
        <f>N173*VLOOKUP('Données projet'!$B$9,Paramètres!$A$1:$I$89,3,0)*VLOOKUP('Données projet'!$B$9,Paramètres!$A$1:$I$89,5,0)</f>
        <v>-9.2222762759774924E-13</v>
      </c>
      <c r="P173" s="14" t="e">
        <f t="shared" si="141"/>
        <v>#NUM!</v>
      </c>
      <c r="Q173" s="22" t="e">
        <f t="shared" si="162"/>
        <v>#NUM!</v>
      </c>
      <c r="R173" s="60" t="e">
        <f t="shared" si="109"/>
        <v>#NUM!</v>
      </c>
      <c r="S173" s="60">
        <f ca="1">AVERAGE(OFFSET($R$3,0,0,'Données projet'!$E$9+1,1))-AVERAGE(OFFSET($H$3,0,0,'Données projet'!$E$9+1,1))</f>
        <v>503.64055031157477</v>
      </c>
      <c r="T173" s="60">
        <f t="shared" si="142"/>
        <v>266.76572540460842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69.164098268181974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-9.0949470177292824E-13</v>
      </c>
      <c r="AJ173" s="14">
        <f>AI173*VLOOKUP('Données projet'!$B$10,Paramètres!$A$1:$I$89,3,0)*VLOOKUP('Données projet'!$B$10,Paramètres!$A$1:$I$89,5,0)</f>
        <v>-8.2291080616414541E-13</v>
      </c>
      <c r="AK173" s="14" t="e">
        <f t="shared" si="164"/>
        <v>#NUM!</v>
      </c>
      <c r="AL173" s="22" t="e">
        <f t="shared" si="165"/>
        <v>#NUM!</v>
      </c>
      <c r="AM173" s="60" t="e">
        <f t="shared" si="113"/>
        <v>#NUM!</v>
      </c>
      <c r="AN173" s="60">
        <f ca="1">AVERAGE(OFFSET($AM$3,0,0,'Données projet'!$E$10+1,1))-AVERAGE(OFFSET($H$3,0,0,'Données projet'!$E$10+1,1))</f>
        <v>456.86058467343139</v>
      </c>
      <c r="AO173" s="60">
        <f t="shared" si="144"/>
        <v>243.88495931574937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69.164098268181974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-5.6843418860808015E-14</v>
      </c>
      <c r="BE173" s="14">
        <f>BD173*VLOOKUP('Données projet'!$B$11,Paramètres!$A$1:$I$89,3,0)*VLOOKUP('Données projet'!$B$11,Paramètres!$A$1:$I$89,5,0)</f>
        <v>-5.9412741393316544E-14</v>
      </c>
      <c r="BF173" s="14" t="e">
        <f t="shared" si="167"/>
        <v>#NUM!</v>
      </c>
      <c r="BG173" s="22" t="e">
        <f t="shared" si="168"/>
        <v>#NUM!</v>
      </c>
      <c r="BH173" s="60" t="e">
        <f t="shared" si="116"/>
        <v>#NUM!</v>
      </c>
      <c r="BI173" s="60">
        <f ca="1">AVERAGE(OFFSET($BH$3,0,0,'Données projet'!$E$11+1,1))-AVERAGE(OFFSET($H$3,0,0,'Données projet'!$E$11+1,1))</f>
        <v>518.47226207416952</v>
      </c>
      <c r="BJ173" s="60">
        <f t="shared" si="146"/>
        <v>314.6379787306804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69.164098268181974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-9.0949470177292824E-13</v>
      </c>
      <c r="BZ173" s="14">
        <f>BY173*VLOOKUP('Données projet'!$B$12,Paramètres!$A$1:$I$89,3,0)*VLOOKUP('Données projet'!$B$12,Paramètres!$A$1:$I$89,5,0)</f>
        <v>-9.7898009698837998E-13</v>
      </c>
      <c r="CA173" s="14" t="e">
        <f t="shared" si="170"/>
        <v>#NUM!</v>
      </c>
      <c r="CB173" s="22" t="e">
        <f t="shared" si="171"/>
        <v>#NUM!</v>
      </c>
      <c r="CC173" s="60" t="e">
        <f t="shared" si="119"/>
        <v>#NUM!</v>
      </c>
      <c r="CD173" s="60">
        <f ca="1">AVERAGE(OFFSET($CC$3,0,0,'Données projet'!$E$12+1,1))-AVERAGE(OFFSET($H$3,0,0,'Données projet'!$E$12+1,1))</f>
        <v>530.32456073177104</v>
      </c>
      <c r="CE173" s="60">
        <f t="shared" si="148"/>
        <v>279.81519428470625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69.164098268181974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3.4106051316484809E-13</v>
      </c>
      <c r="CU173" s="18">
        <f>CT173*VLOOKUP('Données projet'!$B$13,Paramètres!$A$1:$I$89,3,0)*VLOOKUP('Données projet'!$B$13,Paramètres!$A$1:$I$89,5,0)</f>
        <v>2.9795046430081134E-13</v>
      </c>
      <c r="CV173" s="14">
        <f t="shared" si="173"/>
        <v>3.9419014464513778E-12</v>
      </c>
      <c r="CW173" s="22">
        <f t="shared" si="174"/>
        <v>7.384408744560063E-12</v>
      </c>
      <c r="CX173" s="60">
        <f t="shared" si="122"/>
        <v>290.26836031667466</v>
      </c>
      <c r="CY173" s="60">
        <f ca="1">AVERAGE(OFFSET($CX$3,0,0,'Données projet'!$E$13+1,1))-AVERAGE(OFFSET($H$3,0,0,'Données projet'!$E$13+1,1))</f>
        <v>355.03862261578701</v>
      </c>
      <c r="CZ173" s="60">
        <f t="shared" si="150"/>
        <v>382.84441399266029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69.164098268181974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1.1368683772161603E-13</v>
      </c>
      <c r="DP173" s="18">
        <f>DO173*VLOOKUP('Données projet'!$B$14,Paramètres!$A$1:$I$89,3,0)*VLOOKUP('Données projet'!$B$14,Paramètres!$A$1:$I$89,5,0)</f>
        <v>8.8675733422860506E-14</v>
      </c>
      <c r="DQ173" s="14">
        <f t="shared" si="176"/>
        <v>1.3509285393066301E-12</v>
      </c>
      <c r="DR173" s="22">
        <f t="shared" si="177"/>
        <v>2.5073107750038623E-12</v>
      </c>
      <c r="DS173" s="60">
        <f t="shared" si="125"/>
        <v>290.26836031666977</v>
      </c>
      <c r="DT173" s="60">
        <f ca="1">AVERAGE(OFFSET($DS$3,0,0,'Données projet'!$E$14+1,1))-AVERAGE(OFFSET($H$3,0,0,'Données projet'!$E$14+1,1))</f>
        <v>305.68891030516761</v>
      </c>
      <c r="DU173" s="60">
        <f t="shared" si="152"/>
        <v>296.00275062228275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69.164098268181974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-9.0949470177292824E-13</v>
      </c>
      <c r="EK173" s="18">
        <f>EJ173*VLOOKUP('Données projet'!$B$15,Paramètres!$A$1:$I$89,3,0)*VLOOKUP('Données projet'!$B$15,Paramètres!$A$1:$I$89,5,0)</f>
        <v>-8.7966327555477625E-13</v>
      </c>
      <c r="EL173" s="14" t="e">
        <f t="shared" si="179"/>
        <v>#NUM!</v>
      </c>
      <c r="EM173" s="22" t="e">
        <f t="shared" si="180"/>
        <v>#NUM!</v>
      </c>
      <c r="EN173" s="60" t="e">
        <f t="shared" si="128"/>
        <v>#NUM!</v>
      </c>
      <c r="EO173" s="60">
        <f ca="1">AVERAGE(OFFSET($EN$3,0,0,'Données projet'!$E$15+1,1))-AVERAGE(OFFSET($H$3,0,0,'Données projet'!$E$15+1,1))</f>
        <v>483.60545605360528</v>
      </c>
      <c r="EP173" s="60">
        <f t="shared" si="154"/>
        <v>256.96685577560345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69.164098268181974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0" t="e">
        <f t="shared" si="131"/>
        <v>#N/A</v>
      </c>
      <c r="FJ173" s="60" t="e">
        <f ca="1">AVERAGE(OFFSET($FI$3,0,0,'Données projet'!$E$16+1,1))-AVERAGE(OFFSET($H$3,0,0,'Données projet'!$E$16+1,1))</f>
        <v>#N/A</v>
      </c>
      <c r="FK173" s="60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69.164098268181974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0" t="e">
        <f t="shared" si="134"/>
        <v>#N/A</v>
      </c>
      <c r="GE173" s="60" t="e">
        <f ca="1">AVERAGE(OFFSET($GD$3,0,0,'Données projet'!$E$17+1,1))-AVERAGE(OFFSET($H$3,0,0,'Données projet'!$E$17+1,1))</f>
        <v>#N/A</v>
      </c>
      <c r="GF173" s="60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69.164098268181974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4">
        <f>'Scénario référence'!$B$16*5+'Scénario référence'!$B$17*0+'Scénario référence'!$B$18*5</f>
        <v>3.2750000000000004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12.008333333333335</v>
      </c>
      <c r="H174" s="67">
        <f t="shared" si="110"/>
        <v>208.63333333333333</v>
      </c>
      <c r="I174" s="7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69.178599294432701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-9.0949470177292824E-13</v>
      </c>
      <c r="O174" s="14">
        <f>N174*VLOOKUP('Données projet'!$B$9,Paramètres!$A$1:$I$89,3,0)*VLOOKUP('Données projet'!$B$9,Paramètres!$A$1:$I$89,5,0)</f>
        <v>-9.2222762759774924E-13</v>
      </c>
      <c r="P174" s="14" t="e">
        <f t="shared" si="141"/>
        <v>#NUM!</v>
      </c>
      <c r="Q174" s="22" t="e">
        <f t="shared" si="162"/>
        <v>#NUM!</v>
      </c>
      <c r="R174" s="60" t="e">
        <f t="shared" si="109"/>
        <v>#NUM!</v>
      </c>
      <c r="S174" s="60">
        <f ca="1">AVERAGE(OFFSET($R$3,0,0,'Données projet'!$E$9+1,1))-AVERAGE(OFFSET($H$3,0,0,'Données projet'!$E$9+1,1))</f>
        <v>503.64055031157477</v>
      </c>
      <c r="T174" s="60">
        <f t="shared" si="142"/>
        <v>266.76572540460842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69.178599294432701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-9.0949470177292824E-13</v>
      </c>
      <c r="AJ174" s="14">
        <f>AI174*VLOOKUP('Données projet'!$B$10,Paramètres!$A$1:$I$89,3,0)*VLOOKUP('Données projet'!$B$10,Paramètres!$A$1:$I$89,5,0)</f>
        <v>-8.2291080616414541E-13</v>
      </c>
      <c r="AK174" s="14" t="e">
        <f t="shared" si="164"/>
        <v>#NUM!</v>
      </c>
      <c r="AL174" s="22" t="e">
        <f t="shared" si="165"/>
        <v>#NUM!</v>
      </c>
      <c r="AM174" s="60" t="e">
        <f t="shared" si="113"/>
        <v>#NUM!</v>
      </c>
      <c r="AN174" s="60">
        <f ca="1">AVERAGE(OFFSET($AM$3,0,0,'Données projet'!$E$10+1,1))-AVERAGE(OFFSET($H$3,0,0,'Données projet'!$E$10+1,1))</f>
        <v>456.86058467343139</v>
      </c>
      <c r="AO174" s="60">
        <f t="shared" si="144"/>
        <v>243.88495931574937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69.178599294432701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-5.6843418860808015E-14</v>
      </c>
      <c r="BE174" s="14">
        <f>BD174*VLOOKUP('Données projet'!$B$11,Paramètres!$A$1:$I$89,3,0)*VLOOKUP('Données projet'!$B$11,Paramètres!$A$1:$I$89,5,0)</f>
        <v>-5.9412741393316544E-14</v>
      </c>
      <c r="BF174" s="14" t="e">
        <f t="shared" si="167"/>
        <v>#NUM!</v>
      </c>
      <c r="BG174" s="22" t="e">
        <f t="shared" si="168"/>
        <v>#NUM!</v>
      </c>
      <c r="BH174" s="60" t="e">
        <f t="shared" si="116"/>
        <v>#NUM!</v>
      </c>
      <c r="BI174" s="60">
        <f ca="1">AVERAGE(OFFSET($BH$3,0,0,'Données projet'!$E$11+1,1))-AVERAGE(OFFSET($H$3,0,0,'Données projet'!$E$11+1,1))</f>
        <v>518.47226207416952</v>
      </c>
      <c r="BJ174" s="60">
        <f t="shared" si="146"/>
        <v>314.6379787306804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69.178599294432701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-9.0949470177292824E-13</v>
      </c>
      <c r="BZ174" s="14">
        <f>BY174*VLOOKUP('Données projet'!$B$12,Paramètres!$A$1:$I$89,3,0)*VLOOKUP('Données projet'!$B$12,Paramètres!$A$1:$I$89,5,0)</f>
        <v>-9.7898009698837998E-13</v>
      </c>
      <c r="CA174" s="14" t="e">
        <f t="shared" si="170"/>
        <v>#NUM!</v>
      </c>
      <c r="CB174" s="22" t="e">
        <f t="shared" si="171"/>
        <v>#NUM!</v>
      </c>
      <c r="CC174" s="60" t="e">
        <f t="shared" si="119"/>
        <v>#NUM!</v>
      </c>
      <c r="CD174" s="60">
        <f ca="1">AVERAGE(OFFSET($CC$3,0,0,'Données projet'!$E$12+1,1))-AVERAGE(OFFSET($H$3,0,0,'Données projet'!$E$12+1,1))</f>
        <v>530.32456073177104</v>
      </c>
      <c r="CE174" s="60">
        <f t="shared" si="148"/>
        <v>279.81519428470625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69.178599294432701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3.4106051316484809E-13</v>
      </c>
      <c r="CU174" s="18">
        <f>CT174*VLOOKUP('Données projet'!$B$13,Paramètres!$A$1:$I$89,3,0)*VLOOKUP('Données projet'!$B$13,Paramètres!$A$1:$I$89,5,0)</f>
        <v>2.9795046430081134E-13</v>
      </c>
      <c r="CV174" s="14">
        <f t="shared" si="173"/>
        <v>3.9419014464513778E-12</v>
      </c>
      <c r="CW174" s="22">
        <f t="shared" si="174"/>
        <v>7.384408744560063E-12</v>
      </c>
      <c r="CX174" s="60">
        <f t="shared" si="122"/>
        <v>290.32153074626063</v>
      </c>
      <c r="CY174" s="60">
        <f ca="1">AVERAGE(OFFSET($CX$3,0,0,'Données projet'!$E$13+1,1))-AVERAGE(OFFSET($H$3,0,0,'Données projet'!$E$13+1,1))</f>
        <v>355.03862261578701</v>
      </c>
      <c r="CZ174" s="60">
        <f t="shared" si="150"/>
        <v>382.84441399266029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69.178599294432701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1.1368683772161603E-13</v>
      </c>
      <c r="DP174" s="18">
        <f>DO174*VLOOKUP('Données projet'!$B$14,Paramètres!$A$1:$I$89,3,0)*VLOOKUP('Données projet'!$B$14,Paramètres!$A$1:$I$89,5,0)</f>
        <v>8.8675733422860506E-14</v>
      </c>
      <c r="DQ174" s="14">
        <f t="shared" si="176"/>
        <v>1.3509285393066301E-12</v>
      </c>
      <c r="DR174" s="22">
        <f t="shared" si="177"/>
        <v>2.5073107750038623E-12</v>
      </c>
      <c r="DS174" s="60">
        <f t="shared" si="125"/>
        <v>290.32153074625575</v>
      </c>
      <c r="DT174" s="60">
        <f ca="1">AVERAGE(OFFSET($DS$3,0,0,'Données projet'!$E$14+1,1))-AVERAGE(OFFSET($H$3,0,0,'Données projet'!$E$14+1,1))</f>
        <v>305.68891030516761</v>
      </c>
      <c r="DU174" s="60">
        <f t="shared" si="152"/>
        <v>296.00275062228275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69.178599294432701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-9.0949470177292824E-13</v>
      </c>
      <c r="EK174" s="18">
        <f>EJ174*VLOOKUP('Données projet'!$B$15,Paramètres!$A$1:$I$89,3,0)*VLOOKUP('Données projet'!$B$15,Paramètres!$A$1:$I$89,5,0)</f>
        <v>-8.7966327555477625E-13</v>
      </c>
      <c r="EL174" s="14" t="e">
        <f t="shared" si="179"/>
        <v>#NUM!</v>
      </c>
      <c r="EM174" s="22" t="e">
        <f t="shared" si="180"/>
        <v>#NUM!</v>
      </c>
      <c r="EN174" s="60" t="e">
        <f t="shared" si="128"/>
        <v>#NUM!</v>
      </c>
      <c r="EO174" s="60">
        <f ca="1">AVERAGE(OFFSET($EN$3,0,0,'Données projet'!$E$15+1,1))-AVERAGE(OFFSET($H$3,0,0,'Données projet'!$E$15+1,1))</f>
        <v>483.60545605360528</v>
      </c>
      <c r="EP174" s="60">
        <f t="shared" si="154"/>
        <v>256.96685577560345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69.178599294432701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0" t="e">
        <f t="shared" si="131"/>
        <v>#N/A</v>
      </c>
      <c r="FJ174" s="60" t="e">
        <f ca="1">AVERAGE(OFFSET($FI$3,0,0,'Données projet'!$E$16+1,1))-AVERAGE(OFFSET($H$3,0,0,'Données projet'!$E$16+1,1))</f>
        <v>#N/A</v>
      </c>
      <c r="FK174" s="60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69.178599294432701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0" t="e">
        <f t="shared" si="134"/>
        <v>#N/A</v>
      </c>
      <c r="GE174" s="60" t="e">
        <f ca="1">AVERAGE(OFFSET($GD$3,0,0,'Données projet'!$E$17+1,1))-AVERAGE(OFFSET($H$3,0,0,'Données projet'!$E$17+1,1))</f>
        <v>#N/A</v>
      </c>
      <c r="GF174" s="60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69.178599294432701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4">
        <f>'Scénario référence'!$B$16*5+'Scénario référence'!$B$17*0+'Scénario référence'!$B$18*5</f>
        <v>3.2750000000000004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12.008333333333335</v>
      </c>
      <c r="H175" s="67">
        <f t="shared" si="110"/>
        <v>208.63333333333333</v>
      </c>
      <c r="I175" s="7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69.192848760297437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-9.0949470177292824E-13</v>
      </c>
      <c r="O175" s="14">
        <f>N175*VLOOKUP('Données projet'!$B$9,Paramètres!$A$1:$I$89,3,0)*VLOOKUP('Données projet'!$B$9,Paramètres!$A$1:$I$89,5,0)</f>
        <v>-9.2222762759774924E-13</v>
      </c>
      <c r="P175" s="14" t="e">
        <f t="shared" si="141"/>
        <v>#NUM!</v>
      </c>
      <c r="Q175" s="22" t="e">
        <f t="shared" si="162"/>
        <v>#NUM!</v>
      </c>
      <c r="R175" s="60" t="e">
        <f t="shared" si="109"/>
        <v>#NUM!</v>
      </c>
      <c r="S175" s="60">
        <f ca="1">AVERAGE(OFFSET($R$3,0,0,'Données projet'!$E$9+1,1))-AVERAGE(OFFSET($H$3,0,0,'Données projet'!$E$9+1,1))</f>
        <v>503.64055031157477</v>
      </c>
      <c r="T175" s="60">
        <f t="shared" si="142"/>
        <v>266.76572540460842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69.192848760297437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-9.0949470177292824E-13</v>
      </c>
      <c r="AJ175" s="14">
        <f>AI175*VLOOKUP('Données projet'!$B$10,Paramètres!$A$1:$I$89,3,0)*VLOOKUP('Données projet'!$B$10,Paramètres!$A$1:$I$89,5,0)</f>
        <v>-8.2291080616414541E-13</v>
      </c>
      <c r="AK175" s="14" t="e">
        <f t="shared" si="164"/>
        <v>#NUM!</v>
      </c>
      <c r="AL175" s="22" t="e">
        <f t="shared" si="165"/>
        <v>#NUM!</v>
      </c>
      <c r="AM175" s="60" t="e">
        <f t="shared" si="113"/>
        <v>#NUM!</v>
      </c>
      <c r="AN175" s="60">
        <f ca="1">AVERAGE(OFFSET($AM$3,0,0,'Données projet'!$E$10+1,1))-AVERAGE(OFFSET($H$3,0,0,'Données projet'!$E$10+1,1))</f>
        <v>456.86058467343139</v>
      </c>
      <c r="AO175" s="60">
        <f t="shared" si="144"/>
        <v>243.88495931574937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69.192848760297437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-5.6843418860808015E-14</v>
      </c>
      <c r="BE175" s="14">
        <f>BD175*VLOOKUP('Données projet'!$B$11,Paramètres!$A$1:$I$89,3,0)*VLOOKUP('Données projet'!$B$11,Paramètres!$A$1:$I$89,5,0)</f>
        <v>-5.9412741393316544E-14</v>
      </c>
      <c r="BF175" s="14" t="e">
        <f t="shared" si="167"/>
        <v>#NUM!</v>
      </c>
      <c r="BG175" s="22" t="e">
        <f t="shared" si="168"/>
        <v>#NUM!</v>
      </c>
      <c r="BH175" s="60" t="e">
        <f t="shared" si="116"/>
        <v>#NUM!</v>
      </c>
      <c r="BI175" s="60">
        <f ca="1">AVERAGE(OFFSET($BH$3,0,0,'Données projet'!$E$11+1,1))-AVERAGE(OFFSET($H$3,0,0,'Données projet'!$E$11+1,1))</f>
        <v>518.47226207416952</v>
      </c>
      <c r="BJ175" s="60">
        <f t="shared" si="146"/>
        <v>314.6379787306804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69.192848760297437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-9.0949470177292824E-13</v>
      </c>
      <c r="BZ175" s="14">
        <f>BY175*VLOOKUP('Données projet'!$B$12,Paramètres!$A$1:$I$89,3,0)*VLOOKUP('Données projet'!$B$12,Paramètres!$A$1:$I$89,5,0)</f>
        <v>-9.7898009698837998E-13</v>
      </c>
      <c r="CA175" s="14" t="e">
        <f t="shared" si="170"/>
        <v>#NUM!</v>
      </c>
      <c r="CB175" s="22" t="e">
        <f t="shared" si="171"/>
        <v>#NUM!</v>
      </c>
      <c r="CC175" s="60" t="e">
        <f t="shared" si="119"/>
        <v>#NUM!</v>
      </c>
      <c r="CD175" s="60">
        <f ca="1">AVERAGE(OFFSET($CC$3,0,0,'Données projet'!$E$12+1,1))-AVERAGE(OFFSET($H$3,0,0,'Données projet'!$E$12+1,1))</f>
        <v>530.32456073177104</v>
      </c>
      <c r="CE175" s="60">
        <f t="shared" si="148"/>
        <v>279.81519428470625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69.192848760297437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3.4106051316484809E-13</v>
      </c>
      <c r="CU175" s="18">
        <f>CT175*VLOOKUP('Données projet'!$B$13,Paramètres!$A$1:$I$89,3,0)*VLOOKUP('Données projet'!$B$13,Paramètres!$A$1:$I$89,5,0)</f>
        <v>2.9795046430081134E-13</v>
      </c>
      <c r="CV175" s="14">
        <f t="shared" si="173"/>
        <v>3.9419014464513778E-12</v>
      </c>
      <c r="CW175" s="22">
        <f t="shared" si="174"/>
        <v>7.384408744560063E-12</v>
      </c>
      <c r="CX175" s="60">
        <f t="shared" si="122"/>
        <v>290.37377878776465</v>
      </c>
      <c r="CY175" s="60">
        <f ca="1">AVERAGE(OFFSET($CX$3,0,0,'Données projet'!$E$13+1,1))-AVERAGE(OFFSET($H$3,0,0,'Données projet'!$E$13+1,1))</f>
        <v>355.03862261578701</v>
      </c>
      <c r="CZ175" s="60">
        <f t="shared" si="150"/>
        <v>382.84441399266029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69.192848760297437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1.1368683772161603E-13</v>
      </c>
      <c r="DP175" s="18">
        <f>DO175*VLOOKUP('Données projet'!$B$14,Paramètres!$A$1:$I$89,3,0)*VLOOKUP('Données projet'!$B$14,Paramètres!$A$1:$I$89,5,0)</f>
        <v>8.8675733422860506E-14</v>
      </c>
      <c r="DQ175" s="14">
        <f t="shared" si="176"/>
        <v>1.3509285393066301E-12</v>
      </c>
      <c r="DR175" s="22">
        <f t="shared" si="177"/>
        <v>2.5073107750038623E-12</v>
      </c>
      <c r="DS175" s="60">
        <f t="shared" si="125"/>
        <v>290.37377878775976</v>
      </c>
      <c r="DT175" s="60">
        <f ca="1">AVERAGE(OFFSET($DS$3,0,0,'Données projet'!$E$14+1,1))-AVERAGE(OFFSET($H$3,0,0,'Données projet'!$E$14+1,1))</f>
        <v>305.68891030516761</v>
      </c>
      <c r="DU175" s="60">
        <f t="shared" si="152"/>
        <v>296.00275062228275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69.192848760297437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-9.0949470177292824E-13</v>
      </c>
      <c r="EK175" s="18">
        <f>EJ175*VLOOKUP('Données projet'!$B$15,Paramètres!$A$1:$I$89,3,0)*VLOOKUP('Données projet'!$B$15,Paramètres!$A$1:$I$89,5,0)</f>
        <v>-8.7966327555477625E-13</v>
      </c>
      <c r="EL175" s="14" t="e">
        <f t="shared" si="179"/>
        <v>#NUM!</v>
      </c>
      <c r="EM175" s="22" t="e">
        <f t="shared" si="180"/>
        <v>#NUM!</v>
      </c>
      <c r="EN175" s="60" t="e">
        <f t="shared" si="128"/>
        <v>#NUM!</v>
      </c>
      <c r="EO175" s="60">
        <f ca="1">AVERAGE(OFFSET($EN$3,0,0,'Données projet'!$E$15+1,1))-AVERAGE(OFFSET($H$3,0,0,'Données projet'!$E$15+1,1))</f>
        <v>483.60545605360528</v>
      </c>
      <c r="EP175" s="60">
        <f t="shared" si="154"/>
        <v>256.96685577560345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69.192848760297437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0" t="e">
        <f t="shared" si="131"/>
        <v>#N/A</v>
      </c>
      <c r="FJ175" s="60" t="e">
        <f ca="1">AVERAGE(OFFSET($FI$3,0,0,'Données projet'!$E$16+1,1))-AVERAGE(OFFSET($H$3,0,0,'Données projet'!$E$16+1,1))</f>
        <v>#N/A</v>
      </c>
      <c r="FK175" s="60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69.192848760297437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0" t="e">
        <f t="shared" si="134"/>
        <v>#N/A</v>
      </c>
      <c r="GE175" s="60" t="e">
        <f ca="1">AVERAGE(OFFSET($GD$3,0,0,'Données projet'!$E$17+1,1))-AVERAGE(OFFSET($H$3,0,0,'Données projet'!$E$17+1,1))</f>
        <v>#N/A</v>
      </c>
      <c r="GF175" s="60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69.192848760297437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4">
        <f>'Scénario référence'!$B$16*5+'Scénario référence'!$B$17*0+'Scénario référence'!$B$18*5</f>
        <v>3.2750000000000004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12.008333333333335</v>
      </c>
      <c r="H176" s="67">
        <f t="shared" si="110"/>
        <v>208.63333333333333</v>
      </c>
      <c r="I176" s="7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69.206851029786435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-9.0949470177292824E-13</v>
      </c>
      <c r="O176" s="14">
        <f>N176*VLOOKUP('Données projet'!$B$9,Paramètres!$A$1:$I$89,3,0)*VLOOKUP('Données projet'!$B$9,Paramètres!$A$1:$I$89,5,0)</f>
        <v>-9.2222762759774924E-13</v>
      </c>
      <c r="P176" s="14" t="e">
        <f t="shared" si="141"/>
        <v>#NUM!</v>
      </c>
      <c r="Q176" s="22" t="e">
        <f t="shared" si="162"/>
        <v>#NUM!</v>
      </c>
      <c r="R176" s="60" t="e">
        <f t="shared" si="109"/>
        <v>#NUM!</v>
      </c>
      <c r="S176" s="60">
        <f ca="1">AVERAGE(OFFSET($R$3,0,0,'Données projet'!$E$9+1,1))-AVERAGE(OFFSET($H$3,0,0,'Données projet'!$E$9+1,1))</f>
        <v>503.64055031157477</v>
      </c>
      <c r="T176" s="60">
        <f t="shared" si="142"/>
        <v>266.76572540460842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69.206851029786435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-9.0949470177292824E-13</v>
      </c>
      <c r="AJ176" s="14">
        <f>AI176*VLOOKUP('Données projet'!$B$10,Paramètres!$A$1:$I$89,3,0)*VLOOKUP('Données projet'!$B$10,Paramètres!$A$1:$I$89,5,0)</f>
        <v>-8.2291080616414541E-13</v>
      </c>
      <c r="AK176" s="14" t="e">
        <f t="shared" si="164"/>
        <v>#NUM!</v>
      </c>
      <c r="AL176" s="22" t="e">
        <f t="shared" si="165"/>
        <v>#NUM!</v>
      </c>
      <c r="AM176" s="60" t="e">
        <f t="shared" si="113"/>
        <v>#NUM!</v>
      </c>
      <c r="AN176" s="60">
        <f ca="1">AVERAGE(OFFSET($AM$3,0,0,'Données projet'!$E$10+1,1))-AVERAGE(OFFSET($H$3,0,0,'Données projet'!$E$10+1,1))</f>
        <v>456.86058467343139</v>
      </c>
      <c r="AO176" s="60">
        <f t="shared" si="144"/>
        <v>243.88495931574937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69.206851029786435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-5.6843418860808015E-14</v>
      </c>
      <c r="BE176" s="14">
        <f>BD176*VLOOKUP('Données projet'!$B$11,Paramètres!$A$1:$I$89,3,0)*VLOOKUP('Données projet'!$B$11,Paramètres!$A$1:$I$89,5,0)</f>
        <v>-5.9412741393316544E-14</v>
      </c>
      <c r="BF176" s="14" t="e">
        <f t="shared" si="167"/>
        <v>#NUM!</v>
      </c>
      <c r="BG176" s="22" t="e">
        <f t="shared" si="168"/>
        <v>#NUM!</v>
      </c>
      <c r="BH176" s="60" t="e">
        <f t="shared" si="116"/>
        <v>#NUM!</v>
      </c>
      <c r="BI176" s="60">
        <f ca="1">AVERAGE(OFFSET($BH$3,0,0,'Données projet'!$E$11+1,1))-AVERAGE(OFFSET($H$3,0,0,'Données projet'!$E$11+1,1))</f>
        <v>518.47226207416952</v>
      </c>
      <c r="BJ176" s="60">
        <f t="shared" si="146"/>
        <v>314.6379787306804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69.206851029786435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-9.0949470177292824E-13</v>
      </c>
      <c r="BZ176" s="14">
        <f>BY176*VLOOKUP('Données projet'!$B$12,Paramètres!$A$1:$I$89,3,0)*VLOOKUP('Données projet'!$B$12,Paramètres!$A$1:$I$89,5,0)</f>
        <v>-9.7898009698837998E-13</v>
      </c>
      <c r="CA176" s="14" t="e">
        <f t="shared" si="170"/>
        <v>#NUM!</v>
      </c>
      <c r="CB176" s="22" t="e">
        <f t="shared" si="171"/>
        <v>#NUM!</v>
      </c>
      <c r="CC176" s="60" t="e">
        <f t="shared" si="119"/>
        <v>#NUM!</v>
      </c>
      <c r="CD176" s="60">
        <f ca="1">AVERAGE(OFFSET($CC$3,0,0,'Données projet'!$E$12+1,1))-AVERAGE(OFFSET($H$3,0,0,'Données projet'!$E$12+1,1))</f>
        <v>530.32456073177104</v>
      </c>
      <c r="CE176" s="60">
        <f t="shared" si="148"/>
        <v>279.81519428470625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69.206851029786435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3.4106051316484809E-13</v>
      </c>
      <c r="CU176" s="18">
        <f>CT176*VLOOKUP('Données projet'!$B$13,Paramètres!$A$1:$I$89,3,0)*VLOOKUP('Données projet'!$B$13,Paramètres!$A$1:$I$89,5,0)</f>
        <v>2.9795046430081134E-13</v>
      </c>
      <c r="CV176" s="14">
        <f t="shared" si="173"/>
        <v>3.9419014464513778E-12</v>
      </c>
      <c r="CW176" s="22">
        <f t="shared" si="174"/>
        <v>7.384408744560063E-12</v>
      </c>
      <c r="CX176" s="60">
        <f t="shared" si="122"/>
        <v>290.42512044255767</v>
      </c>
      <c r="CY176" s="60">
        <f ca="1">AVERAGE(OFFSET($CX$3,0,0,'Données projet'!$E$13+1,1))-AVERAGE(OFFSET($H$3,0,0,'Données projet'!$E$13+1,1))</f>
        <v>355.03862261578701</v>
      </c>
      <c r="CZ176" s="60">
        <f t="shared" si="150"/>
        <v>382.84441399266029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69.206851029786435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1.1368683772161603E-13</v>
      </c>
      <c r="DP176" s="18">
        <f>DO176*VLOOKUP('Données projet'!$B$14,Paramètres!$A$1:$I$89,3,0)*VLOOKUP('Données projet'!$B$14,Paramètres!$A$1:$I$89,5,0)</f>
        <v>8.8675733422860506E-14</v>
      </c>
      <c r="DQ176" s="14">
        <f t="shared" si="176"/>
        <v>1.3509285393066301E-12</v>
      </c>
      <c r="DR176" s="22">
        <f t="shared" si="177"/>
        <v>2.5073107750038623E-12</v>
      </c>
      <c r="DS176" s="60">
        <f t="shared" si="125"/>
        <v>290.42512044255278</v>
      </c>
      <c r="DT176" s="60">
        <f ca="1">AVERAGE(OFFSET($DS$3,0,0,'Données projet'!$E$14+1,1))-AVERAGE(OFFSET($H$3,0,0,'Données projet'!$E$14+1,1))</f>
        <v>305.68891030516761</v>
      </c>
      <c r="DU176" s="60">
        <f t="shared" si="152"/>
        <v>296.00275062228275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69.206851029786435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-9.0949470177292824E-13</v>
      </c>
      <c r="EK176" s="18">
        <f>EJ176*VLOOKUP('Données projet'!$B$15,Paramètres!$A$1:$I$89,3,0)*VLOOKUP('Données projet'!$B$15,Paramètres!$A$1:$I$89,5,0)</f>
        <v>-8.7966327555477625E-13</v>
      </c>
      <c r="EL176" s="14" t="e">
        <f t="shared" si="179"/>
        <v>#NUM!</v>
      </c>
      <c r="EM176" s="22" t="e">
        <f t="shared" si="180"/>
        <v>#NUM!</v>
      </c>
      <c r="EN176" s="60" t="e">
        <f t="shared" si="128"/>
        <v>#NUM!</v>
      </c>
      <c r="EO176" s="60">
        <f ca="1">AVERAGE(OFFSET($EN$3,0,0,'Données projet'!$E$15+1,1))-AVERAGE(OFFSET($H$3,0,0,'Données projet'!$E$15+1,1))</f>
        <v>483.60545605360528</v>
      </c>
      <c r="EP176" s="60">
        <f t="shared" si="154"/>
        <v>256.96685577560345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69.206851029786435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0" t="e">
        <f t="shared" si="131"/>
        <v>#N/A</v>
      </c>
      <c r="FJ176" s="60" t="e">
        <f ca="1">AVERAGE(OFFSET($FI$3,0,0,'Données projet'!$E$16+1,1))-AVERAGE(OFFSET($H$3,0,0,'Données projet'!$E$16+1,1))</f>
        <v>#N/A</v>
      </c>
      <c r="FK176" s="60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69.206851029786435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0" t="e">
        <f t="shared" si="134"/>
        <v>#N/A</v>
      </c>
      <c r="GE176" s="60" t="e">
        <f ca="1">AVERAGE(OFFSET($GD$3,0,0,'Données projet'!$E$17+1,1))-AVERAGE(OFFSET($H$3,0,0,'Données projet'!$E$17+1,1))</f>
        <v>#N/A</v>
      </c>
      <c r="GF176" s="60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69.206851029786435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4">
        <f>'Scénario référence'!$B$16*5+'Scénario référence'!$B$17*0+'Scénario référence'!$B$18*5</f>
        <v>3.2750000000000004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12.008333333333335</v>
      </c>
      <c r="H177" s="67">
        <f t="shared" si="110"/>
        <v>208.63333333333333</v>
      </c>
      <c r="I177" s="7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69.22061039120419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-9.0949470177292824E-13</v>
      </c>
      <c r="O177" s="14">
        <f>N177*VLOOKUP('Données projet'!$B$9,Paramètres!$A$1:$I$89,3,0)*VLOOKUP('Données projet'!$B$9,Paramètres!$A$1:$I$89,5,0)</f>
        <v>-9.2222762759774924E-13</v>
      </c>
      <c r="P177" s="14" t="e">
        <f t="shared" si="141"/>
        <v>#NUM!</v>
      </c>
      <c r="Q177" s="22" t="e">
        <f t="shared" si="162"/>
        <v>#NUM!</v>
      </c>
      <c r="R177" s="60" t="e">
        <f t="shared" si="109"/>
        <v>#NUM!</v>
      </c>
      <c r="S177" s="60">
        <f ca="1">AVERAGE(OFFSET($R$3,0,0,'Données projet'!$E$9+1,1))-AVERAGE(OFFSET($H$3,0,0,'Données projet'!$E$9+1,1))</f>
        <v>503.64055031157477</v>
      </c>
      <c r="T177" s="60">
        <f t="shared" si="142"/>
        <v>266.76572540460842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69.22061039120419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-9.0949470177292824E-13</v>
      </c>
      <c r="AJ177" s="14">
        <f>AI177*VLOOKUP('Données projet'!$B$10,Paramètres!$A$1:$I$89,3,0)*VLOOKUP('Données projet'!$B$10,Paramètres!$A$1:$I$89,5,0)</f>
        <v>-8.2291080616414541E-13</v>
      </c>
      <c r="AK177" s="14" t="e">
        <f t="shared" si="164"/>
        <v>#NUM!</v>
      </c>
      <c r="AL177" s="22" t="e">
        <f t="shared" si="165"/>
        <v>#NUM!</v>
      </c>
      <c r="AM177" s="60" t="e">
        <f t="shared" si="113"/>
        <v>#NUM!</v>
      </c>
      <c r="AN177" s="60">
        <f ca="1">AVERAGE(OFFSET($AM$3,0,0,'Données projet'!$E$10+1,1))-AVERAGE(OFFSET($H$3,0,0,'Données projet'!$E$10+1,1))</f>
        <v>456.86058467343139</v>
      </c>
      <c r="AO177" s="60">
        <f t="shared" si="144"/>
        <v>243.88495931574937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69.22061039120419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-5.6843418860808015E-14</v>
      </c>
      <c r="BE177" s="14">
        <f>BD177*VLOOKUP('Données projet'!$B$11,Paramètres!$A$1:$I$89,3,0)*VLOOKUP('Données projet'!$B$11,Paramètres!$A$1:$I$89,5,0)</f>
        <v>-5.9412741393316544E-14</v>
      </c>
      <c r="BF177" s="14" t="e">
        <f t="shared" si="167"/>
        <v>#NUM!</v>
      </c>
      <c r="BG177" s="22" t="e">
        <f t="shared" si="168"/>
        <v>#NUM!</v>
      </c>
      <c r="BH177" s="60" t="e">
        <f t="shared" si="116"/>
        <v>#NUM!</v>
      </c>
      <c r="BI177" s="60">
        <f ca="1">AVERAGE(OFFSET($BH$3,0,0,'Données projet'!$E$11+1,1))-AVERAGE(OFFSET($H$3,0,0,'Données projet'!$E$11+1,1))</f>
        <v>518.47226207416952</v>
      </c>
      <c r="BJ177" s="60">
        <f t="shared" si="146"/>
        <v>314.6379787306804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69.22061039120419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-9.0949470177292824E-13</v>
      </c>
      <c r="BZ177" s="14">
        <f>BY177*VLOOKUP('Données projet'!$B$12,Paramètres!$A$1:$I$89,3,0)*VLOOKUP('Données projet'!$B$12,Paramètres!$A$1:$I$89,5,0)</f>
        <v>-9.7898009698837998E-13</v>
      </c>
      <c r="CA177" s="14" t="e">
        <f t="shared" si="170"/>
        <v>#NUM!</v>
      </c>
      <c r="CB177" s="22" t="e">
        <f t="shared" si="171"/>
        <v>#NUM!</v>
      </c>
      <c r="CC177" s="60" t="e">
        <f t="shared" si="119"/>
        <v>#NUM!</v>
      </c>
      <c r="CD177" s="60">
        <f ca="1">AVERAGE(OFFSET($CC$3,0,0,'Données projet'!$E$12+1,1))-AVERAGE(OFFSET($H$3,0,0,'Données projet'!$E$12+1,1))</f>
        <v>530.32456073177104</v>
      </c>
      <c r="CE177" s="60">
        <f t="shared" si="148"/>
        <v>279.81519428470625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69.22061039120419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3.4106051316484809E-13</v>
      </c>
      <c r="CU177" s="18">
        <f>CT177*VLOOKUP('Données projet'!$B$13,Paramètres!$A$1:$I$89,3,0)*VLOOKUP('Données projet'!$B$13,Paramètres!$A$1:$I$89,5,0)</f>
        <v>2.9795046430081134E-13</v>
      </c>
      <c r="CV177" s="14">
        <f t="shared" si="173"/>
        <v>3.9419014464513778E-12</v>
      </c>
      <c r="CW177" s="22">
        <f t="shared" si="174"/>
        <v>7.384408744560063E-12</v>
      </c>
      <c r="CX177" s="60">
        <f t="shared" si="122"/>
        <v>290.47557143442276</v>
      </c>
      <c r="CY177" s="60">
        <f ca="1">AVERAGE(OFFSET($CX$3,0,0,'Données projet'!$E$13+1,1))-AVERAGE(OFFSET($H$3,0,0,'Données projet'!$E$13+1,1))</f>
        <v>355.03862261578701</v>
      </c>
      <c r="CZ177" s="60">
        <f t="shared" si="150"/>
        <v>382.84441399266029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69.22061039120419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1.1368683772161603E-13</v>
      </c>
      <c r="DP177" s="18">
        <f>DO177*VLOOKUP('Données projet'!$B$14,Paramètres!$A$1:$I$89,3,0)*VLOOKUP('Données projet'!$B$14,Paramètres!$A$1:$I$89,5,0)</f>
        <v>8.8675733422860506E-14</v>
      </c>
      <c r="DQ177" s="14">
        <f t="shared" si="176"/>
        <v>1.3509285393066301E-12</v>
      </c>
      <c r="DR177" s="22">
        <f t="shared" si="177"/>
        <v>2.5073107750038623E-12</v>
      </c>
      <c r="DS177" s="60">
        <f t="shared" si="125"/>
        <v>290.47557143441787</v>
      </c>
      <c r="DT177" s="60">
        <f ca="1">AVERAGE(OFFSET($DS$3,0,0,'Données projet'!$E$14+1,1))-AVERAGE(OFFSET($H$3,0,0,'Données projet'!$E$14+1,1))</f>
        <v>305.68891030516761</v>
      </c>
      <c r="DU177" s="60">
        <f t="shared" si="152"/>
        <v>296.00275062228275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69.22061039120419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-9.0949470177292824E-13</v>
      </c>
      <c r="EK177" s="18">
        <f>EJ177*VLOOKUP('Données projet'!$B$15,Paramètres!$A$1:$I$89,3,0)*VLOOKUP('Données projet'!$B$15,Paramètres!$A$1:$I$89,5,0)</f>
        <v>-8.7966327555477625E-13</v>
      </c>
      <c r="EL177" s="14" t="e">
        <f t="shared" si="179"/>
        <v>#NUM!</v>
      </c>
      <c r="EM177" s="22" t="e">
        <f t="shared" si="180"/>
        <v>#NUM!</v>
      </c>
      <c r="EN177" s="60" t="e">
        <f t="shared" si="128"/>
        <v>#NUM!</v>
      </c>
      <c r="EO177" s="60">
        <f ca="1">AVERAGE(OFFSET($EN$3,0,0,'Données projet'!$E$15+1,1))-AVERAGE(OFFSET($H$3,0,0,'Données projet'!$E$15+1,1))</f>
        <v>483.60545605360528</v>
      </c>
      <c r="EP177" s="60">
        <f t="shared" si="154"/>
        <v>256.96685577560345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69.22061039120419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0" t="e">
        <f t="shared" si="131"/>
        <v>#N/A</v>
      </c>
      <c r="FJ177" s="60" t="e">
        <f ca="1">AVERAGE(OFFSET($FI$3,0,0,'Données projet'!$E$16+1,1))-AVERAGE(OFFSET($H$3,0,0,'Données projet'!$E$16+1,1))</f>
        <v>#N/A</v>
      </c>
      <c r="FK177" s="60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69.22061039120419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0" t="e">
        <f t="shared" si="134"/>
        <v>#N/A</v>
      </c>
      <c r="GE177" s="60" t="e">
        <f ca="1">AVERAGE(OFFSET($GD$3,0,0,'Données projet'!$E$17+1,1))-AVERAGE(OFFSET($H$3,0,0,'Données projet'!$E$17+1,1))</f>
        <v>#N/A</v>
      </c>
      <c r="GF177" s="60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69.22061039120419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4">
        <f>'Scénario référence'!$B$16*5+'Scénario référence'!$B$17*0+'Scénario référence'!$B$18*5</f>
        <v>3.2750000000000004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12.008333333333335</v>
      </c>
      <c r="H178" s="67">
        <f t="shared" si="110"/>
        <v>208.63333333333333</v>
      </c>
      <c r="I178" s="7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69.234131058462665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-9.0949470177292824E-13</v>
      </c>
      <c r="O178" s="14">
        <f>N178*VLOOKUP('Données projet'!$B$9,Paramètres!$A$1:$I$89,3,0)*VLOOKUP('Données projet'!$B$9,Paramètres!$A$1:$I$89,5,0)</f>
        <v>-9.2222762759774924E-13</v>
      </c>
      <c r="P178" s="14" t="e">
        <f t="shared" si="141"/>
        <v>#NUM!</v>
      </c>
      <c r="Q178" s="22" t="e">
        <f t="shared" si="162"/>
        <v>#NUM!</v>
      </c>
      <c r="R178" s="60" t="e">
        <f t="shared" si="109"/>
        <v>#NUM!</v>
      </c>
      <c r="S178" s="60">
        <f ca="1">AVERAGE(OFFSET($R$3,0,0,'Données projet'!$E$9+1,1))-AVERAGE(OFFSET($H$3,0,0,'Données projet'!$E$9+1,1))</f>
        <v>503.64055031157477</v>
      </c>
      <c r="T178" s="60">
        <f t="shared" si="142"/>
        <v>266.76572540460842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69.234131058462665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-9.0949470177292824E-13</v>
      </c>
      <c r="AJ178" s="14">
        <f>AI178*VLOOKUP('Données projet'!$B$10,Paramètres!$A$1:$I$89,3,0)*VLOOKUP('Données projet'!$B$10,Paramètres!$A$1:$I$89,5,0)</f>
        <v>-8.2291080616414541E-13</v>
      </c>
      <c r="AK178" s="14" t="e">
        <f t="shared" si="164"/>
        <v>#NUM!</v>
      </c>
      <c r="AL178" s="22" t="e">
        <f t="shared" si="165"/>
        <v>#NUM!</v>
      </c>
      <c r="AM178" s="60" t="e">
        <f t="shared" si="113"/>
        <v>#NUM!</v>
      </c>
      <c r="AN178" s="60">
        <f ca="1">AVERAGE(OFFSET($AM$3,0,0,'Données projet'!$E$10+1,1))-AVERAGE(OFFSET($H$3,0,0,'Données projet'!$E$10+1,1))</f>
        <v>456.86058467343139</v>
      </c>
      <c r="AO178" s="60">
        <f t="shared" si="144"/>
        <v>243.88495931574937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69.234131058462665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-5.6843418860808015E-14</v>
      </c>
      <c r="BE178" s="14">
        <f>BD178*VLOOKUP('Données projet'!$B$11,Paramètres!$A$1:$I$89,3,0)*VLOOKUP('Données projet'!$B$11,Paramètres!$A$1:$I$89,5,0)</f>
        <v>-5.9412741393316544E-14</v>
      </c>
      <c r="BF178" s="14" t="e">
        <f t="shared" si="167"/>
        <v>#NUM!</v>
      </c>
      <c r="BG178" s="22" t="e">
        <f t="shared" si="168"/>
        <v>#NUM!</v>
      </c>
      <c r="BH178" s="60" t="e">
        <f t="shared" si="116"/>
        <v>#NUM!</v>
      </c>
      <c r="BI178" s="60">
        <f ca="1">AVERAGE(OFFSET($BH$3,0,0,'Données projet'!$E$11+1,1))-AVERAGE(OFFSET($H$3,0,0,'Données projet'!$E$11+1,1))</f>
        <v>518.47226207416952</v>
      </c>
      <c r="BJ178" s="60">
        <f t="shared" si="146"/>
        <v>314.6379787306804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69.234131058462665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-9.0949470177292824E-13</v>
      </c>
      <c r="BZ178" s="14">
        <f>BY178*VLOOKUP('Données projet'!$B$12,Paramètres!$A$1:$I$89,3,0)*VLOOKUP('Données projet'!$B$12,Paramètres!$A$1:$I$89,5,0)</f>
        <v>-9.7898009698837998E-13</v>
      </c>
      <c r="CA178" s="14" t="e">
        <f t="shared" si="170"/>
        <v>#NUM!</v>
      </c>
      <c r="CB178" s="22" t="e">
        <f t="shared" si="171"/>
        <v>#NUM!</v>
      </c>
      <c r="CC178" s="60" t="e">
        <f t="shared" si="119"/>
        <v>#NUM!</v>
      </c>
      <c r="CD178" s="60">
        <f ca="1">AVERAGE(OFFSET($CC$3,0,0,'Données projet'!$E$12+1,1))-AVERAGE(OFFSET($H$3,0,0,'Données projet'!$E$12+1,1))</f>
        <v>530.32456073177104</v>
      </c>
      <c r="CE178" s="60">
        <f t="shared" si="148"/>
        <v>279.81519428470625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69.234131058462665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3.4106051316484809E-13</v>
      </c>
      <c r="CU178" s="18">
        <f>CT178*VLOOKUP('Données projet'!$B$13,Paramètres!$A$1:$I$89,3,0)*VLOOKUP('Données projet'!$B$13,Paramètres!$A$1:$I$89,5,0)</f>
        <v>2.9795046430081134E-13</v>
      </c>
      <c r="CV178" s="14">
        <f t="shared" si="173"/>
        <v>3.9419014464513778E-12</v>
      </c>
      <c r="CW178" s="22">
        <f t="shared" si="174"/>
        <v>7.384408744560063E-12</v>
      </c>
      <c r="CX178" s="60">
        <f t="shared" si="122"/>
        <v>290.52514721437052</v>
      </c>
      <c r="CY178" s="60">
        <f ca="1">AVERAGE(OFFSET($CX$3,0,0,'Données projet'!$E$13+1,1))-AVERAGE(OFFSET($H$3,0,0,'Données projet'!$E$13+1,1))</f>
        <v>355.03862261578701</v>
      </c>
      <c r="CZ178" s="60">
        <f t="shared" si="150"/>
        <v>382.84441399266029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69.234131058462665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1.1368683772161603E-13</v>
      </c>
      <c r="DP178" s="18">
        <f>DO178*VLOOKUP('Données projet'!$B$14,Paramètres!$A$1:$I$89,3,0)*VLOOKUP('Données projet'!$B$14,Paramètres!$A$1:$I$89,5,0)</f>
        <v>8.8675733422860506E-14</v>
      </c>
      <c r="DQ178" s="14">
        <f t="shared" si="176"/>
        <v>1.3509285393066301E-12</v>
      </c>
      <c r="DR178" s="22">
        <f t="shared" si="177"/>
        <v>2.5073107750038623E-12</v>
      </c>
      <c r="DS178" s="60">
        <f t="shared" si="125"/>
        <v>290.52514721436563</v>
      </c>
      <c r="DT178" s="60">
        <f ca="1">AVERAGE(OFFSET($DS$3,0,0,'Données projet'!$E$14+1,1))-AVERAGE(OFFSET($H$3,0,0,'Données projet'!$E$14+1,1))</f>
        <v>305.68891030516761</v>
      </c>
      <c r="DU178" s="60">
        <f t="shared" si="152"/>
        <v>296.00275062228275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69.234131058462665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-9.0949470177292824E-13</v>
      </c>
      <c r="EK178" s="18">
        <f>EJ178*VLOOKUP('Données projet'!$B$15,Paramètres!$A$1:$I$89,3,0)*VLOOKUP('Données projet'!$B$15,Paramètres!$A$1:$I$89,5,0)</f>
        <v>-8.7966327555477625E-13</v>
      </c>
      <c r="EL178" s="14" t="e">
        <f t="shared" si="179"/>
        <v>#NUM!</v>
      </c>
      <c r="EM178" s="22" t="e">
        <f t="shared" si="180"/>
        <v>#NUM!</v>
      </c>
      <c r="EN178" s="60" t="e">
        <f t="shared" si="128"/>
        <v>#NUM!</v>
      </c>
      <c r="EO178" s="60">
        <f ca="1">AVERAGE(OFFSET($EN$3,0,0,'Données projet'!$E$15+1,1))-AVERAGE(OFFSET($H$3,0,0,'Données projet'!$E$15+1,1))</f>
        <v>483.60545605360528</v>
      </c>
      <c r="EP178" s="60">
        <f t="shared" si="154"/>
        <v>256.96685577560345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69.234131058462665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0" t="e">
        <f t="shared" si="131"/>
        <v>#N/A</v>
      </c>
      <c r="FJ178" s="60" t="e">
        <f ca="1">AVERAGE(OFFSET($FI$3,0,0,'Données projet'!$E$16+1,1))-AVERAGE(OFFSET($H$3,0,0,'Données projet'!$E$16+1,1))</f>
        <v>#N/A</v>
      </c>
      <c r="FK178" s="60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69.234131058462665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0" t="e">
        <f t="shared" si="134"/>
        <v>#N/A</v>
      </c>
      <c r="GE178" s="60" t="e">
        <f ca="1">AVERAGE(OFFSET($GD$3,0,0,'Données projet'!$E$17+1,1))-AVERAGE(OFFSET($H$3,0,0,'Données projet'!$E$17+1,1))</f>
        <v>#N/A</v>
      </c>
      <c r="GF178" s="60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69.234131058462665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4">
        <f>'Scénario référence'!$B$16*5+'Scénario référence'!$B$17*0+'Scénario référence'!$B$18*5</f>
        <v>3.2750000000000004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12.008333333333335</v>
      </c>
      <c r="H179" s="67">
        <f t="shared" si="110"/>
        <v>208.63333333333333</v>
      </c>
      <c r="I179" s="7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69.247417172371911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-9.0949470177292824E-13</v>
      </c>
      <c r="O179" s="14">
        <f>N179*VLOOKUP('Données projet'!$B$9,Paramètres!$A$1:$I$89,3,0)*VLOOKUP('Données projet'!$B$9,Paramètres!$A$1:$I$89,5,0)</f>
        <v>-9.2222762759774924E-13</v>
      </c>
      <c r="P179" s="14" t="e">
        <f t="shared" si="141"/>
        <v>#NUM!</v>
      </c>
      <c r="Q179" s="22" t="e">
        <f t="shared" si="162"/>
        <v>#NUM!</v>
      </c>
      <c r="R179" s="60" t="e">
        <f t="shared" si="109"/>
        <v>#NUM!</v>
      </c>
      <c r="S179" s="60">
        <f ca="1">AVERAGE(OFFSET($R$3,0,0,'Données projet'!$E$9+1,1))-AVERAGE(OFFSET($H$3,0,0,'Données projet'!$E$9+1,1))</f>
        <v>503.64055031157477</v>
      </c>
      <c r="T179" s="60">
        <f t="shared" si="142"/>
        <v>266.76572540460842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69.247417172371911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-9.0949470177292824E-13</v>
      </c>
      <c r="AJ179" s="14">
        <f>AI179*VLOOKUP('Données projet'!$B$10,Paramètres!$A$1:$I$89,3,0)*VLOOKUP('Données projet'!$B$10,Paramètres!$A$1:$I$89,5,0)</f>
        <v>-8.2291080616414541E-13</v>
      </c>
      <c r="AK179" s="14" t="e">
        <f t="shared" si="164"/>
        <v>#NUM!</v>
      </c>
      <c r="AL179" s="22" t="e">
        <f t="shared" si="165"/>
        <v>#NUM!</v>
      </c>
      <c r="AM179" s="60" t="e">
        <f t="shared" si="113"/>
        <v>#NUM!</v>
      </c>
      <c r="AN179" s="60">
        <f ca="1">AVERAGE(OFFSET($AM$3,0,0,'Données projet'!$E$10+1,1))-AVERAGE(OFFSET($H$3,0,0,'Données projet'!$E$10+1,1))</f>
        <v>456.86058467343139</v>
      </c>
      <c r="AO179" s="60">
        <f t="shared" si="144"/>
        <v>243.88495931574937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69.247417172371911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-5.6843418860808015E-14</v>
      </c>
      <c r="BE179" s="14">
        <f>BD179*VLOOKUP('Données projet'!$B$11,Paramètres!$A$1:$I$89,3,0)*VLOOKUP('Données projet'!$B$11,Paramètres!$A$1:$I$89,5,0)</f>
        <v>-5.9412741393316544E-14</v>
      </c>
      <c r="BF179" s="14" t="e">
        <f t="shared" si="167"/>
        <v>#NUM!</v>
      </c>
      <c r="BG179" s="22" t="e">
        <f t="shared" si="168"/>
        <v>#NUM!</v>
      </c>
      <c r="BH179" s="60" t="e">
        <f t="shared" si="116"/>
        <v>#NUM!</v>
      </c>
      <c r="BI179" s="60">
        <f ca="1">AVERAGE(OFFSET($BH$3,0,0,'Données projet'!$E$11+1,1))-AVERAGE(OFFSET($H$3,0,0,'Données projet'!$E$11+1,1))</f>
        <v>518.47226207416952</v>
      </c>
      <c r="BJ179" s="60">
        <f t="shared" si="146"/>
        <v>314.6379787306804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69.247417172371911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-9.0949470177292824E-13</v>
      </c>
      <c r="BZ179" s="14">
        <f>BY179*VLOOKUP('Données projet'!$B$12,Paramètres!$A$1:$I$89,3,0)*VLOOKUP('Données projet'!$B$12,Paramètres!$A$1:$I$89,5,0)</f>
        <v>-9.7898009698837998E-13</v>
      </c>
      <c r="CA179" s="14" t="e">
        <f t="shared" si="170"/>
        <v>#NUM!</v>
      </c>
      <c r="CB179" s="22" t="e">
        <f t="shared" si="171"/>
        <v>#NUM!</v>
      </c>
      <c r="CC179" s="60" t="e">
        <f t="shared" si="119"/>
        <v>#NUM!</v>
      </c>
      <c r="CD179" s="60">
        <f ca="1">AVERAGE(OFFSET($CC$3,0,0,'Données projet'!$E$12+1,1))-AVERAGE(OFFSET($H$3,0,0,'Données projet'!$E$12+1,1))</f>
        <v>530.32456073177104</v>
      </c>
      <c r="CE179" s="60">
        <f t="shared" si="148"/>
        <v>279.81519428470625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69.247417172371911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3.4106051316484809E-13</v>
      </c>
      <c r="CU179" s="18">
        <f>CT179*VLOOKUP('Données projet'!$B$13,Paramètres!$A$1:$I$89,3,0)*VLOOKUP('Données projet'!$B$13,Paramètres!$A$1:$I$89,5,0)</f>
        <v>2.9795046430081134E-13</v>
      </c>
      <c r="CV179" s="14">
        <f t="shared" si="173"/>
        <v>3.9419014464513778E-12</v>
      </c>
      <c r="CW179" s="22">
        <f t="shared" si="174"/>
        <v>7.384408744560063E-12</v>
      </c>
      <c r="CX179" s="60">
        <f t="shared" si="122"/>
        <v>290.57386296537106</v>
      </c>
      <c r="CY179" s="60">
        <f ca="1">AVERAGE(OFFSET($CX$3,0,0,'Données projet'!$E$13+1,1))-AVERAGE(OFFSET($H$3,0,0,'Données projet'!$E$13+1,1))</f>
        <v>355.03862261578701</v>
      </c>
      <c r="CZ179" s="60">
        <f t="shared" si="150"/>
        <v>382.84441399266029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69.247417172371911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1.1368683772161603E-13</v>
      </c>
      <c r="DP179" s="18">
        <f>DO179*VLOOKUP('Données projet'!$B$14,Paramètres!$A$1:$I$89,3,0)*VLOOKUP('Données projet'!$B$14,Paramètres!$A$1:$I$89,5,0)</f>
        <v>8.8675733422860506E-14</v>
      </c>
      <c r="DQ179" s="14">
        <f t="shared" si="176"/>
        <v>1.3509285393066301E-12</v>
      </c>
      <c r="DR179" s="22">
        <f t="shared" si="177"/>
        <v>2.5073107750038623E-12</v>
      </c>
      <c r="DS179" s="60">
        <f t="shared" si="125"/>
        <v>290.57386296536617</v>
      </c>
      <c r="DT179" s="60">
        <f ca="1">AVERAGE(OFFSET($DS$3,0,0,'Données projet'!$E$14+1,1))-AVERAGE(OFFSET($H$3,0,0,'Données projet'!$E$14+1,1))</f>
        <v>305.68891030516761</v>
      </c>
      <c r="DU179" s="60">
        <f t="shared" si="152"/>
        <v>296.00275062228275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69.247417172371911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-9.0949470177292824E-13</v>
      </c>
      <c r="EK179" s="18">
        <f>EJ179*VLOOKUP('Données projet'!$B$15,Paramètres!$A$1:$I$89,3,0)*VLOOKUP('Données projet'!$B$15,Paramètres!$A$1:$I$89,5,0)</f>
        <v>-8.7966327555477625E-13</v>
      </c>
      <c r="EL179" s="14" t="e">
        <f t="shared" si="179"/>
        <v>#NUM!</v>
      </c>
      <c r="EM179" s="22" t="e">
        <f t="shared" si="180"/>
        <v>#NUM!</v>
      </c>
      <c r="EN179" s="60" t="e">
        <f t="shared" si="128"/>
        <v>#NUM!</v>
      </c>
      <c r="EO179" s="60">
        <f ca="1">AVERAGE(OFFSET($EN$3,0,0,'Données projet'!$E$15+1,1))-AVERAGE(OFFSET($H$3,0,0,'Données projet'!$E$15+1,1))</f>
        <v>483.60545605360528</v>
      </c>
      <c r="EP179" s="60">
        <f t="shared" si="154"/>
        <v>256.96685577560345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69.247417172371911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0" t="e">
        <f t="shared" si="131"/>
        <v>#N/A</v>
      </c>
      <c r="FJ179" s="60" t="e">
        <f ca="1">AVERAGE(OFFSET($FI$3,0,0,'Données projet'!$E$16+1,1))-AVERAGE(OFFSET($H$3,0,0,'Données projet'!$E$16+1,1))</f>
        <v>#N/A</v>
      </c>
      <c r="FK179" s="60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69.247417172371911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0" t="e">
        <f t="shared" si="134"/>
        <v>#N/A</v>
      </c>
      <c r="GE179" s="60" t="e">
        <f ca="1">AVERAGE(OFFSET($GD$3,0,0,'Données projet'!$E$17+1,1))-AVERAGE(OFFSET($H$3,0,0,'Données projet'!$E$17+1,1))</f>
        <v>#N/A</v>
      </c>
      <c r="GF179" s="60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69.247417172371911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4">
        <f>'Scénario référence'!$B$16*5+'Scénario référence'!$B$17*0+'Scénario référence'!$B$18*5</f>
        <v>3.2750000000000004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12.008333333333335</v>
      </c>
      <c r="H180" s="67">
        <f t="shared" si="110"/>
        <v>208.63333333333333</v>
      </c>
      <c r="I180" s="7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69.260472801908108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-9.0949470177292824E-13</v>
      </c>
      <c r="O180" s="14">
        <f>N180*VLOOKUP('Données projet'!$B$9,Paramètres!$A$1:$I$89,3,0)*VLOOKUP('Données projet'!$B$9,Paramètres!$A$1:$I$89,5,0)</f>
        <v>-9.2222762759774924E-13</v>
      </c>
      <c r="P180" s="14" t="e">
        <f t="shared" si="141"/>
        <v>#NUM!</v>
      </c>
      <c r="Q180" s="22" t="e">
        <f t="shared" si="162"/>
        <v>#NUM!</v>
      </c>
      <c r="R180" s="60" t="e">
        <f t="shared" si="109"/>
        <v>#NUM!</v>
      </c>
      <c r="S180" s="60">
        <f ca="1">AVERAGE(OFFSET($R$3,0,0,'Données projet'!$E$9+1,1))-AVERAGE(OFFSET($H$3,0,0,'Données projet'!$E$9+1,1))</f>
        <v>503.64055031157477</v>
      </c>
      <c r="T180" s="60">
        <f t="shared" si="142"/>
        <v>266.76572540460842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69.260472801908108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-9.0949470177292824E-13</v>
      </c>
      <c r="AJ180" s="14">
        <f>AI180*VLOOKUP('Données projet'!$B$10,Paramètres!$A$1:$I$89,3,0)*VLOOKUP('Données projet'!$B$10,Paramètres!$A$1:$I$89,5,0)</f>
        <v>-8.2291080616414541E-13</v>
      </c>
      <c r="AK180" s="14" t="e">
        <f t="shared" si="164"/>
        <v>#NUM!</v>
      </c>
      <c r="AL180" s="22" t="e">
        <f t="shared" si="165"/>
        <v>#NUM!</v>
      </c>
      <c r="AM180" s="60" t="e">
        <f t="shared" si="113"/>
        <v>#NUM!</v>
      </c>
      <c r="AN180" s="60">
        <f ca="1">AVERAGE(OFFSET($AM$3,0,0,'Données projet'!$E$10+1,1))-AVERAGE(OFFSET($H$3,0,0,'Données projet'!$E$10+1,1))</f>
        <v>456.86058467343139</v>
      </c>
      <c r="AO180" s="60">
        <f t="shared" si="144"/>
        <v>243.88495931574937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69.260472801908108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-5.6843418860808015E-14</v>
      </c>
      <c r="BE180" s="14">
        <f>BD180*VLOOKUP('Données projet'!$B$11,Paramètres!$A$1:$I$89,3,0)*VLOOKUP('Données projet'!$B$11,Paramètres!$A$1:$I$89,5,0)</f>
        <v>-5.9412741393316544E-14</v>
      </c>
      <c r="BF180" s="14" t="e">
        <f t="shared" si="167"/>
        <v>#NUM!</v>
      </c>
      <c r="BG180" s="22" t="e">
        <f t="shared" si="168"/>
        <v>#NUM!</v>
      </c>
      <c r="BH180" s="60" t="e">
        <f t="shared" si="116"/>
        <v>#NUM!</v>
      </c>
      <c r="BI180" s="60">
        <f ca="1">AVERAGE(OFFSET($BH$3,0,0,'Données projet'!$E$11+1,1))-AVERAGE(OFFSET($H$3,0,0,'Données projet'!$E$11+1,1))</f>
        <v>518.47226207416952</v>
      </c>
      <c r="BJ180" s="60">
        <f t="shared" si="146"/>
        <v>314.6379787306804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69.260472801908108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-9.0949470177292824E-13</v>
      </c>
      <c r="BZ180" s="14">
        <f>BY180*VLOOKUP('Données projet'!$B$12,Paramètres!$A$1:$I$89,3,0)*VLOOKUP('Données projet'!$B$12,Paramètres!$A$1:$I$89,5,0)</f>
        <v>-9.7898009698837998E-13</v>
      </c>
      <c r="CA180" s="14" t="e">
        <f t="shared" si="170"/>
        <v>#NUM!</v>
      </c>
      <c r="CB180" s="22" t="e">
        <f t="shared" si="171"/>
        <v>#NUM!</v>
      </c>
      <c r="CC180" s="60" t="e">
        <f t="shared" si="119"/>
        <v>#NUM!</v>
      </c>
      <c r="CD180" s="60">
        <f ca="1">AVERAGE(OFFSET($CC$3,0,0,'Données projet'!$E$12+1,1))-AVERAGE(OFFSET($H$3,0,0,'Données projet'!$E$12+1,1))</f>
        <v>530.32456073177104</v>
      </c>
      <c r="CE180" s="60">
        <f t="shared" si="148"/>
        <v>279.81519428470625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69.260472801908108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3.4106051316484809E-13</v>
      </c>
      <c r="CU180" s="18">
        <f>CT180*VLOOKUP('Données projet'!$B$13,Paramètres!$A$1:$I$89,3,0)*VLOOKUP('Données projet'!$B$13,Paramètres!$A$1:$I$89,5,0)</f>
        <v>2.9795046430081134E-13</v>
      </c>
      <c r="CV180" s="14">
        <f t="shared" si="173"/>
        <v>3.9419014464513778E-12</v>
      </c>
      <c r="CW180" s="22">
        <f t="shared" si="174"/>
        <v>7.384408744560063E-12</v>
      </c>
      <c r="CX180" s="60">
        <f t="shared" si="122"/>
        <v>290.62173360700382</v>
      </c>
      <c r="CY180" s="60">
        <f ca="1">AVERAGE(OFFSET($CX$3,0,0,'Données projet'!$E$13+1,1))-AVERAGE(OFFSET($H$3,0,0,'Données projet'!$E$13+1,1))</f>
        <v>355.03862261578701</v>
      </c>
      <c r="CZ180" s="60">
        <f t="shared" si="150"/>
        <v>382.84441399266029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69.260472801908108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1.1368683772161603E-13</v>
      </c>
      <c r="DP180" s="18">
        <f>DO180*VLOOKUP('Données projet'!$B$14,Paramètres!$A$1:$I$89,3,0)*VLOOKUP('Données projet'!$B$14,Paramètres!$A$1:$I$89,5,0)</f>
        <v>8.8675733422860506E-14</v>
      </c>
      <c r="DQ180" s="14">
        <f t="shared" si="176"/>
        <v>1.3509285393066301E-12</v>
      </c>
      <c r="DR180" s="22">
        <f t="shared" si="177"/>
        <v>2.5073107750038623E-12</v>
      </c>
      <c r="DS180" s="60">
        <f t="shared" si="125"/>
        <v>290.62173360699893</v>
      </c>
      <c r="DT180" s="60">
        <f ca="1">AVERAGE(OFFSET($DS$3,0,0,'Données projet'!$E$14+1,1))-AVERAGE(OFFSET($H$3,0,0,'Données projet'!$E$14+1,1))</f>
        <v>305.68891030516761</v>
      </c>
      <c r="DU180" s="60">
        <f t="shared" si="152"/>
        <v>296.00275062228275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69.260472801908108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-9.0949470177292824E-13</v>
      </c>
      <c r="EK180" s="18">
        <f>EJ180*VLOOKUP('Données projet'!$B$15,Paramètres!$A$1:$I$89,3,0)*VLOOKUP('Données projet'!$B$15,Paramètres!$A$1:$I$89,5,0)</f>
        <v>-8.7966327555477625E-13</v>
      </c>
      <c r="EL180" s="14" t="e">
        <f t="shared" si="179"/>
        <v>#NUM!</v>
      </c>
      <c r="EM180" s="22" t="e">
        <f t="shared" si="180"/>
        <v>#NUM!</v>
      </c>
      <c r="EN180" s="60" t="e">
        <f t="shared" si="128"/>
        <v>#NUM!</v>
      </c>
      <c r="EO180" s="60">
        <f ca="1">AVERAGE(OFFSET($EN$3,0,0,'Données projet'!$E$15+1,1))-AVERAGE(OFFSET($H$3,0,0,'Données projet'!$E$15+1,1))</f>
        <v>483.60545605360528</v>
      </c>
      <c r="EP180" s="60">
        <f t="shared" si="154"/>
        <v>256.96685577560345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69.260472801908108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0" t="e">
        <f t="shared" si="131"/>
        <v>#N/A</v>
      </c>
      <c r="FJ180" s="60" t="e">
        <f ca="1">AVERAGE(OFFSET($FI$3,0,0,'Données projet'!$E$16+1,1))-AVERAGE(OFFSET($H$3,0,0,'Données projet'!$E$16+1,1))</f>
        <v>#N/A</v>
      </c>
      <c r="FK180" s="60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69.260472801908108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0" t="e">
        <f t="shared" si="134"/>
        <v>#N/A</v>
      </c>
      <c r="GE180" s="60" t="e">
        <f ca="1">AVERAGE(OFFSET($GD$3,0,0,'Données projet'!$E$17+1,1))-AVERAGE(OFFSET($H$3,0,0,'Données projet'!$E$17+1,1))</f>
        <v>#N/A</v>
      </c>
      <c r="GF180" s="60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69.260472801908108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4">
        <f>'Scénario référence'!$B$16*5+'Scénario référence'!$B$17*0+'Scénario référence'!$B$18*5</f>
        <v>3.2750000000000004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12.008333333333335</v>
      </c>
      <c r="H181" s="67">
        <f t="shared" si="110"/>
        <v>208.63333333333333</v>
      </c>
      <c r="I181" s="7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69.273301945459878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-9.0949470177292824E-13</v>
      </c>
      <c r="O181" s="14">
        <f>N181*VLOOKUP('Données projet'!$B$9,Paramètres!$A$1:$I$89,3,0)*VLOOKUP('Données projet'!$B$9,Paramètres!$A$1:$I$89,5,0)</f>
        <v>-9.2222762759774924E-13</v>
      </c>
      <c r="P181" s="14" t="e">
        <f t="shared" si="141"/>
        <v>#NUM!</v>
      </c>
      <c r="Q181" s="22" t="e">
        <f t="shared" si="162"/>
        <v>#NUM!</v>
      </c>
      <c r="R181" s="60" t="e">
        <f t="shared" si="109"/>
        <v>#NUM!</v>
      </c>
      <c r="S181" s="60">
        <f ca="1">AVERAGE(OFFSET($R$3,0,0,'Données projet'!$E$9+1,1))-AVERAGE(OFFSET($H$3,0,0,'Données projet'!$E$9+1,1))</f>
        <v>503.64055031157477</v>
      </c>
      <c r="T181" s="60">
        <f t="shared" si="142"/>
        <v>266.76572540460842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69.273301945459878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-9.0949470177292824E-13</v>
      </c>
      <c r="AJ181" s="14">
        <f>AI181*VLOOKUP('Données projet'!$B$10,Paramètres!$A$1:$I$89,3,0)*VLOOKUP('Données projet'!$B$10,Paramètres!$A$1:$I$89,5,0)</f>
        <v>-8.2291080616414541E-13</v>
      </c>
      <c r="AK181" s="14" t="e">
        <f t="shared" si="164"/>
        <v>#NUM!</v>
      </c>
      <c r="AL181" s="22" t="e">
        <f t="shared" si="165"/>
        <v>#NUM!</v>
      </c>
      <c r="AM181" s="60" t="e">
        <f t="shared" si="113"/>
        <v>#NUM!</v>
      </c>
      <c r="AN181" s="60">
        <f ca="1">AVERAGE(OFFSET($AM$3,0,0,'Données projet'!$E$10+1,1))-AVERAGE(OFFSET($H$3,0,0,'Données projet'!$E$10+1,1))</f>
        <v>456.86058467343139</v>
      </c>
      <c r="AO181" s="60">
        <f t="shared" si="144"/>
        <v>243.88495931574937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69.273301945459878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-5.6843418860808015E-14</v>
      </c>
      <c r="BE181" s="14">
        <f>BD181*VLOOKUP('Données projet'!$B$11,Paramètres!$A$1:$I$89,3,0)*VLOOKUP('Données projet'!$B$11,Paramètres!$A$1:$I$89,5,0)</f>
        <v>-5.9412741393316544E-14</v>
      </c>
      <c r="BF181" s="14" t="e">
        <f t="shared" si="167"/>
        <v>#NUM!</v>
      </c>
      <c r="BG181" s="22" t="e">
        <f t="shared" si="168"/>
        <v>#NUM!</v>
      </c>
      <c r="BH181" s="60" t="e">
        <f t="shared" si="116"/>
        <v>#NUM!</v>
      </c>
      <c r="BI181" s="60">
        <f ca="1">AVERAGE(OFFSET($BH$3,0,0,'Données projet'!$E$11+1,1))-AVERAGE(OFFSET($H$3,0,0,'Données projet'!$E$11+1,1))</f>
        <v>518.47226207416952</v>
      </c>
      <c r="BJ181" s="60">
        <f t="shared" si="146"/>
        <v>314.6379787306804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69.273301945459878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-9.0949470177292824E-13</v>
      </c>
      <c r="BZ181" s="14">
        <f>BY181*VLOOKUP('Données projet'!$B$12,Paramètres!$A$1:$I$89,3,0)*VLOOKUP('Données projet'!$B$12,Paramètres!$A$1:$I$89,5,0)</f>
        <v>-9.7898009698837998E-13</v>
      </c>
      <c r="CA181" s="14" t="e">
        <f t="shared" si="170"/>
        <v>#NUM!</v>
      </c>
      <c r="CB181" s="22" t="e">
        <f t="shared" si="171"/>
        <v>#NUM!</v>
      </c>
      <c r="CC181" s="60" t="e">
        <f t="shared" si="119"/>
        <v>#NUM!</v>
      </c>
      <c r="CD181" s="60">
        <f ca="1">AVERAGE(OFFSET($CC$3,0,0,'Données projet'!$E$12+1,1))-AVERAGE(OFFSET($H$3,0,0,'Données projet'!$E$12+1,1))</f>
        <v>530.32456073177104</v>
      </c>
      <c r="CE181" s="60">
        <f t="shared" si="148"/>
        <v>279.81519428470625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69.273301945459878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3.4106051316484809E-13</v>
      </c>
      <c r="CU181" s="18">
        <f>CT181*VLOOKUP('Données projet'!$B$13,Paramètres!$A$1:$I$89,3,0)*VLOOKUP('Données projet'!$B$13,Paramètres!$A$1:$I$89,5,0)</f>
        <v>2.9795046430081134E-13</v>
      </c>
      <c r="CV181" s="14">
        <f t="shared" si="173"/>
        <v>3.9419014464513778E-12</v>
      </c>
      <c r="CW181" s="22">
        <f t="shared" si="174"/>
        <v>7.384408744560063E-12</v>
      </c>
      <c r="CX181" s="60">
        <f t="shared" si="122"/>
        <v>290.66877380002694</v>
      </c>
      <c r="CY181" s="60">
        <f ca="1">AVERAGE(OFFSET($CX$3,0,0,'Données projet'!$E$13+1,1))-AVERAGE(OFFSET($H$3,0,0,'Données projet'!$E$13+1,1))</f>
        <v>355.03862261578701</v>
      </c>
      <c r="CZ181" s="60">
        <f t="shared" si="150"/>
        <v>382.84441399266029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69.273301945459878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1.1368683772161603E-13</v>
      </c>
      <c r="DP181" s="18">
        <f>DO181*VLOOKUP('Données projet'!$B$14,Paramètres!$A$1:$I$89,3,0)*VLOOKUP('Données projet'!$B$14,Paramètres!$A$1:$I$89,5,0)</f>
        <v>8.8675733422860506E-14</v>
      </c>
      <c r="DQ181" s="14">
        <f t="shared" si="176"/>
        <v>1.3509285393066301E-12</v>
      </c>
      <c r="DR181" s="22">
        <f t="shared" si="177"/>
        <v>2.5073107750038623E-12</v>
      </c>
      <c r="DS181" s="60">
        <f t="shared" si="125"/>
        <v>290.66877380002205</v>
      </c>
      <c r="DT181" s="60">
        <f ca="1">AVERAGE(OFFSET($DS$3,0,0,'Données projet'!$E$14+1,1))-AVERAGE(OFFSET($H$3,0,0,'Données projet'!$E$14+1,1))</f>
        <v>305.68891030516761</v>
      </c>
      <c r="DU181" s="60">
        <f t="shared" si="152"/>
        <v>296.00275062228275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69.273301945459878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-9.0949470177292824E-13</v>
      </c>
      <c r="EK181" s="18">
        <f>EJ181*VLOOKUP('Données projet'!$B$15,Paramètres!$A$1:$I$89,3,0)*VLOOKUP('Données projet'!$B$15,Paramètres!$A$1:$I$89,5,0)</f>
        <v>-8.7966327555477625E-13</v>
      </c>
      <c r="EL181" s="14" t="e">
        <f t="shared" si="179"/>
        <v>#NUM!</v>
      </c>
      <c r="EM181" s="22" t="e">
        <f t="shared" si="180"/>
        <v>#NUM!</v>
      </c>
      <c r="EN181" s="60" t="e">
        <f t="shared" si="128"/>
        <v>#NUM!</v>
      </c>
      <c r="EO181" s="60">
        <f ca="1">AVERAGE(OFFSET($EN$3,0,0,'Données projet'!$E$15+1,1))-AVERAGE(OFFSET($H$3,0,0,'Données projet'!$E$15+1,1))</f>
        <v>483.60545605360528</v>
      </c>
      <c r="EP181" s="60">
        <f t="shared" si="154"/>
        <v>256.96685577560345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69.273301945459878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0" t="e">
        <f t="shared" si="131"/>
        <v>#N/A</v>
      </c>
      <c r="FJ181" s="60" t="e">
        <f ca="1">AVERAGE(OFFSET($FI$3,0,0,'Données projet'!$E$16+1,1))-AVERAGE(OFFSET($H$3,0,0,'Données projet'!$E$16+1,1))</f>
        <v>#N/A</v>
      </c>
      <c r="FK181" s="60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69.273301945459878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0" t="e">
        <f t="shared" si="134"/>
        <v>#N/A</v>
      </c>
      <c r="GE181" s="60" t="e">
        <f ca="1">AVERAGE(OFFSET($GD$3,0,0,'Données projet'!$E$17+1,1))-AVERAGE(OFFSET($H$3,0,0,'Données projet'!$E$17+1,1))</f>
        <v>#N/A</v>
      </c>
      <c r="GF181" s="60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69.273301945459878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4">
        <f>'Scénario référence'!$B$16*5+'Scénario référence'!$B$17*0+'Scénario référence'!$B$18*5</f>
        <v>3.2750000000000004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12.008333333333335</v>
      </c>
      <c r="H182" s="67">
        <f t="shared" si="110"/>
        <v>208.63333333333333</v>
      </c>
      <c r="I182" s="7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69.285908532052673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-9.0949470177292824E-13</v>
      </c>
      <c r="O182" s="14">
        <f>N182*VLOOKUP('Données projet'!$B$9,Paramètres!$A$1:$I$89,3,0)*VLOOKUP('Données projet'!$B$9,Paramètres!$A$1:$I$89,5,0)</f>
        <v>-9.2222762759774924E-13</v>
      </c>
      <c r="P182" s="14" t="e">
        <f t="shared" si="141"/>
        <v>#NUM!</v>
      </c>
      <c r="Q182" s="22" t="e">
        <f t="shared" si="162"/>
        <v>#NUM!</v>
      </c>
      <c r="R182" s="60" t="e">
        <f t="shared" si="109"/>
        <v>#NUM!</v>
      </c>
      <c r="S182" s="60">
        <f ca="1">AVERAGE(OFFSET($R$3,0,0,'Données projet'!$E$9+1,1))-AVERAGE(OFFSET($H$3,0,0,'Données projet'!$E$9+1,1))</f>
        <v>503.64055031157477</v>
      </c>
      <c r="T182" s="60">
        <f t="shared" si="142"/>
        <v>266.76572540460842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69.285908532052673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-9.0949470177292824E-13</v>
      </c>
      <c r="AJ182" s="14">
        <f>AI182*VLOOKUP('Données projet'!$B$10,Paramètres!$A$1:$I$89,3,0)*VLOOKUP('Données projet'!$B$10,Paramètres!$A$1:$I$89,5,0)</f>
        <v>-8.2291080616414541E-13</v>
      </c>
      <c r="AK182" s="14" t="e">
        <f t="shared" si="164"/>
        <v>#NUM!</v>
      </c>
      <c r="AL182" s="22" t="e">
        <f t="shared" si="165"/>
        <v>#NUM!</v>
      </c>
      <c r="AM182" s="60" t="e">
        <f t="shared" si="113"/>
        <v>#NUM!</v>
      </c>
      <c r="AN182" s="60">
        <f ca="1">AVERAGE(OFFSET($AM$3,0,0,'Données projet'!$E$10+1,1))-AVERAGE(OFFSET($H$3,0,0,'Données projet'!$E$10+1,1))</f>
        <v>456.86058467343139</v>
      </c>
      <c r="AO182" s="60">
        <f t="shared" si="144"/>
        <v>243.88495931574937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69.285908532052673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-5.6843418860808015E-14</v>
      </c>
      <c r="BE182" s="14">
        <f>BD182*VLOOKUP('Données projet'!$B$11,Paramètres!$A$1:$I$89,3,0)*VLOOKUP('Données projet'!$B$11,Paramètres!$A$1:$I$89,5,0)</f>
        <v>-5.9412741393316544E-14</v>
      </c>
      <c r="BF182" s="14" t="e">
        <f t="shared" si="167"/>
        <v>#NUM!</v>
      </c>
      <c r="BG182" s="22" t="e">
        <f t="shared" si="168"/>
        <v>#NUM!</v>
      </c>
      <c r="BH182" s="60" t="e">
        <f t="shared" si="116"/>
        <v>#NUM!</v>
      </c>
      <c r="BI182" s="60">
        <f ca="1">AVERAGE(OFFSET($BH$3,0,0,'Données projet'!$E$11+1,1))-AVERAGE(OFFSET($H$3,0,0,'Données projet'!$E$11+1,1))</f>
        <v>518.47226207416952</v>
      </c>
      <c r="BJ182" s="60">
        <f t="shared" si="146"/>
        <v>314.6379787306804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69.285908532052673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-9.0949470177292824E-13</v>
      </c>
      <c r="BZ182" s="14">
        <f>BY182*VLOOKUP('Données projet'!$B$12,Paramètres!$A$1:$I$89,3,0)*VLOOKUP('Données projet'!$B$12,Paramètres!$A$1:$I$89,5,0)</f>
        <v>-9.7898009698837998E-13</v>
      </c>
      <c r="CA182" s="14" t="e">
        <f t="shared" si="170"/>
        <v>#NUM!</v>
      </c>
      <c r="CB182" s="22" t="e">
        <f t="shared" si="171"/>
        <v>#NUM!</v>
      </c>
      <c r="CC182" s="60" t="e">
        <f t="shared" si="119"/>
        <v>#NUM!</v>
      </c>
      <c r="CD182" s="60">
        <f ca="1">AVERAGE(OFFSET($CC$3,0,0,'Données projet'!$E$12+1,1))-AVERAGE(OFFSET($H$3,0,0,'Données projet'!$E$12+1,1))</f>
        <v>530.32456073177104</v>
      </c>
      <c r="CE182" s="60">
        <f t="shared" si="148"/>
        <v>279.81519428470625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69.285908532052673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3.4106051316484809E-13</v>
      </c>
      <c r="CU182" s="18">
        <f>CT182*VLOOKUP('Données projet'!$B$13,Paramètres!$A$1:$I$89,3,0)*VLOOKUP('Données projet'!$B$13,Paramètres!$A$1:$I$89,5,0)</f>
        <v>2.9795046430081134E-13</v>
      </c>
      <c r="CV182" s="14">
        <f t="shared" si="173"/>
        <v>3.9419014464513778E-12</v>
      </c>
      <c r="CW182" s="22">
        <f t="shared" si="174"/>
        <v>7.384408744560063E-12</v>
      </c>
      <c r="CX182" s="60">
        <f t="shared" si="122"/>
        <v>290.7149979508672</v>
      </c>
      <c r="CY182" s="60">
        <f ca="1">AVERAGE(OFFSET($CX$3,0,0,'Données projet'!$E$13+1,1))-AVERAGE(OFFSET($H$3,0,0,'Données projet'!$E$13+1,1))</f>
        <v>355.03862261578701</v>
      </c>
      <c r="CZ182" s="60">
        <f t="shared" si="150"/>
        <v>382.84441399266029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69.285908532052673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1.1368683772161603E-13</v>
      </c>
      <c r="DP182" s="18">
        <f>DO182*VLOOKUP('Données projet'!$B$14,Paramètres!$A$1:$I$89,3,0)*VLOOKUP('Données projet'!$B$14,Paramètres!$A$1:$I$89,5,0)</f>
        <v>8.8675733422860506E-14</v>
      </c>
      <c r="DQ182" s="14">
        <f t="shared" si="176"/>
        <v>1.3509285393066301E-12</v>
      </c>
      <c r="DR182" s="22">
        <f t="shared" si="177"/>
        <v>2.5073107750038623E-12</v>
      </c>
      <c r="DS182" s="60">
        <f t="shared" si="125"/>
        <v>290.71499795086231</v>
      </c>
      <c r="DT182" s="60">
        <f ca="1">AVERAGE(OFFSET($DS$3,0,0,'Données projet'!$E$14+1,1))-AVERAGE(OFFSET($H$3,0,0,'Données projet'!$E$14+1,1))</f>
        <v>305.68891030516761</v>
      </c>
      <c r="DU182" s="60">
        <f t="shared" si="152"/>
        <v>296.00275062228275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69.285908532052673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-9.0949470177292824E-13</v>
      </c>
      <c r="EK182" s="18">
        <f>EJ182*VLOOKUP('Données projet'!$B$15,Paramètres!$A$1:$I$89,3,0)*VLOOKUP('Données projet'!$B$15,Paramètres!$A$1:$I$89,5,0)</f>
        <v>-8.7966327555477625E-13</v>
      </c>
      <c r="EL182" s="14" t="e">
        <f t="shared" si="179"/>
        <v>#NUM!</v>
      </c>
      <c r="EM182" s="22" t="e">
        <f t="shared" si="180"/>
        <v>#NUM!</v>
      </c>
      <c r="EN182" s="60" t="e">
        <f t="shared" si="128"/>
        <v>#NUM!</v>
      </c>
      <c r="EO182" s="60">
        <f ca="1">AVERAGE(OFFSET($EN$3,0,0,'Données projet'!$E$15+1,1))-AVERAGE(OFFSET($H$3,0,0,'Données projet'!$E$15+1,1))</f>
        <v>483.60545605360528</v>
      </c>
      <c r="EP182" s="60">
        <f t="shared" si="154"/>
        <v>256.96685577560345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69.285908532052673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0" t="e">
        <f t="shared" si="131"/>
        <v>#N/A</v>
      </c>
      <c r="FJ182" s="60" t="e">
        <f ca="1">AVERAGE(OFFSET($FI$3,0,0,'Données projet'!$E$16+1,1))-AVERAGE(OFFSET($H$3,0,0,'Données projet'!$E$16+1,1))</f>
        <v>#N/A</v>
      </c>
      <c r="FK182" s="60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69.285908532052673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0" t="e">
        <f t="shared" si="134"/>
        <v>#N/A</v>
      </c>
      <c r="GE182" s="60" t="e">
        <f ca="1">AVERAGE(OFFSET($GD$3,0,0,'Données projet'!$E$17+1,1))-AVERAGE(OFFSET($H$3,0,0,'Données projet'!$E$17+1,1))</f>
        <v>#N/A</v>
      </c>
      <c r="GF182" s="60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69.285908532052673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4">
        <f>'Scénario référence'!$B$16*5+'Scénario référence'!$B$17*0+'Scénario référence'!$B$18*5</f>
        <v>3.2750000000000004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12.008333333333335</v>
      </c>
      <c r="H183" s="67">
        <f t="shared" si="110"/>
        <v>208.63333333333333</v>
      </c>
      <c r="I183" s="7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69.298296422552212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-9.0949470177292824E-13</v>
      </c>
      <c r="O183" s="14">
        <f>N183*VLOOKUP('Données projet'!$B$9,Paramètres!$A$1:$I$89,3,0)*VLOOKUP('Données projet'!$B$9,Paramètres!$A$1:$I$89,5,0)</f>
        <v>-9.2222762759774924E-13</v>
      </c>
      <c r="P183" s="14" t="e">
        <f t="shared" si="141"/>
        <v>#NUM!</v>
      </c>
      <c r="Q183" s="22" t="e">
        <f t="shared" si="162"/>
        <v>#NUM!</v>
      </c>
      <c r="R183" s="60" t="e">
        <f t="shared" si="109"/>
        <v>#NUM!</v>
      </c>
      <c r="S183" s="60">
        <f ca="1">AVERAGE(OFFSET($R$3,0,0,'Données projet'!$E$9+1,1))-AVERAGE(OFFSET($H$3,0,0,'Données projet'!$E$9+1,1))</f>
        <v>503.64055031157477</v>
      </c>
      <c r="T183" s="60">
        <f t="shared" si="142"/>
        <v>266.76572540460842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69.298296422552212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-9.0949470177292824E-13</v>
      </c>
      <c r="AJ183" s="14">
        <f>AI183*VLOOKUP('Données projet'!$B$10,Paramètres!$A$1:$I$89,3,0)*VLOOKUP('Données projet'!$B$10,Paramètres!$A$1:$I$89,5,0)</f>
        <v>-8.2291080616414541E-13</v>
      </c>
      <c r="AK183" s="14" t="e">
        <f t="shared" si="164"/>
        <v>#NUM!</v>
      </c>
      <c r="AL183" s="22" t="e">
        <f t="shared" si="165"/>
        <v>#NUM!</v>
      </c>
      <c r="AM183" s="60" t="e">
        <f t="shared" si="113"/>
        <v>#NUM!</v>
      </c>
      <c r="AN183" s="60">
        <f ca="1">AVERAGE(OFFSET($AM$3,0,0,'Données projet'!$E$10+1,1))-AVERAGE(OFFSET($H$3,0,0,'Données projet'!$E$10+1,1))</f>
        <v>456.86058467343139</v>
      </c>
      <c r="AO183" s="60">
        <f t="shared" si="144"/>
        <v>243.88495931574937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69.298296422552212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-5.6843418860808015E-14</v>
      </c>
      <c r="BE183" s="14">
        <f>BD183*VLOOKUP('Données projet'!$B$11,Paramètres!$A$1:$I$89,3,0)*VLOOKUP('Données projet'!$B$11,Paramètres!$A$1:$I$89,5,0)</f>
        <v>-5.9412741393316544E-14</v>
      </c>
      <c r="BF183" s="14" t="e">
        <f t="shared" si="167"/>
        <v>#NUM!</v>
      </c>
      <c r="BG183" s="22" t="e">
        <f t="shared" si="168"/>
        <v>#NUM!</v>
      </c>
      <c r="BH183" s="60" t="e">
        <f t="shared" si="116"/>
        <v>#NUM!</v>
      </c>
      <c r="BI183" s="60">
        <f ca="1">AVERAGE(OFFSET($BH$3,0,0,'Données projet'!$E$11+1,1))-AVERAGE(OFFSET($H$3,0,0,'Données projet'!$E$11+1,1))</f>
        <v>518.47226207416952</v>
      </c>
      <c r="BJ183" s="60">
        <f t="shared" si="146"/>
        <v>314.6379787306804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69.298296422552212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-9.0949470177292824E-13</v>
      </c>
      <c r="BZ183" s="14">
        <f>BY183*VLOOKUP('Données projet'!$B$12,Paramètres!$A$1:$I$89,3,0)*VLOOKUP('Données projet'!$B$12,Paramètres!$A$1:$I$89,5,0)</f>
        <v>-9.7898009698837998E-13</v>
      </c>
      <c r="CA183" s="14" t="e">
        <f t="shared" si="170"/>
        <v>#NUM!</v>
      </c>
      <c r="CB183" s="22" t="e">
        <f t="shared" si="171"/>
        <v>#NUM!</v>
      </c>
      <c r="CC183" s="60" t="e">
        <f t="shared" si="119"/>
        <v>#NUM!</v>
      </c>
      <c r="CD183" s="60">
        <f ca="1">AVERAGE(OFFSET($CC$3,0,0,'Données projet'!$E$12+1,1))-AVERAGE(OFFSET($H$3,0,0,'Données projet'!$E$12+1,1))</f>
        <v>530.32456073177104</v>
      </c>
      <c r="CE183" s="60">
        <f t="shared" si="148"/>
        <v>279.81519428470625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69.298296422552212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3.4106051316484809E-13</v>
      </c>
      <c r="CU183" s="18">
        <f>CT183*VLOOKUP('Données projet'!$B$13,Paramètres!$A$1:$I$89,3,0)*VLOOKUP('Données projet'!$B$13,Paramètres!$A$1:$I$89,5,0)</f>
        <v>2.9795046430081134E-13</v>
      </c>
      <c r="CV183" s="14">
        <f t="shared" si="173"/>
        <v>3.9419014464513778E-12</v>
      </c>
      <c r="CW183" s="22">
        <f t="shared" si="174"/>
        <v>7.384408744560063E-12</v>
      </c>
      <c r="CX183" s="60">
        <f t="shared" si="122"/>
        <v>290.76042021603217</v>
      </c>
      <c r="CY183" s="60">
        <f ca="1">AVERAGE(OFFSET($CX$3,0,0,'Données projet'!$E$13+1,1))-AVERAGE(OFFSET($H$3,0,0,'Données projet'!$E$13+1,1))</f>
        <v>355.03862261578701</v>
      </c>
      <c r="CZ183" s="60">
        <f t="shared" si="150"/>
        <v>382.84441399266029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69.298296422552212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1.1368683772161603E-13</v>
      </c>
      <c r="DP183" s="18">
        <f>DO183*VLOOKUP('Données projet'!$B$14,Paramètres!$A$1:$I$89,3,0)*VLOOKUP('Données projet'!$B$14,Paramètres!$A$1:$I$89,5,0)</f>
        <v>8.8675733422860506E-14</v>
      </c>
      <c r="DQ183" s="14">
        <f t="shared" si="176"/>
        <v>1.3509285393066301E-12</v>
      </c>
      <c r="DR183" s="22">
        <f t="shared" si="177"/>
        <v>2.5073107750038623E-12</v>
      </c>
      <c r="DS183" s="60">
        <f t="shared" si="125"/>
        <v>290.76042021602728</v>
      </c>
      <c r="DT183" s="60">
        <f ca="1">AVERAGE(OFFSET($DS$3,0,0,'Données projet'!$E$14+1,1))-AVERAGE(OFFSET($H$3,0,0,'Données projet'!$E$14+1,1))</f>
        <v>305.68891030516761</v>
      </c>
      <c r="DU183" s="60">
        <f t="shared" si="152"/>
        <v>296.00275062228275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69.298296422552212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-9.0949470177292824E-13</v>
      </c>
      <c r="EK183" s="18">
        <f>EJ183*VLOOKUP('Données projet'!$B$15,Paramètres!$A$1:$I$89,3,0)*VLOOKUP('Données projet'!$B$15,Paramètres!$A$1:$I$89,5,0)</f>
        <v>-8.7966327555477625E-13</v>
      </c>
      <c r="EL183" s="14" t="e">
        <f t="shared" si="179"/>
        <v>#NUM!</v>
      </c>
      <c r="EM183" s="22" t="e">
        <f t="shared" si="180"/>
        <v>#NUM!</v>
      </c>
      <c r="EN183" s="60" t="e">
        <f t="shared" si="128"/>
        <v>#NUM!</v>
      </c>
      <c r="EO183" s="60">
        <f ca="1">AVERAGE(OFFSET($EN$3,0,0,'Données projet'!$E$15+1,1))-AVERAGE(OFFSET($H$3,0,0,'Données projet'!$E$15+1,1))</f>
        <v>483.60545605360528</v>
      </c>
      <c r="EP183" s="60">
        <f t="shared" si="154"/>
        <v>256.96685577560345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69.298296422552212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0" t="e">
        <f t="shared" si="131"/>
        <v>#N/A</v>
      </c>
      <c r="FJ183" s="60" t="e">
        <f ca="1">AVERAGE(OFFSET($FI$3,0,0,'Données projet'!$E$16+1,1))-AVERAGE(OFFSET($H$3,0,0,'Données projet'!$E$16+1,1))</f>
        <v>#N/A</v>
      </c>
      <c r="FK183" s="60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69.298296422552212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0" t="e">
        <f t="shared" si="134"/>
        <v>#N/A</v>
      </c>
      <c r="GE183" s="60" t="e">
        <f ca="1">AVERAGE(OFFSET($GD$3,0,0,'Données projet'!$E$17+1,1))-AVERAGE(OFFSET($H$3,0,0,'Données projet'!$E$17+1,1))</f>
        <v>#N/A</v>
      </c>
      <c r="GF183" s="60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69.298296422552212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4">
        <f>'Scénario référence'!$B$16*5+'Scénario référence'!$B$17*0+'Scénario référence'!$B$18*5</f>
        <v>3.2750000000000004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12.008333333333335</v>
      </c>
      <c r="H184" s="67">
        <f t="shared" si="110"/>
        <v>208.63333333333333</v>
      </c>
      <c r="I184" s="7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69.31046941084675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-9.0949470177292824E-13</v>
      </c>
      <c r="O184" s="14">
        <f>N184*VLOOKUP('Données projet'!$B$9,Paramètres!$A$1:$I$89,3,0)*VLOOKUP('Données projet'!$B$9,Paramètres!$A$1:$I$89,5,0)</f>
        <v>-9.2222762759774924E-13</v>
      </c>
      <c r="P184" s="14" t="e">
        <f t="shared" si="141"/>
        <v>#NUM!</v>
      </c>
      <c r="Q184" s="22" t="e">
        <f t="shared" si="162"/>
        <v>#NUM!</v>
      </c>
      <c r="R184" s="60" t="e">
        <f t="shared" si="109"/>
        <v>#NUM!</v>
      </c>
      <c r="S184" s="60">
        <f ca="1">AVERAGE(OFFSET($R$3,0,0,'Données projet'!$E$9+1,1))-AVERAGE(OFFSET($H$3,0,0,'Données projet'!$E$9+1,1))</f>
        <v>503.64055031157477</v>
      </c>
      <c r="T184" s="60">
        <f t="shared" si="142"/>
        <v>266.76572540460842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69.31046941084675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-9.0949470177292824E-13</v>
      </c>
      <c r="AJ184" s="14">
        <f>AI184*VLOOKUP('Données projet'!$B$10,Paramètres!$A$1:$I$89,3,0)*VLOOKUP('Données projet'!$B$10,Paramètres!$A$1:$I$89,5,0)</f>
        <v>-8.2291080616414541E-13</v>
      </c>
      <c r="AK184" s="14" t="e">
        <f t="shared" si="164"/>
        <v>#NUM!</v>
      </c>
      <c r="AL184" s="22" t="e">
        <f t="shared" si="165"/>
        <v>#NUM!</v>
      </c>
      <c r="AM184" s="60" t="e">
        <f t="shared" si="113"/>
        <v>#NUM!</v>
      </c>
      <c r="AN184" s="60">
        <f ca="1">AVERAGE(OFFSET($AM$3,0,0,'Données projet'!$E$10+1,1))-AVERAGE(OFFSET($H$3,0,0,'Données projet'!$E$10+1,1))</f>
        <v>456.86058467343139</v>
      </c>
      <c r="AO184" s="60">
        <f t="shared" si="144"/>
        <v>243.88495931574937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69.31046941084675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-5.6843418860808015E-14</v>
      </c>
      <c r="BE184" s="14">
        <f>BD184*VLOOKUP('Données projet'!$B$11,Paramètres!$A$1:$I$89,3,0)*VLOOKUP('Données projet'!$B$11,Paramètres!$A$1:$I$89,5,0)</f>
        <v>-5.9412741393316544E-14</v>
      </c>
      <c r="BF184" s="14" t="e">
        <f t="shared" si="167"/>
        <v>#NUM!</v>
      </c>
      <c r="BG184" s="22" t="e">
        <f t="shared" si="168"/>
        <v>#NUM!</v>
      </c>
      <c r="BH184" s="60" t="e">
        <f t="shared" si="116"/>
        <v>#NUM!</v>
      </c>
      <c r="BI184" s="60">
        <f ca="1">AVERAGE(OFFSET($BH$3,0,0,'Données projet'!$E$11+1,1))-AVERAGE(OFFSET($H$3,0,0,'Données projet'!$E$11+1,1))</f>
        <v>518.47226207416952</v>
      </c>
      <c r="BJ184" s="60">
        <f t="shared" si="146"/>
        <v>314.6379787306804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69.31046941084675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-9.0949470177292824E-13</v>
      </c>
      <c r="BZ184" s="14">
        <f>BY184*VLOOKUP('Données projet'!$B$12,Paramètres!$A$1:$I$89,3,0)*VLOOKUP('Données projet'!$B$12,Paramètres!$A$1:$I$89,5,0)</f>
        <v>-9.7898009698837998E-13</v>
      </c>
      <c r="CA184" s="14" t="e">
        <f t="shared" si="170"/>
        <v>#NUM!</v>
      </c>
      <c r="CB184" s="22" t="e">
        <f t="shared" si="171"/>
        <v>#NUM!</v>
      </c>
      <c r="CC184" s="60" t="e">
        <f t="shared" si="119"/>
        <v>#NUM!</v>
      </c>
      <c r="CD184" s="60">
        <f ca="1">AVERAGE(OFFSET($CC$3,0,0,'Données projet'!$E$12+1,1))-AVERAGE(OFFSET($H$3,0,0,'Données projet'!$E$12+1,1))</f>
        <v>530.32456073177104</v>
      </c>
      <c r="CE184" s="60">
        <f t="shared" si="148"/>
        <v>279.81519428470625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69.31046941084675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3.4106051316484809E-13</v>
      </c>
      <c r="CU184" s="18">
        <f>CT184*VLOOKUP('Données projet'!$B$13,Paramètres!$A$1:$I$89,3,0)*VLOOKUP('Données projet'!$B$13,Paramètres!$A$1:$I$89,5,0)</f>
        <v>2.9795046430081134E-13</v>
      </c>
      <c r="CV184" s="14">
        <f t="shared" si="173"/>
        <v>3.9419014464513778E-12</v>
      </c>
      <c r="CW184" s="22">
        <f t="shared" si="174"/>
        <v>7.384408744560063E-12</v>
      </c>
      <c r="CX184" s="60">
        <f t="shared" si="122"/>
        <v>290.80505450644546</v>
      </c>
      <c r="CY184" s="60">
        <f ca="1">AVERAGE(OFFSET($CX$3,0,0,'Données projet'!$E$13+1,1))-AVERAGE(OFFSET($H$3,0,0,'Données projet'!$E$13+1,1))</f>
        <v>355.03862261578701</v>
      </c>
      <c r="CZ184" s="60">
        <f t="shared" si="150"/>
        <v>382.84441399266029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69.31046941084675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1.1368683772161603E-13</v>
      </c>
      <c r="DP184" s="18">
        <f>DO184*VLOOKUP('Données projet'!$B$14,Paramètres!$A$1:$I$89,3,0)*VLOOKUP('Données projet'!$B$14,Paramètres!$A$1:$I$89,5,0)</f>
        <v>8.8675733422860506E-14</v>
      </c>
      <c r="DQ184" s="14">
        <f t="shared" si="176"/>
        <v>1.3509285393066301E-12</v>
      </c>
      <c r="DR184" s="22">
        <f t="shared" si="177"/>
        <v>2.5073107750038623E-12</v>
      </c>
      <c r="DS184" s="60">
        <f t="shared" si="125"/>
        <v>290.80505450644057</v>
      </c>
      <c r="DT184" s="60">
        <f ca="1">AVERAGE(OFFSET($DS$3,0,0,'Données projet'!$E$14+1,1))-AVERAGE(OFFSET($H$3,0,0,'Données projet'!$E$14+1,1))</f>
        <v>305.68891030516761</v>
      </c>
      <c r="DU184" s="60">
        <f t="shared" si="152"/>
        <v>296.00275062228275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69.31046941084675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-9.0949470177292824E-13</v>
      </c>
      <c r="EK184" s="18">
        <f>EJ184*VLOOKUP('Données projet'!$B$15,Paramètres!$A$1:$I$89,3,0)*VLOOKUP('Données projet'!$B$15,Paramètres!$A$1:$I$89,5,0)</f>
        <v>-8.7966327555477625E-13</v>
      </c>
      <c r="EL184" s="14" t="e">
        <f t="shared" si="179"/>
        <v>#NUM!</v>
      </c>
      <c r="EM184" s="22" t="e">
        <f t="shared" si="180"/>
        <v>#NUM!</v>
      </c>
      <c r="EN184" s="60" t="e">
        <f t="shared" si="128"/>
        <v>#NUM!</v>
      </c>
      <c r="EO184" s="60">
        <f ca="1">AVERAGE(OFFSET($EN$3,0,0,'Données projet'!$E$15+1,1))-AVERAGE(OFFSET($H$3,0,0,'Données projet'!$E$15+1,1))</f>
        <v>483.60545605360528</v>
      </c>
      <c r="EP184" s="60">
        <f t="shared" si="154"/>
        <v>256.96685577560345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69.31046941084675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0" t="e">
        <f t="shared" si="131"/>
        <v>#N/A</v>
      </c>
      <c r="FJ184" s="60" t="e">
        <f ca="1">AVERAGE(OFFSET($FI$3,0,0,'Données projet'!$E$16+1,1))-AVERAGE(OFFSET($H$3,0,0,'Données projet'!$E$16+1,1))</f>
        <v>#N/A</v>
      </c>
      <c r="FK184" s="60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69.31046941084675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0" t="e">
        <f t="shared" si="134"/>
        <v>#N/A</v>
      </c>
      <c r="GE184" s="60" t="e">
        <f ca="1">AVERAGE(OFFSET($GD$3,0,0,'Données projet'!$E$17+1,1))-AVERAGE(OFFSET($H$3,0,0,'Données projet'!$E$17+1,1))</f>
        <v>#N/A</v>
      </c>
      <c r="GF184" s="60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69.31046941084675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4">
        <f>'Scénario référence'!$B$16*5+'Scénario référence'!$B$17*0+'Scénario référence'!$B$18*5</f>
        <v>3.2750000000000004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12.008333333333335</v>
      </c>
      <c r="H185" s="67">
        <f t="shared" si="110"/>
        <v>208.63333333333333</v>
      </c>
      <c r="I185" s="7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69.322431225009126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-9.0949470177292824E-13</v>
      </c>
      <c r="O185" s="14">
        <f>N185*VLOOKUP('Données projet'!$B$9,Paramètres!$A$1:$I$89,3,0)*VLOOKUP('Données projet'!$B$9,Paramètres!$A$1:$I$89,5,0)</f>
        <v>-9.2222762759774924E-13</v>
      </c>
      <c r="P185" s="14" t="e">
        <f t="shared" si="141"/>
        <v>#NUM!</v>
      </c>
      <c r="Q185" s="22" t="e">
        <f t="shared" si="162"/>
        <v>#NUM!</v>
      </c>
      <c r="R185" s="60" t="e">
        <f t="shared" si="109"/>
        <v>#NUM!</v>
      </c>
      <c r="S185" s="60">
        <f ca="1">AVERAGE(OFFSET($R$3,0,0,'Données projet'!$E$9+1,1))-AVERAGE(OFFSET($H$3,0,0,'Données projet'!$E$9+1,1))</f>
        <v>503.64055031157477</v>
      </c>
      <c r="T185" s="60">
        <f t="shared" si="142"/>
        <v>266.76572540460842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69.322431225009126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-9.0949470177292824E-13</v>
      </c>
      <c r="AJ185" s="14">
        <f>AI185*VLOOKUP('Données projet'!$B$10,Paramètres!$A$1:$I$89,3,0)*VLOOKUP('Données projet'!$B$10,Paramètres!$A$1:$I$89,5,0)</f>
        <v>-8.2291080616414541E-13</v>
      </c>
      <c r="AK185" s="14" t="e">
        <f t="shared" si="164"/>
        <v>#NUM!</v>
      </c>
      <c r="AL185" s="22" t="e">
        <f t="shared" si="165"/>
        <v>#NUM!</v>
      </c>
      <c r="AM185" s="60" t="e">
        <f t="shared" si="113"/>
        <v>#NUM!</v>
      </c>
      <c r="AN185" s="60">
        <f ca="1">AVERAGE(OFFSET($AM$3,0,0,'Données projet'!$E$10+1,1))-AVERAGE(OFFSET($H$3,0,0,'Données projet'!$E$10+1,1))</f>
        <v>456.86058467343139</v>
      </c>
      <c r="AO185" s="60">
        <f t="shared" si="144"/>
        <v>243.88495931574937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69.322431225009126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-5.6843418860808015E-14</v>
      </c>
      <c r="BE185" s="14">
        <f>BD185*VLOOKUP('Données projet'!$B$11,Paramètres!$A$1:$I$89,3,0)*VLOOKUP('Données projet'!$B$11,Paramètres!$A$1:$I$89,5,0)</f>
        <v>-5.9412741393316544E-14</v>
      </c>
      <c r="BF185" s="14" t="e">
        <f t="shared" si="167"/>
        <v>#NUM!</v>
      </c>
      <c r="BG185" s="22" t="e">
        <f t="shared" si="168"/>
        <v>#NUM!</v>
      </c>
      <c r="BH185" s="60" t="e">
        <f t="shared" si="116"/>
        <v>#NUM!</v>
      </c>
      <c r="BI185" s="60">
        <f ca="1">AVERAGE(OFFSET($BH$3,0,0,'Données projet'!$E$11+1,1))-AVERAGE(OFFSET($H$3,0,0,'Données projet'!$E$11+1,1))</f>
        <v>518.47226207416952</v>
      </c>
      <c r="BJ185" s="60">
        <f t="shared" si="146"/>
        <v>314.6379787306804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69.322431225009126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-9.0949470177292824E-13</v>
      </c>
      <c r="BZ185" s="14">
        <f>BY185*VLOOKUP('Données projet'!$B$12,Paramètres!$A$1:$I$89,3,0)*VLOOKUP('Données projet'!$B$12,Paramètres!$A$1:$I$89,5,0)</f>
        <v>-9.7898009698837998E-13</v>
      </c>
      <c r="CA185" s="14" t="e">
        <f t="shared" si="170"/>
        <v>#NUM!</v>
      </c>
      <c r="CB185" s="22" t="e">
        <f t="shared" si="171"/>
        <v>#NUM!</v>
      </c>
      <c r="CC185" s="60" t="e">
        <f t="shared" si="119"/>
        <v>#NUM!</v>
      </c>
      <c r="CD185" s="60">
        <f ca="1">AVERAGE(OFFSET($CC$3,0,0,'Données projet'!$E$12+1,1))-AVERAGE(OFFSET($H$3,0,0,'Données projet'!$E$12+1,1))</f>
        <v>530.32456073177104</v>
      </c>
      <c r="CE185" s="60">
        <f t="shared" si="148"/>
        <v>279.81519428470625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69.322431225009126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3.4106051316484809E-13</v>
      </c>
      <c r="CU185" s="18">
        <f>CT185*VLOOKUP('Données projet'!$B$13,Paramètres!$A$1:$I$89,3,0)*VLOOKUP('Données projet'!$B$13,Paramètres!$A$1:$I$89,5,0)</f>
        <v>2.9795046430081134E-13</v>
      </c>
      <c r="CV185" s="14">
        <f t="shared" si="173"/>
        <v>3.9419014464513778E-12</v>
      </c>
      <c r="CW185" s="22">
        <f t="shared" si="174"/>
        <v>7.384408744560063E-12</v>
      </c>
      <c r="CX185" s="60">
        <f t="shared" si="122"/>
        <v>290.84891449170749</v>
      </c>
      <c r="CY185" s="60">
        <f ca="1">AVERAGE(OFFSET($CX$3,0,0,'Données projet'!$E$13+1,1))-AVERAGE(OFFSET($H$3,0,0,'Données projet'!$E$13+1,1))</f>
        <v>355.03862261578701</v>
      </c>
      <c r="CZ185" s="60">
        <f t="shared" si="150"/>
        <v>382.84441399266029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69.322431225009126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1.1368683772161603E-13</v>
      </c>
      <c r="DP185" s="18">
        <f>DO185*VLOOKUP('Données projet'!$B$14,Paramètres!$A$1:$I$89,3,0)*VLOOKUP('Données projet'!$B$14,Paramètres!$A$1:$I$89,5,0)</f>
        <v>8.8675733422860506E-14</v>
      </c>
      <c r="DQ185" s="14">
        <f t="shared" si="176"/>
        <v>1.3509285393066301E-12</v>
      </c>
      <c r="DR185" s="22">
        <f t="shared" si="177"/>
        <v>2.5073107750038623E-12</v>
      </c>
      <c r="DS185" s="60">
        <f t="shared" si="125"/>
        <v>290.8489144917026</v>
      </c>
      <c r="DT185" s="60">
        <f ca="1">AVERAGE(OFFSET($DS$3,0,0,'Données projet'!$E$14+1,1))-AVERAGE(OFFSET($H$3,0,0,'Données projet'!$E$14+1,1))</f>
        <v>305.68891030516761</v>
      </c>
      <c r="DU185" s="60">
        <f t="shared" si="152"/>
        <v>296.00275062228275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69.322431225009126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-9.0949470177292824E-13</v>
      </c>
      <c r="EK185" s="18">
        <f>EJ185*VLOOKUP('Données projet'!$B$15,Paramètres!$A$1:$I$89,3,0)*VLOOKUP('Données projet'!$B$15,Paramètres!$A$1:$I$89,5,0)</f>
        <v>-8.7966327555477625E-13</v>
      </c>
      <c r="EL185" s="14" t="e">
        <f t="shared" si="179"/>
        <v>#NUM!</v>
      </c>
      <c r="EM185" s="22" t="e">
        <f t="shared" si="180"/>
        <v>#NUM!</v>
      </c>
      <c r="EN185" s="60" t="e">
        <f t="shared" si="128"/>
        <v>#NUM!</v>
      </c>
      <c r="EO185" s="60">
        <f ca="1">AVERAGE(OFFSET($EN$3,0,0,'Données projet'!$E$15+1,1))-AVERAGE(OFFSET($H$3,0,0,'Données projet'!$E$15+1,1))</f>
        <v>483.60545605360528</v>
      </c>
      <c r="EP185" s="60">
        <f t="shared" si="154"/>
        <v>256.96685577560345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69.322431225009126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0" t="e">
        <f t="shared" si="131"/>
        <v>#N/A</v>
      </c>
      <c r="FJ185" s="60" t="e">
        <f ca="1">AVERAGE(OFFSET($FI$3,0,0,'Données projet'!$E$16+1,1))-AVERAGE(OFFSET($H$3,0,0,'Données projet'!$E$16+1,1))</f>
        <v>#N/A</v>
      </c>
      <c r="FK185" s="60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69.322431225009126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0" t="e">
        <f t="shared" si="134"/>
        <v>#N/A</v>
      </c>
      <c r="GE185" s="60" t="e">
        <f ca="1">AVERAGE(OFFSET($GD$3,0,0,'Données projet'!$E$17+1,1))-AVERAGE(OFFSET($H$3,0,0,'Données projet'!$E$17+1,1))</f>
        <v>#N/A</v>
      </c>
      <c r="GF185" s="60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69.322431225009126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4">
        <f>'Scénario référence'!$B$16*5+'Scénario référence'!$B$17*0+'Scénario référence'!$B$18*5</f>
        <v>3.2750000000000004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12.008333333333335</v>
      </c>
      <c r="H186" s="67">
        <f t="shared" si="110"/>
        <v>208.63333333333333</v>
      </c>
      <c r="I186" s="7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69.334185528438354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-9.0949470177292824E-13</v>
      </c>
      <c r="O186" s="14">
        <f>N186*VLOOKUP('Données projet'!$B$9,Paramètres!$A$1:$I$89,3,0)*VLOOKUP('Données projet'!$B$9,Paramètres!$A$1:$I$89,5,0)</f>
        <v>-9.2222762759774924E-13</v>
      </c>
      <c r="P186" s="14" t="e">
        <f t="shared" si="141"/>
        <v>#NUM!</v>
      </c>
      <c r="Q186" s="22" t="e">
        <f t="shared" si="162"/>
        <v>#NUM!</v>
      </c>
      <c r="R186" s="60" t="e">
        <f t="shared" si="109"/>
        <v>#NUM!</v>
      </c>
      <c r="S186" s="60">
        <f ca="1">AVERAGE(OFFSET($R$3,0,0,'Données projet'!$E$9+1,1))-AVERAGE(OFFSET($H$3,0,0,'Données projet'!$E$9+1,1))</f>
        <v>503.64055031157477</v>
      </c>
      <c r="T186" s="60">
        <f t="shared" si="142"/>
        <v>266.76572540460842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69.334185528438354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-9.0949470177292824E-13</v>
      </c>
      <c r="AJ186" s="14">
        <f>AI186*VLOOKUP('Données projet'!$B$10,Paramètres!$A$1:$I$89,3,0)*VLOOKUP('Données projet'!$B$10,Paramètres!$A$1:$I$89,5,0)</f>
        <v>-8.2291080616414541E-13</v>
      </c>
      <c r="AK186" s="14" t="e">
        <f t="shared" si="164"/>
        <v>#NUM!</v>
      </c>
      <c r="AL186" s="22" t="e">
        <f t="shared" si="165"/>
        <v>#NUM!</v>
      </c>
      <c r="AM186" s="60" t="e">
        <f t="shared" si="113"/>
        <v>#NUM!</v>
      </c>
      <c r="AN186" s="60">
        <f ca="1">AVERAGE(OFFSET($AM$3,0,0,'Données projet'!$E$10+1,1))-AVERAGE(OFFSET($H$3,0,0,'Données projet'!$E$10+1,1))</f>
        <v>456.86058467343139</v>
      </c>
      <c r="AO186" s="60">
        <f t="shared" si="144"/>
        <v>243.88495931574937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69.334185528438354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-5.6843418860808015E-14</v>
      </c>
      <c r="BE186" s="14">
        <f>BD186*VLOOKUP('Données projet'!$B$11,Paramètres!$A$1:$I$89,3,0)*VLOOKUP('Données projet'!$B$11,Paramètres!$A$1:$I$89,5,0)</f>
        <v>-5.9412741393316544E-14</v>
      </c>
      <c r="BF186" s="14" t="e">
        <f t="shared" si="167"/>
        <v>#NUM!</v>
      </c>
      <c r="BG186" s="22" t="e">
        <f t="shared" si="168"/>
        <v>#NUM!</v>
      </c>
      <c r="BH186" s="60" t="e">
        <f t="shared" si="116"/>
        <v>#NUM!</v>
      </c>
      <c r="BI186" s="60">
        <f ca="1">AVERAGE(OFFSET($BH$3,0,0,'Données projet'!$E$11+1,1))-AVERAGE(OFFSET($H$3,0,0,'Données projet'!$E$11+1,1))</f>
        <v>518.47226207416952</v>
      </c>
      <c r="BJ186" s="60">
        <f t="shared" si="146"/>
        <v>314.6379787306804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69.334185528438354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-9.0949470177292824E-13</v>
      </c>
      <c r="BZ186" s="14">
        <f>BY186*VLOOKUP('Données projet'!$B$12,Paramètres!$A$1:$I$89,3,0)*VLOOKUP('Données projet'!$B$12,Paramètres!$A$1:$I$89,5,0)</f>
        <v>-9.7898009698837998E-13</v>
      </c>
      <c r="CA186" s="14" t="e">
        <f t="shared" si="170"/>
        <v>#NUM!</v>
      </c>
      <c r="CB186" s="22" t="e">
        <f t="shared" si="171"/>
        <v>#NUM!</v>
      </c>
      <c r="CC186" s="60" t="e">
        <f t="shared" si="119"/>
        <v>#NUM!</v>
      </c>
      <c r="CD186" s="60">
        <f ca="1">AVERAGE(OFFSET($CC$3,0,0,'Données projet'!$E$12+1,1))-AVERAGE(OFFSET($H$3,0,0,'Données projet'!$E$12+1,1))</f>
        <v>530.32456073177104</v>
      </c>
      <c r="CE186" s="60">
        <f t="shared" si="148"/>
        <v>279.81519428470625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69.334185528438354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3.4106051316484809E-13</v>
      </c>
      <c r="CU186" s="18">
        <f>CT186*VLOOKUP('Données projet'!$B$13,Paramètres!$A$1:$I$89,3,0)*VLOOKUP('Données projet'!$B$13,Paramètres!$A$1:$I$89,5,0)</f>
        <v>2.9795046430081134E-13</v>
      </c>
      <c r="CV186" s="14">
        <f t="shared" si="173"/>
        <v>3.9419014464513778E-12</v>
      </c>
      <c r="CW186" s="22">
        <f t="shared" si="174"/>
        <v>7.384408744560063E-12</v>
      </c>
      <c r="CX186" s="60">
        <f t="shared" si="122"/>
        <v>290.89201360428132</v>
      </c>
      <c r="CY186" s="60">
        <f ca="1">AVERAGE(OFFSET($CX$3,0,0,'Données projet'!$E$13+1,1))-AVERAGE(OFFSET($H$3,0,0,'Données projet'!$E$13+1,1))</f>
        <v>355.03862261578701</v>
      </c>
      <c r="CZ186" s="60">
        <f t="shared" si="150"/>
        <v>382.84441399266029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69.334185528438354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1.1368683772161603E-13</v>
      </c>
      <c r="DP186" s="18">
        <f>DO186*VLOOKUP('Données projet'!$B$14,Paramètres!$A$1:$I$89,3,0)*VLOOKUP('Données projet'!$B$14,Paramètres!$A$1:$I$89,5,0)</f>
        <v>8.8675733422860506E-14</v>
      </c>
      <c r="DQ186" s="14">
        <f t="shared" si="176"/>
        <v>1.3509285393066301E-12</v>
      </c>
      <c r="DR186" s="22">
        <f t="shared" si="177"/>
        <v>2.5073107750038623E-12</v>
      </c>
      <c r="DS186" s="60">
        <f t="shared" si="125"/>
        <v>290.89201360427643</v>
      </c>
      <c r="DT186" s="60">
        <f ca="1">AVERAGE(OFFSET($DS$3,0,0,'Données projet'!$E$14+1,1))-AVERAGE(OFFSET($H$3,0,0,'Données projet'!$E$14+1,1))</f>
        <v>305.68891030516761</v>
      </c>
      <c r="DU186" s="60">
        <f t="shared" si="152"/>
        <v>296.00275062228275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69.334185528438354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-9.0949470177292824E-13</v>
      </c>
      <c r="EK186" s="18">
        <f>EJ186*VLOOKUP('Données projet'!$B$15,Paramètres!$A$1:$I$89,3,0)*VLOOKUP('Données projet'!$B$15,Paramètres!$A$1:$I$89,5,0)</f>
        <v>-8.7966327555477625E-13</v>
      </c>
      <c r="EL186" s="14" t="e">
        <f t="shared" si="179"/>
        <v>#NUM!</v>
      </c>
      <c r="EM186" s="22" t="e">
        <f t="shared" si="180"/>
        <v>#NUM!</v>
      </c>
      <c r="EN186" s="60" t="e">
        <f t="shared" si="128"/>
        <v>#NUM!</v>
      </c>
      <c r="EO186" s="60">
        <f ca="1">AVERAGE(OFFSET($EN$3,0,0,'Données projet'!$E$15+1,1))-AVERAGE(OFFSET($H$3,0,0,'Données projet'!$E$15+1,1))</f>
        <v>483.60545605360528</v>
      </c>
      <c r="EP186" s="60">
        <f t="shared" si="154"/>
        <v>256.96685577560345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69.334185528438354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0" t="e">
        <f t="shared" si="131"/>
        <v>#N/A</v>
      </c>
      <c r="FJ186" s="60" t="e">
        <f ca="1">AVERAGE(OFFSET($FI$3,0,0,'Données projet'!$E$16+1,1))-AVERAGE(OFFSET($H$3,0,0,'Données projet'!$E$16+1,1))</f>
        <v>#N/A</v>
      </c>
      <c r="FK186" s="60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69.334185528438354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0" t="e">
        <f t="shared" si="134"/>
        <v>#N/A</v>
      </c>
      <c r="GE186" s="60" t="e">
        <f ca="1">AVERAGE(OFFSET($GD$3,0,0,'Données projet'!$E$17+1,1))-AVERAGE(OFFSET($H$3,0,0,'Données projet'!$E$17+1,1))</f>
        <v>#N/A</v>
      </c>
      <c r="GF186" s="60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69.334185528438354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4">
        <f>'Scénario référence'!$B$16*5+'Scénario référence'!$B$17*0+'Scénario référence'!$B$18*5</f>
        <v>3.2750000000000004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12.008333333333335</v>
      </c>
      <c r="H187" s="67">
        <f t="shared" si="110"/>
        <v>208.63333333333333</v>
      </c>
      <c r="I187" s="7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69.345735920981795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-9.0949470177292824E-13</v>
      </c>
      <c r="O187" s="14">
        <f>N187*VLOOKUP('Données projet'!$B$9,Paramètres!$A$1:$I$89,3,0)*VLOOKUP('Données projet'!$B$9,Paramètres!$A$1:$I$89,5,0)</f>
        <v>-9.2222762759774924E-13</v>
      </c>
      <c r="P187" s="14" t="e">
        <f t="shared" si="141"/>
        <v>#NUM!</v>
      </c>
      <c r="Q187" s="22" t="e">
        <f t="shared" si="162"/>
        <v>#NUM!</v>
      </c>
      <c r="R187" s="60" t="e">
        <f t="shared" si="109"/>
        <v>#NUM!</v>
      </c>
      <c r="S187" s="60">
        <f ca="1">AVERAGE(OFFSET($R$3,0,0,'Données projet'!$E$9+1,1))-AVERAGE(OFFSET($H$3,0,0,'Données projet'!$E$9+1,1))</f>
        <v>503.64055031157477</v>
      </c>
      <c r="T187" s="60">
        <f t="shared" si="142"/>
        <v>266.76572540460842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69.345735920981795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-9.0949470177292824E-13</v>
      </c>
      <c r="AJ187" s="14">
        <f>AI187*VLOOKUP('Données projet'!$B$10,Paramètres!$A$1:$I$89,3,0)*VLOOKUP('Données projet'!$B$10,Paramètres!$A$1:$I$89,5,0)</f>
        <v>-8.2291080616414541E-13</v>
      </c>
      <c r="AK187" s="14" t="e">
        <f t="shared" si="164"/>
        <v>#NUM!</v>
      </c>
      <c r="AL187" s="22" t="e">
        <f t="shared" si="165"/>
        <v>#NUM!</v>
      </c>
      <c r="AM187" s="60" t="e">
        <f t="shared" si="113"/>
        <v>#NUM!</v>
      </c>
      <c r="AN187" s="60">
        <f ca="1">AVERAGE(OFFSET($AM$3,0,0,'Données projet'!$E$10+1,1))-AVERAGE(OFFSET($H$3,0,0,'Données projet'!$E$10+1,1))</f>
        <v>456.86058467343139</v>
      </c>
      <c r="AO187" s="60">
        <f t="shared" si="144"/>
        <v>243.88495931574937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69.345735920981795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-5.6843418860808015E-14</v>
      </c>
      <c r="BE187" s="14">
        <f>BD187*VLOOKUP('Données projet'!$B$11,Paramètres!$A$1:$I$89,3,0)*VLOOKUP('Données projet'!$B$11,Paramètres!$A$1:$I$89,5,0)</f>
        <v>-5.9412741393316544E-14</v>
      </c>
      <c r="BF187" s="14" t="e">
        <f t="shared" si="167"/>
        <v>#NUM!</v>
      </c>
      <c r="BG187" s="22" t="e">
        <f t="shared" si="168"/>
        <v>#NUM!</v>
      </c>
      <c r="BH187" s="60" t="e">
        <f t="shared" si="116"/>
        <v>#NUM!</v>
      </c>
      <c r="BI187" s="60">
        <f ca="1">AVERAGE(OFFSET($BH$3,0,0,'Données projet'!$E$11+1,1))-AVERAGE(OFFSET($H$3,0,0,'Données projet'!$E$11+1,1))</f>
        <v>518.47226207416952</v>
      </c>
      <c r="BJ187" s="60">
        <f t="shared" si="146"/>
        <v>314.6379787306804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69.345735920981795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-9.0949470177292824E-13</v>
      </c>
      <c r="BZ187" s="14">
        <f>BY187*VLOOKUP('Données projet'!$B$12,Paramètres!$A$1:$I$89,3,0)*VLOOKUP('Données projet'!$B$12,Paramètres!$A$1:$I$89,5,0)</f>
        <v>-9.7898009698837998E-13</v>
      </c>
      <c r="CA187" s="14" t="e">
        <f t="shared" si="170"/>
        <v>#NUM!</v>
      </c>
      <c r="CB187" s="22" t="e">
        <f t="shared" si="171"/>
        <v>#NUM!</v>
      </c>
      <c r="CC187" s="60" t="e">
        <f t="shared" si="119"/>
        <v>#NUM!</v>
      </c>
      <c r="CD187" s="60">
        <f ca="1">AVERAGE(OFFSET($CC$3,0,0,'Données projet'!$E$12+1,1))-AVERAGE(OFFSET($H$3,0,0,'Données projet'!$E$12+1,1))</f>
        <v>530.32456073177104</v>
      </c>
      <c r="CE187" s="60">
        <f t="shared" si="148"/>
        <v>279.81519428470625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69.345735920981795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3.4106051316484809E-13</v>
      </c>
      <c r="CU187" s="18">
        <f>CT187*VLOOKUP('Données projet'!$B$13,Paramètres!$A$1:$I$89,3,0)*VLOOKUP('Données projet'!$B$13,Paramètres!$A$1:$I$89,5,0)</f>
        <v>2.9795046430081134E-13</v>
      </c>
      <c r="CV187" s="14">
        <f t="shared" si="173"/>
        <v>3.9419014464513778E-12</v>
      </c>
      <c r="CW187" s="22">
        <f t="shared" si="174"/>
        <v>7.384408744560063E-12</v>
      </c>
      <c r="CX187" s="60">
        <f t="shared" si="122"/>
        <v>290.93436504360733</v>
      </c>
      <c r="CY187" s="60">
        <f ca="1">AVERAGE(OFFSET($CX$3,0,0,'Données projet'!$E$13+1,1))-AVERAGE(OFFSET($H$3,0,0,'Données projet'!$E$13+1,1))</f>
        <v>355.03862261578701</v>
      </c>
      <c r="CZ187" s="60">
        <f t="shared" si="150"/>
        <v>382.84441399266029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69.345735920981795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1.1368683772161603E-13</v>
      </c>
      <c r="DP187" s="18">
        <f>DO187*VLOOKUP('Données projet'!$B$14,Paramètres!$A$1:$I$89,3,0)*VLOOKUP('Données projet'!$B$14,Paramètres!$A$1:$I$89,5,0)</f>
        <v>8.8675733422860506E-14</v>
      </c>
      <c r="DQ187" s="14">
        <f t="shared" si="176"/>
        <v>1.3509285393066301E-12</v>
      </c>
      <c r="DR187" s="22">
        <f t="shared" si="177"/>
        <v>2.5073107750038623E-12</v>
      </c>
      <c r="DS187" s="60">
        <f t="shared" si="125"/>
        <v>290.93436504360244</v>
      </c>
      <c r="DT187" s="60">
        <f ca="1">AVERAGE(OFFSET($DS$3,0,0,'Données projet'!$E$14+1,1))-AVERAGE(OFFSET($H$3,0,0,'Données projet'!$E$14+1,1))</f>
        <v>305.68891030516761</v>
      </c>
      <c r="DU187" s="60">
        <f t="shared" si="152"/>
        <v>296.00275062228275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69.345735920981795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-9.0949470177292824E-13</v>
      </c>
      <c r="EK187" s="18">
        <f>EJ187*VLOOKUP('Données projet'!$B$15,Paramètres!$A$1:$I$89,3,0)*VLOOKUP('Données projet'!$B$15,Paramètres!$A$1:$I$89,5,0)</f>
        <v>-8.7966327555477625E-13</v>
      </c>
      <c r="EL187" s="14" t="e">
        <f t="shared" si="179"/>
        <v>#NUM!</v>
      </c>
      <c r="EM187" s="22" t="e">
        <f t="shared" si="180"/>
        <v>#NUM!</v>
      </c>
      <c r="EN187" s="60" t="e">
        <f t="shared" si="128"/>
        <v>#NUM!</v>
      </c>
      <c r="EO187" s="60">
        <f ca="1">AVERAGE(OFFSET($EN$3,0,0,'Données projet'!$E$15+1,1))-AVERAGE(OFFSET($H$3,0,0,'Données projet'!$E$15+1,1))</f>
        <v>483.60545605360528</v>
      </c>
      <c r="EP187" s="60">
        <f t="shared" si="154"/>
        <v>256.96685577560345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69.345735920981795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0" t="e">
        <f t="shared" si="131"/>
        <v>#N/A</v>
      </c>
      <c r="FJ187" s="60" t="e">
        <f ca="1">AVERAGE(OFFSET($FI$3,0,0,'Données projet'!$E$16+1,1))-AVERAGE(OFFSET($H$3,0,0,'Données projet'!$E$16+1,1))</f>
        <v>#N/A</v>
      </c>
      <c r="FK187" s="60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69.345735920981795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0" t="e">
        <f t="shared" si="134"/>
        <v>#N/A</v>
      </c>
      <c r="GE187" s="60" t="e">
        <f ca="1">AVERAGE(OFFSET($GD$3,0,0,'Données projet'!$E$17+1,1))-AVERAGE(OFFSET($H$3,0,0,'Données projet'!$E$17+1,1))</f>
        <v>#N/A</v>
      </c>
      <c r="GF187" s="60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69.345735920981795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4">
        <f>'Scénario référence'!$B$16*5+'Scénario référence'!$B$17*0+'Scénario référence'!$B$18*5</f>
        <v>3.2750000000000004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12.008333333333335</v>
      </c>
      <c r="H188" s="67">
        <f t="shared" si="110"/>
        <v>208.63333333333333</v>
      </c>
      <c r="I188" s="7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69.357085940037422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-9.0949470177292824E-13</v>
      </c>
      <c r="O188" s="14">
        <f>N188*VLOOKUP('Données projet'!$B$9,Paramètres!$A$1:$I$89,3,0)*VLOOKUP('Données projet'!$B$9,Paramètres!$A$1:$I$89,5,0)</f>
        <v>-9.2222762759774924E-13</v>
      </c>
      <c r="P188" s="14" t="e">
        <f t="shared" si="141"/>
        <v>#NUM!</v>
      </c>
      <c r="Q188" s="22" t="e">
        <f t="shared" si="162"/>
        <v>#NUM!</v>
      </c>
      <c r="R188" s="60" t="e">
        <f t="shared" si="109"/>
        <v>#NUM!</v>
      </c>
      <c r="S188" s="60">
        <f ca="1">AVERAGE(OFFSET($R$3,0,0,'Données projet'!$E$9+1,1))-AVERAGE(OFFSET($H$3,0,0,'Données projet'!$E$9+1,1))</f>
        <v>503.64055031157477</v>
      </c>
      <c r="T188" s="60">
        <f t="shared" si="142"/>
        <v>266.76572540460842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69.357085940037422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-9.0949470177292824E-13</v>
      </c>
      <c r="AJ188" s="14">
        <f>AI188*VLOOKUP('Données projet'!$B$10,Paramètres!$A$1:$I$89,3,0)*VLOOKUP('Données projet'!$B$10,Paramètres!$A$1:$I$89,5,0)</f>
        <v>-8.2291080616414541E-13</v>
      </c>
      <c r="AK188" s="14" t="e">
        <f t="shared" si="164"/>
        <v>#NUM!</v>
      </c>
      <c r="AL188" s="22" t="e">
        <f t="shared" si="165"/>
        <v>#NUM!</v>
      </c>
      <c r="AM188" s="60" t="e">
        <f t="shared" si="113"/>
        <v>#NUM!</v>
      </c>
      <c r="AN188" s="60">
        <f ca="1">AVERAGE(OFFSET($AM$3,0,0,'Données projet'!$E$10+1,1))-AVERAGE(OFFSET($H$3,0,0,'Données projet'!$E$10+1,1))</f>
        <v>456.86058467343139</v>
      </c>
      <c r="AO188" s="60">
        <f t="shared" si="144"/>
        <v>243.88495931574937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69.357085940037422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-5.6843418860808015E-14</v>
      </c>
      <c r="BE188" s="14">
        <f>BD188*VLOOKUP('Données projet'!$B$11,Paramètres!$A$1:$I$89,3,0)*VLOOKUP('Données projet'!$B$11,Paramètres!$A$1:$I$89,5,0)</f>
        <v>-5.9412741393316544E-14</v>
      </c>
      <c r="BF188" s="14" t="e">
        <f t="shared" si="167"/>
        <v>#NUM!</v>
      </c>
      <c r="BG188" s="22" t="e">
        <f t="shared" si="168"/>
        <v>#NUM!</v>
      </c>
      <c r="BH188" s="60" t="e">
        <f t="shared" si="116"/>
        <v>#NUM!</v>
      </c>
      <c r="BI188" s="60">
        <f ca="1">AVERAGE(OFFSET($BH$3,0,0,'Données projet'!$E$11+1,1))-AVERAGE(OFFSET($H$3,0,0,'Données projet'!$E$11+1,1))</f>
        <v>518.47226207416952</v>
      </c>
      <c r="BJ188" s="60">
        <f t="shared" si="146"/>
        <v>314.6379787306804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69.357085940037422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-9.0949470177292824E-13</v>
      </c>
      <c r="BZ188" s="14">
        <f>BY188*VLOOKUP('Données projet'!$B$12,Paramètres!$A$1:$I$89,3,0)*VLOOKUP('Données projet'!$B$12,Paramètres!$A$1:$I$89,5,0)</f>
        <v>-9.7898009698837998E-13</v>
      </c>
      <c r="CA188" s="14" t="e">
        <f t="shared" si="170"/>
        <v>#NUM!</v>
      </c>
      <c r="CB188" s="22" t="e">
        <f t="shared" si="171"/>
        <v>#NUM!</v>
      </c>
      <c r="CC188" s="60" t="e">
        <f t="shared" si="119"/>
        <v>#NUM!</v>
      </c>
      <c r="CD188" s="60">
        <f ca="1">AVERAGE(OFFSET($CC$3,0,0,'Données projet'!$E$12+1,1))-AVERAGE(OFFSET($H$3,0,0,'Données projet'!$E$12+1,1))</f>
        <v>530.32456073177104</v>
      </c>
      <c r="CE188" s="60">
        <f t="shared" si="148"/>
        <v>279.81519428470625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69.357085940037422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3.4106051316484809E-13</v>
      </c>
      <c r="CU188" s="18">
        <f>CT188*VLOOKUP('Données projet'!$B$13,Paramètres!$A$1:$I$89,3,0)*VLOOKUP('Données projet'!$B$13,Paramètres!$A$1:$I$89,5,0)</f>
        <v>2.9795046430081134E-13</v>
      </c>
      <c r="CV188" s="14">
        <f t="shared" si="173"/>
        <v>3.9419014464513778E-12</v>
      </c>
      <c r="CW188" s="22">
        <f t="shared" si="174"/>
        <v>7.384408744560063E-12</v>
      </c>
      <c r="CX188" s="60">
        <f t="shared" si="122"/>
        <v>290.97598178014459</v>
      </c>
      <c r="CY188" s="60">
        <f ca="1">AVERAGE(OFFSET($CX$3,0,0,'Données projet'!$E$13+1,1))-AVERAGE(OFFSET($H$3,0,0,'Données projet'!$E$13+1,1))</f>
        <v>355.03862261578701</v>
      </c>
      <c r="CZ188" s="60">
        <f t="shared" si="150"/>
        <v>382.84441399266029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69.357085940037422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1.1368683772161603E-13</v>
      </c>
      <c r="DP188" s="18">
        <f>DO188*VLOOKUP('Données projet'!$B$14,Paramètres!$A$1:$I$89,3,0)*VLOOKUP('Données projet'!$B$14,Paramètres!$A$1:$I$89,5,0)</f>
        <v>8.8675733422860506E-14</v>
      </c>
      <c r="DQ188" s="14">
        <f t="shared" si="176"/>
        <v>1.3509285393066301E-12</v>
      </c>
      <c r="DR188" s="22">
        <f t="shared" si="177"/>
        <v>2.5073107750038623E-12</v>
      </c>
      <c r="DS188" s="60">
        <f t="shared" si="125"/>
        <v>290.9759817801397</v>
      </c>
      <c r="DT188" s="60">
        <f ca="1">AVERAGE(OFFSET($DS$3,0,0,'Données projet'!$E$14+1,1))-AVERAGE(OFFSET($H$3,0,0,'Données projet'!$E$14+1,1))</f>
        <v>305.68891030516761</v>
      </c>
      <c r="DU188" s="60">
        <f t="shared" si="152"/>
        <v>296.00275062228275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69.357085940037422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-9.0949470177292824E-13</v>
      </c>
      <c r="EK188" s="18">
        <f>EJ188*VLOOKUP('Données projet'!$B$15,Paramètres!$A$1:$I$89,3,0)*VLOOKUP('Données projet'!$B$15,Paramètres!$A$1:$I$89,5,0)</f>
        <v>-8.7966327555477625E-13</v>
      </c>
      <c r="EL188" s="14" t="e">
        <f t="shared" si="179"/>
        <v>#NUM!</v>
      </c>
      <c r="EM188" s="22" t="e">
        <f t="shared" si="180"/>
        <v>#NUM!</v>
      </c>
      <c r="EN188" s="60" t="e">
        <f t="shared" si="128"/>
        <v>#NUM!</v>
      </c>
      <c r="EO188" s="60">
        <f ca="1">AVERAGE(OFFSET($EN$3,0,0,'Données projet'!$E$15+1,1))-AVERAGE(OFFSET($H$3,0,0,'Données projet'!$E$15+1,1))</f>
        <v>483.60545605360528</v>
      </c>
      <c r="EP188" s="60">
        <f t="shared" si="154"/>
        <v>256.96685577560345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69.357085940037422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0" t="e">
        <f t="shared" si="131"/>
        <v>#N/A</v>
      </c>
      <c r="FJ188" s="60" t="e">
        <f ca="1">AVERAGE(OFFSET($FI$3,0,0,'Données projet'!$E$16+1,1))-AVERAGE(OFFSET($H$3,0,0,'Données projet'!$E$16+1,1))</f>
        <v>#N/A</v>
      </c>
      <c r="FK188" s="60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69.357085940037422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0" t="e">
        <f t="shared" si="134"/>
        <v>#N/A</v>
      </c>
      <c r="GE188" s="60" t="e">
        <f ca="1">AVERAGE(OFFSET($GD$3,0,0,'Données projet'!$E$17+1,1))-AVERAGE(OFFSET($H$3,0,0,'Données projet'!$E$17+1,1))</f>
        <v>#N/A</v>
      </c>
      <c r="GF188" s="60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69.357085940037422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4">
        <f>'Scénario référence'!$B$16*5+'Scénario référence'!$B$17*0+'Scénario référence'!$B$18*5</f>
        <v>3.2750000000000004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12.008333333333335</v>
      </c>
      <c r="H189" s="67">
        <f t="shared" si="110"/>
        <v>208.63333333333333</v>
      </c>
      <c r="I189" s="7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69.368239061637254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-9.0949470177292824E-13</v>
      </c>
      <c r="O189" s="14">
        <f>N189*VLOOKUP('Données projet'!$B$9,Paramètres!$A$1:$I$89,3,0)*VLOOKUP('Données projet'!$B$9,Paramètres!$A$1:$I$89,5,0)</f>
        <v>-9.2222762759774924E-13</v>
      </c>
      <c r="P189" s="14" t="e">
        <f t="shared" si="141"/>
        <v>#NUM!</v>
      </c>
      <c r="Q189" s="22" t="e">
        <f t="shared" si="162"/>
        <v>#NUM!</v>
      </c>
      <c r="R189" s="60" t="e">
        <f t="shared" si="109"/>
        <v>#NUM!</v>
      </c>
      <c r="S189" s="60">
        <f ca="1">AVERAGE(OFFSET($R$3,0,0,'Données projet'!$E$9+1,1))-AVERAGE(OFFSET($H$3,0,0,'Données projet'!$E$9+1,1))</f>
        <v>503.64055031157477</v>
      </c>
      <c r="T189" s="60">
        <f t="shared" si="142"/>
        <v>266.76572540460842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69.368239061637254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-9.0949470177292824E-13</v>
      </c>
      <c r="AJ189" s="14">
        <f>AI189*VLOOKUP('Données projet'!$B$10,Paramètres!$A$1:$I$89,3,0)*VLOOKUP('Données projet'!$B$10,Paramètres!$A$1:$I$89,5,0)</f>
        <v>-8.2291080616414541E-13</v>
      </c>
      <c r="AK189" s="14" t="e">
        <f t="shared" si="164"/>
        <v>#NUM!</v>
      </c>
      <c r="AL189" s="22" t="e">
        <f t="shared" si="165"/>
        <v>#NUM!</v>
      </c>
      <c r="AM189" s="60" t="e">
        <f t="shared" si="113"/>
        <v>#NUM!</v>
      </c>
      <c r="AN189" s="60">
        <f ca="1">AVERAGE(OFFSET($AM$3,0,0,'Données projet'!$E$10+1,1))-AVERAGE(OFFSET($H$3,0,0,'Données projet'!$E$10+1,1))</f>
        <v>456.86058467343139</v>
      </c>
      <c r="AO189" s="60">
        <f t="shared" si="144"/>
        <v>243.88495931574937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69.368239061637254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-5.6843418860808015E-14</v>
      </c>
      <c r="BE189" s="14">
        <f>BD189*VLOOKUP('Données projet'!$B$11,Paramètres!$A$1:$I$89,3,0)*VLOOKUP('Données projet'!$B$11,Paramètres!$A$1:$I$89,5,0)</f>
        <v>-5.9412741393316544E-14</v>
      </c>
      <c r="BF189" s="14" t="e">
        <f t="shared" si="167"/>
        <v>#NUM!</v>
      </c>
      <c r="BG189" s="22" t="e">
        <f t="shared" si="168"/>
        <v>#NUM!</v>
      </c>
      <c r="BH189" s="60" t="e">
        <f t="shared" si="116"/>
        <v>#NUM!</v>
      </c>
      <c r="BI189" s="60">
        <f ca="1">AVERAGE(OFFSET($BH$3,0,0,'Données projet'!$E$11+1,1))-AVERAGE(OFFSET($H$3,0,0,'Données projet'!$E$11+1,1))</f>
        <v>518.47226207416952</v>
      </c>
      <c r="BJ189" s="60">
        <f t="shared" si="146"/>
        <v>314.6379787306804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69.368239061637254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-9.0949470177292824E-13</v>
      </c>
      <c r="BZ189" s="14">
        <f>BY189*VLOOKUP('Données projet'!$B$12,Paramètres!$A$1:$I$89,3,0)*VLOOKUP('Données projet'!$B$12,Paramètres!$A$1:$I$89,5,0)</f>
        <v>-9.7898009698837998E-13</v>
      </c>
      <c r="CA189" s="14" t="e">
        <f t="shared" si="170"/>
        <v>#NUM!</v>
      </c>
      <c r="CB189" s="22" t="e">
        <f t="shared" si="171"/>
        <v>#NUM!</v>
      </c>
      <c r="CC189" s="60" t="e">
        <f t="shared" si="119"/>
        <v>#NUM!</v>
      </c>
      <c r="CD189" s="60">
        <f ca="1">AVERAGE(OFFSET($CC$3,0,0,'Données projet'!$E$12+1,1))-AVERAGE(OFFSET($H$3,0,0,'Données projet'!$E$12+1,1))</f>
        <v>530.32456073177104</v>
      </c>
      <c r="CE189" s="60">
        <f t="shared" si="148"/>
        <v>279.81519428470625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69.368239061637254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3.4106051316484809E-13</v>
      </c>
      <c r="CU189" s="18">
        <f>CT189*VLOOKUP('Données projet'!$B$13,Paramètres!$A$1:$I$89,3,0)*VLOOKUP('Données projet'!$B$13,Paramètres!$A$1:$I$89,5,0)</f>
        <v>2.9795046430081134E-13</v>
      </c>
      <c r="CV189" s="14">
        <f t="shared" si="173"/>
        <v>3.9419014464513778E-12</v>
      </c>
      <c r="CW189" s="22">
        <f t="shared" si="174"/>
        <v>7.384408744560063E-12</v>
      </c>
      <c r="CX189" s="60">
        <f t="shared" si="122"/>
        <v>291.01687655934398</v>
      </c>
      <c r="CY189" s="60">
        <f ca="1">AVERAGE(OFFSET($CX$3,0,0,'Données projet'!$E$13+1,1))-AVERAGE(OFFSET($H$3,0,0,'Données projet'!$E$13+1,1))</f>
        <v>355.03862261578701</v>
      </c>
      <c r="CZ189" s="60">
        <f t="shared" si="150"/>
        <v>382.84441399266029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69.368239061637254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1.1368683772161603E-13</v>
      </c>
      <c r="DP189" s="18">
        <f>DO189*VLOOKUP('Données projet'!$B$14,Paramètres!$A$1:$I$89,3,0)*VLOOKUP('Données projet'!$B$14,Paramètres!$A$1:$I$89,5,0)</f>
        <v>8.8675733422860506E-14</v>
      </c>
      <c r="DQ189" s="14">
        <f t="shared" si="176"/>
        <v>1.3509285393066301E-12</v>
      </c>
      <c r="DR189" s="22">
        <f t="shared" si="177"/>
        <v>2.5073107750038623E-12</v>
      </c>
      <c r="DS189" s="60">
        <f t="shared" si="125"/>
        <v>291.0168765593391</v>
      </c>
      <c r="DT189" s="60">
        <f ca="1">AVERAGE(OFFSET($DS$3,0,0,'Données projet'!$E$14+1,1))-AVERAGE(OFFSET($H$3,0,0,'Données projet'!$E$14+1,1))</f>
        <v>305.68891030516761</v>
      </c>
      <c r="DU189" s="60">
        <f t="shared" si="152"/>
        <v>296.00275062228275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69.368239061637254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-9.0949470177292824E-13</v>
      </c>
      <c r="EK189" s="18">
        <f>EJ189*VLOOKUP('Données projet'!$B$15,Paramètres!$A$1:$I$89,3,0)*VLOOKUP('Données projet'!$B$15,Paramètres!$A$1:$I$89,5,0)</f>
        <v>-8.7966327555477625E-13</v>
      </c>
      <c r="EL189" s="14" t="e">
        <f t="shared" si="179"/>
        <v>#NUM!</v>
      </c>
      <c r="EM189" s="22" t="e">
        <f t="shared" si="180"/>
        <v>#NUM!</v>
      </c>
      <c r="EN189" s="60" t="e">
        <f t="shared" si="128"/>
        <v>#NUM!</v>
      </c>
      <c r="EO189" s="60">
        <f ca="1">AVERAGE(OFFSET($EN$3,0,0,'Données projet'!$E$15+1,1))-AVERAGE(OFFSET($H$3,0,0,'Données projet'!$E$15+1,1))</f>
        <v>483.60545605360528</v>
      </c>
      <c r="EP189" s="60">
        <f t="shared" si="154"/>
        <v>256.96685577560345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69.368239061637254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0" t="e">
        <f t="shared" si="131"/>
        <v>#N/A</v>
      </c>
      <c r="FJ189" s="60" t="e">
        <f ca="1">AVERAGE(OFFSET($FI$3,0,0,'Données projet'!$E$16+1,1))-AVERAGE(OFFSET($H$3,0,0,'Données projet'!$E$16+1,1))</f>
        <v>#N/A</v>
      </c>
      <c r="FK189" s="60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69.368239061637254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0" t="e">
        <f t="shared" si="134"/>
        <v>#N/A</v>
      </c>
      <c r="GE189" s="60" t="e">
        <f ca="1">AVERAGE(OFFSET($GD$3,0,0,'Données projet'!$E$17+1,1))-AVERAGE(OFFSET($H$3,0,0,'Données projet'!$E$17+1,1))</f>
        <v>#N/A</v>
      </c>
      <c r="GF189" s="60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69.368239061637254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4">
        <f>'Scénario référence'!$B$16*5+'Scénario référence'!$B$17*0+'Scénario référence'!$B$18*5</f>
        <v>3.2750000000000004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12.008333333333335</v>
      </c>
      <c r="H190" s="67">
        <f t="shared" si="110"/>
        <v>208.63333333333333</v>
      </c>
      <c r="I190" s="7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69.379198701511996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-9.0949470177292824E-13</v>
      </c>
      <c r="O190" s="14">
        <f>N190*VLOOKUP('Données projet'!$B$9,Paramètres!$A$1:$I$89,3,0)*VLOOKUP('Données projet'!$B$9,Paramètres!$A$1:$I$89,5,0)</f>
        <v>-9.2222762759774924E-13</v>
      </c>
      <c r="P190" s="14" t="e">
        <f t="shared" si="141"/>
        <v>#NUM!</v>
      </c>
      <c r="Q190" s="22" t="e">
        <f t="shared" si="162"/>
        <v>#NUM!</v>
      </c>
      <c r="R190" s="60" t="e">
        <f t="shared" si="109"/>
        <v>#NUM!</v>
      </c>
      <c r="S190" s="60">
        <f ca="1">AVERAGE(OFFSET($R$3,0,0,'Données projet'!$E$9+1,1))-AVERAGE(OFFSET($H$3,0,0,'Données projet'!$E$9+1,1))</f>
        <v>503.64055031157477</v>
      </c>
      <c r="T190" s="60">
        <f t="shared" si="142"/>
        <v>266.76572540460842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69.379198701511996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-9.0949470177292824E-13</v>
      </c>
      <c r="AJ190" s="14">
        <f>AI190*VLOOKUP('Données projet'!$B$10,Paramètres!$A$1:$I$89,3,0)*VLOOKUP('Données projet'!$B$10,Paramètres!$A$1:$I$89,5,0)</f>
        <v>-8.2291080616414541E-13</v>
      </c>
      <c r="AK190" s="14" t="e">
        <f t="shared" si="164"/>
        <v>#NUM!</v>
      </c>
      <c r="AL190" s="22" t="e">
        <f t="shared" si="165"/>
        <v>#NUM!</v>
      </c>
      <c r="AM190" s="60" t="e">
        <f t="shared" si="113"/>
        <v>#NUM!</v>
      </c>
      <c r="AN190" s="60">
        <f ca="1">AVERAGE(OFFSET($AM$3,0,0,'Données projet'!$E$10+1,1))-AVERAGE(OFFSET($H$3,0,0,'Données projet'!$E$10+1,1))</f>
        <v>456.86058467343139</v>
      </c>
      <c r="AO190" s="60">
        <f t="shared" si="144"/>
        <v>243.88495931574937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69.379198701511996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-5.6843418860808015E-14</v>
      </c>
      <c r="BE190" s="14">
        <f>BD190*VLOOKUP('Données projet'!$B$11,Paramètres!$A$1:$I$89,3,0)*VLOOKUP('Données projet'!$B$11,Paramètres!$A$1:$I$89,5,0)</f>
        <v>-5.9412741393316544E-14</v>
      </c>
      <c r="BF190" s="14" t="e">
        <f t="shared" si="167"/>
        <v>#NUM!</v>
      </c>
      <c r="BG190" s="22" t="e">
        <f t="shared" si="168"/>
        <v>#NUM!</v>
      </c>
      <c r="BH190" s="60" t="e">
        <f t="shared" si="116"/>
        <v>#NUM!</v>
      </c>
      <c r="BI190" s="60">
        <f ca="1">AVERAGE(OFFSET($BH$3,0,0,'Données projet'!$E$11+1,1))-AVERAGE(OFFSET($H$3,0,0,'Données projet'!$E$11+1,1))</f>
        <v>518.47226207416952</v>
      </c>
      <c r="BJ190" s="60">
        <f t="shared" si="146"/>
        <v>314.6379787306804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69.379198701511996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-9.0949470177292824E-13</v>
      </c>
      <c r="BZ190" s="14">
        <f>BY190*VLOOKUP('Données projet'!$B$12,Paramètres!$A$1:$I$89,3,0)*VLOOKUP('Données projet'!$B$12,Paramètres!$A$1:$I$89,5,0)</f>
        <v>-9.7898009698837998E-13</v>
      </c>
      <c r="CA190" s="14" t="e">
        <f t="shared" si="170"/>
        <v>#NUM!</v>
      </c>
      <c r="CB190" s="22" t="e">
        <f t="shared" si="171"/>
        <v>#NUM!</v>
      </c>
      <c r="CC190" s="60" t="e">
        <f t="shared" si="119"/>
        <v>#NUM!</v>
      </c>
      <c r="CD190" s="60">
        <f ca="1">AVERAGE(OFFSET($CC$3,0,0,'Données projet'!$E$12+1,1))-AVERAGE(OFFSET($H$3,0,0,'Données projet'!$E$12+1,1))</f>
        <v>530.32456073177104</v>
      </c>
      <c r="CE190" s="60">
        <f t="shared" si="148"/>
        <v>279.81519428470625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69.379198701511996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3.4106051316484809E-13</v>
      </c>
      <c r="CU190" s="18">
        <f>CT190*VLOOKUP('Données projet'!$B$13,Paramètres!$A$1:$I$89,3,0)*VLOOKUP('Données projet'!$B$13,Paramètres!$A$1:$I$89,5,0)</f>
        <v>2.9795046430081134E-13</v>
      </c>
      <c r="CV190" s="14">
        <f t="shared" si="173"/>
        <v>3.9419014464513778E-12</v>
      </c>
      <c r="CW190" s="22">
        <f t="shared" si="174"/>
        <v>7.384408744560063E-12</v>
      </c>
      <c r="CX190" s="60">
        <f t="shared" si="122"/>
        <v>291.05706190555139</v>
      </c>
      <c r="CY190" s="60">
        <f ca="1">AVERAGE(OFFSET($CX$3,0,0,'Données projet'!$E$13+1,1))-AVERAGE(OFFSET($H$3,0,0,'Données projet'!$E$13+1,1))</f>
        <v>355.03862261578701</v>
      </c>
      <c r="CZ190" s="60">
        <f t="shared" si="150"/>
        <v>382.84441399266029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69.379198701511996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1.1368683772161603E-13</v>
      </c>
      <c r="DP190" s="18">
        <f>DO190*VLOOKUP('Données projet'!$B$14,Paramètres!$A$1:$I$89,3,0)*VLOOKUP('Données projet'!$B$14,Paramètres!$A$1:$I$89,5,0)</f>
        <v>8.8675733422860506E-14</v>
      </c>
      <c r="DQ190" s="14">
        <f t="shared" si="176"/>
        <v>1.3509285393066301E-12</v>
      </c>
      <c r="DR190" s="22">
        <f t="shared" si="177"/>
        <v>2.5073107750038623E-12</v>
      </c>
      <c r="DS190" s="60">
        <f t="shared" si="125"/>
        <v>291.0570619055465</v>
      </c>
      <c r="DT190" s="60">
        <f ca="1">AVERAGE(OFFSET($DS$3,0,0,'Données projet'!$E$14+1,1))-AVERAGE(OFFSET($H$3,0,0,'Données projet'!$E$14+1,1))</f>
        <v>305.68891030516761</v>
      </c>
      <c r="DU190" s="60">
        <f t="shared" si="152"/>
        <v>296.00275062228275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69.379198701511996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-9.0949470177292824E-13</v>
      </c>
      <c r="EK190" s="18">
        <f>EJ190*VLOOKUP('Données projet'!$B$15,Paramètres!$A$1:$I$89,3,0)*VLOOKUP('Données projet'!$B$15,Paramètres!$A$1:$I$89,5,0)</f>
        <v>-8.7966327555477625E-13</v>
      </c>
      <c r="EL190" s="14" t="e">
        <f t="shared" si="179"/>
        <v>#NUM!</v>
      </c>
      <c r="EM190" s="22" t="e">
        <f t="shared" si="180"/>
        <v>#NUM!</v>
      </c>
      <c r="EN190" s="60" t="e">
        <f t="shared" si="128"/>
        <v>#NUM!</v>
      </c>
      <c r="EO190" s="60">
        <f ca="1">AVERAGE(OFFSET($EN$3,0,0,'Données projet'!$E$15+1,1))-AVERAGE(OFFSET($H$3,0,0,'Données projet'!$E$15+1,1))</f>
        <v>483.60545605360528</v>
      </c>
      <c r="EP190" s="60">
        <f t="shared" si="154"/>
        <v>256.96685577560345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69.379198701511996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0" t="e">
        <f t="shared" si="131"/>
        <v>#N/A</v>
      </c>
      <c r="FJ190" s="60" t="e">
        <f ca="1">AVERAGE(OFFSET($FI$3,0,0,'Données projet'!$E$16+1,1))-AVERAGE(OFFSET($H$3,0,0,'Données projet'!$E$16+1,1))</f>
        <v>#N/A</v>
      </c>
      <c r="FK190" s="60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69.379198701511996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0" t="e">
        <f t="shared" si="134"/>
        <v>#N/A</v>
      </c>
      <c r="GE190" s="60" t="e">
        <f ca="1">AVERAGE(OFFSET($GD$3,0,0,'Données projet'!$E$17+1,1))-AVERAGE(OFFSET($H$3,0,0,'Données projet'!$E$17+1,1))</f>
        <v>#N/A</v>
      </c>
      <c r="GF190" s="60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69.379198701511996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4">
        <f>'Scénario référence'!$B$16*5+'Scénario référence'!$B$17*0+'Scénario référence'!$B$18*5</f>
        <v>3.2750000000000004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12.008333333333335</v>
      </c>
      <c r="H191" s="67">
        <f t="shared" si="110"/>
        <v>208.63333333333333</v>
      </c>
      <c r="I191" s="7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69.389968216136964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-9.0949470177292824E-13</v>
      </c>
      <c r="O191" s="14">
        <f>N191*VLOOKUP('Données projet'!$B$9,Paramètres!$A$1:$I$89,3,0)*VLOOKUP('Données projet'!$B$9,Paramètres!$A$1:$I$89,5,0)</f>
        <v>-9.2222762759774924E-13</v>
      </c>
      <c r="P191" s="14" t="e">
        <f t="shared" si="141"/>
        <v>#NUM!</v>
      </c>
      <c r="Q191" s="22" t="e">
        <f t="shared" si="162"/>
        <v>#NUM!</v>
      </c>
      <c r="R191" s="60" t="e">
        <f t="shared" si="109"/>
        <v>#NUM!</v>
      </c>
      <c r="S191" s="60">
        <f ca="1">AVERAGE(OFFSET($R$3,0,0,'Données projet'!$E$9+1,1))-AVERAGE(OFFSET($H$3,0,0,'Données projet'!$E$9+1,1))</f>
        <v>503.64055031157477</v>
      </c>
      <c r="T191" s="60">
        <f t="shared" si="142"/>
        <v>266.76572540460842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69.389968216136964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-9.0949470177292824E-13</v>
      </c>
      <c r="AJ191" s="14">
        <f>AI191*VLOOKUP('Données projet'!$B$10,Paramètres!$A$1:$I$89,3,0)*VLOOKUP('Données projet'!$B$10,Paramètres!$A$1:$I$89,5,0)</f>
        <v>-8.2291080616414541E-13</v>
      </c>
      <c r="AK191" s="14" t="e">
        <f t="shared" si="164"/>
        <v>#NUM!</v>
      </c>
      <c r="AL191" s="22" t="e">
        <f t="shared" si="165"/>
        <v>#NUM!</v>
      </c>
      <c r="AM191" s="60" t="e">
        <f t="shared" si="113"/>
        <v>#NUM!</v>
      </c>
      <c r="AN191" s="60">
        <f ca="1">AVERAGE(OFFSET($AM$3,0,0,'Données projet'!$E$10+1,1))-AVERAGE(OFFSET($H$3,0,0,'Données projet'!$E$10+1,1))</f>
        <v>456.86058467343139</v>
      </c>
      <c r="AO191" s="60">
        <f t="shared" si="144"/>
        <v>243.88495931574937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69.389968216136964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-5.6843418860808015E-14</v>
      </c>
      <c r="BE191" s="14">
        <f>BD191*VLOOKUP('Données projet'!$B$11,Paramètres!$A$1:$I$89,3,0)*VLOOKUP('Données projet'!$B$11,Paramètres!$A$1:$I$89,5,0)</f>
        <v>-5.9412741393316544E-14</v>
      </c>
      <c r="BF191" s="14" t="e">
        <f t="shared" si="167"/>
        <v>#NUM!</v>
      </c>
      <c r="BG191" s="22" t="e">
        <f t="shared" si="168"/>
        <v>#NUM!</v>
      </c>
      <c r="BH191" s="60" t="e">
        <f t="shared" si="116"/>
        <v>#NUM!</v>
      </c>
      <c r="BI191" s="60">
        <f ca="1">AVERAGE(OFFSET($BH$3,0,0,'Données projet'!$E$11+1,1))-AVERAGE(OFFSET($H$3,0,0,'Données projet'!$E$11+1,1))</f>
        <v>518.47226207416952</v>
      </c>
      <c r="BJ191" s="60">
        <f t="shared" si="146"/>
        <v>314.6379787306804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69.389968216136964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-9.0949470177292824E-13</v>
      </c>
      <c r="BZ191" s="14">
        <f>BY191*VLOOKUP('Données projet'!$B$12,Paramètres!$A$1:$I$89,3,0)*VLOOKUP('Données projet'!$B$12,Paramètres!$A$1:$I$89,5,0)</f>
        <v>-9.7898009698837998E-13</v>
      </c>
      <c r="CA191" s="14" t="e">
        <f t="shared" si="170"/>
        <v>#NUM!</v>
      </c>
      <c r="CB191" s="22" t="e">
        <f t="shared" si="171"/>
        <v>#NUM!</v>
      </c>
      <c r="CC191" s="60" t="e">
        <f t="shared" si="119"/>
        <v>#NUM!</v>
      </c>
      <c r="CD191" s="60">
        <f ca="1">AVERAGE(OFFSET($CC$3,0,0,'Données projet'!$E$12+1,1))-AVERAGE(OFFSET($H$3,0,0,'Données projet'!$E$12+1,1))</f>
        <v>530.32456073177104</v>
      </c>
      <c r="CE191" s="60">
        <f t="shared" si="148"/>
        <v>279.81519428470625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69.389968216136964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3.4106051316484809E-13</v>
      </c>
      <c r="CU191" s="18">
        <f>CT191*VLOOKUP('Données projet'!$B$13,Paramètres!$A$1:$I$89,3,0)*VLOOKUP('Données projet'!$B$13,Paramètres!$A$1:$I$89,5,0)</f>
        <v>2.9795046430081134E-13</v>
      </c>
      <c r="CV191" s="14">
        <f t="shared" si="173"/>
        <v>3.9419014464513778E-12</v>
      </c>
      <c r="CW191" s="22">
        <f t="shared" si="174"/>
        <v>7.384408744560063E-12</v>
      </c>
      <c r="CX191" s="60">
        <f t="shared" si="122"/>
        <v>291.09655012584295</v>
      </c>
      <c r="CY191" s="60">
        <f ca="1">AVERAGE(OFFSET($CX$3,0,0,'Données projet'!$E$13+1,1))-AVERAGE(OFFSET($H$3,0,0,'Données projet'!$E$13+1,1))</f>
        <v>355.03862261578701</v>
      </c>
      <c r="CZ191" s="60">
        <f t="shared" si="150"/>
        <v>382.84441399266029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69.389968216136964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1.1368683772161603E-13</v>
      </c>
      <c r="DP191" s="18">
        <f>DO191*VLOOKUP('Données projet'!$B$14,Paramètres!$A$1:$I$89,3,0)*VLOOKUP('Données projet'!$B$14,Paramètres!$A$1:$I$89,5,0)</f>
        <v>8.8675733422860506E-14</v>
      </c>
      <c r="DQ191" s="14">
        <f t="shared" si="176"/>
        <v>1.3509285393066301E-12</v>
      </c>
      <c r="DR191" s="22">
        <f t="shared" si="177"/>
        <v>2.5073107750038623E-12</v>
      </c>
      <c r="DS191" s="60">
        <f t="shared" si="125"/>
        <v>291.09655012583806</v>
      </c>
      <c r="DT191" s="60">
        <f ca="1">AVERAGE(OFFSET($DS$3,0,0,'Données projet'!$E$14+1,1))-AVERAGE(OFFSET($H$3,0,0,'Données projet'!$E$14+1,1))</f>
        <v>305.68891030516761</v>
      </c>
      <c r="DU191" s="60">
        <f t="shared" si="152"/>
        <v>296.00275062228275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69.389968216136964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-9.0949470177292824E-13</v>
      </c>
      <c r="EK191" s="18">
        <f>EJ191*VLOOKUP('Données projet'!$B$15,Paramètres!$A$1:$I$89,3,0)*VLOOKUP('Données projet'!$B$15,Paramètres!$A$1:$I$89,5,0)</f>
        <v>-8.7966327555477625E-13</v>
      </c>
      <c r="EL191" s="14" t="e">
        <f t="shared" si="179"/>
        <v>#NUM!</v>
      </c>
      <c r="EM191" s="22" t="e">
        <f t="shared" si="180"/>
        <v>#NUM!</v>
      </c>
      <c r="EN191" s="60" t="e">
        <f t="shared" si="128"/>
        <v>#NUM!</v>
      </c>
      <c r="EO191" s="60">
        <f ca="1">AVERAGE(OFFSET($EN$3,0,0,'Données projet'!$E$15+1,1))-AVERAGE(OFFSET($H$3,0,0,'Données projet'!$E$15+1,1))</f>
        <v>483.60545605360528</v>
      </c>
      <c r="EP191" s="60">
        <f t="shared" si="154"/>
        <v>256.96685577560345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69.389968216136964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0" t="e">
        <f t="shared" si="131"/>
        <v>#N/A</v>
      </c>
      <c r="FJ191" s="60" t="e">
        <f ca="1">AVERAGE(OFFSET($FI$3,0,0,'Données projet'!$E$16+1,1))-AVERAGE(OFFSET($H$3,0,0,'Données projet'!$E$16+1,1))</f>
        <v>#N/A</v>
      </c>
      <c r="FK191" s="60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69.389968216136964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0" t="e">
        <f t="shared" si="134"/>
        <v>#N/A</v>
      </c>
      <c r="GE191" s="60" t="e">
        <f ca="1">AVERAGE(OFFSET($GD$3,0,0,'Données projet'!$E$17+1,1))-AVERAGE(OFFSET($H$3,0,0,'Données projet'!$E$17+1,1))</f>
        <v>#N/A</v>
      </c>
      <c r="GF191" s="60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69.389968216136964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4">
        <f>'Scénario référence'!$B$16*5+'Scénario référence'!$B$17*0+'Scénario référence'!$B$18*5</f>
        <v>3.2750000000000004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12.008333333333335</v>
      </c>
      <c r="H192" s="67">
        <f t="shared" si="110"/>
        <v>208.63333333333333</v>
      </c>
      <c r="I192" s="7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69.400550903760234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-9.0949470177292824E-13</v>
      </c>
      <c r="O192" s="14">
        <f>N192*VLOOKUP('Données projet'!$B$9,Paramètres!$A$1:$I$89,3,0)*VLOOKUP('Données projet'!$B$9,Paramètres!$A$1:$I$89,5,0)</f>
        <v>-9.2222762759774924E-13</v>
      </c>
      <c r="P192" s="14" t="e">
        <f t="shared" si="141"/>
        <v>#NUM!</v>
      </c>
      <c r="Q192" s="22" t="e">
        <f t="shared" si="162"/>
        <v>#NUM!</v>
      </c>
      <c r="R192" s="60" t="e">
        <f t="shared" si="109"/>
        <v>#NUM!</v>
      </c>
      <c r="S192" s="60">
        <f ca="1">AVERAGE(OFFSET($R$3,0,0,'Données projet'!$E$9+1,1))-AVERAGE(OFFSET($H$3,0,0,'Données projet'!$E$9+1,1))</f>
        <v>503.64055031157477</v>
      </c>
      <c r="T192" s="60">
        <f t="shared" si="142"/>
        <v>266.76572540460842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69.400550903760234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-9.0949470177292824E-13</v>
      </c>
      <c r="AJ192" s="14">
        <f>AI192*VLOOKUP('Données projet'!$B$10,Paramètres!$A$1:$I$89,3,0)*VLOOKUP('Données projet'!$B$10,Paramètres!$A$1:$I$89,5,0)</f>
        <v>-8.2291080616414541E-13</v>
      </c>
      <c r="AK192" s="14" t="e">
        <f t="shared" si="164"/>
        <v>#NUM!</v>
      </c>
      <c r="AL192" s="22" t="e">
        <f t="shared" si="165"/>
        <v>#NUM!</v>
      </c>
      <c r="AM192" s="60" t="e">
        <f t="shared" si="113"/>
        <v>#NUM!</v>
      </c>
      <c r="AN192" s="60">
        <f ca="1">AVERAGE(OFFSET($AM$3,0,0,'Données projet'!$E$10+1,1))-AVERAGE(OFFSET($H$3,0,0,'Données projet'!$E$10+1,1))</f>
        <v>456.86058467343139</v>
      </c>
      <c r="AO192" s="60">
        <f t="shared" si="144"/>
        <v>243.88495931574937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69.400550903760234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-5.6843418860808015E-14</v>
      </c>
      <c r="BE192" s="14">
        <f>BD192*VLOOKUP('Données projet'!$B$11,Paramètres!$A$1:$I$89,3,0)*VLOOKUP('Données projet'!$B$11,Paramètres!$A$1:$I$89,5,0)</f>
        <v>-5.9412741393316544E-14</v>
      </c>
      <c r="BF192" s="14" t="e">
        <f t="shared" si="167"/>
        <v>#NUM!</v>
      </c>
      <c r="BG192" s="22" t="e">
        <f t="shared" si="168"/>
        <v>#NUM!</v>
      </c>
      <c r="BH192" s="60" t="e">
        <f t="shared" si="116"/>
        <v>#NUM!</v>
      </c>
      <c r="BI192" s="60">
        <f ca="1">AVERAGE(OFFSET($BH$3,0,0,'Données projet'!$E$11+1,1))-AVERAGE(OFFSET($H$3,0,0,'Données projet'!$E$11+1,1))</f>
        <v>518.47226207416952</v>
      </c>
      <c r="BJ192" s="60">
        <f t="shared" si="146"/>
        <v>314.6379787306804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69.400550903760234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-9.0949470177292824E-13</v>
      </c>
      <c r="BZ192" s="14">
        <f>BY192*VLOOKUP('Données projet'!$B$12,Paramètres!$A$1:$I$89,3,0)*VLOOKUP('Données projet'!$B$12,Paramètres!$A$1:$I$89,5,0)</f>
        <v>-9.7898009698837998E-13</v>
      </c>
      <c r="CA192" s="14" t="e">
        <f t="shared" si="170"/>
        <v>#NUM!</v>
      </c>
      <c r="CB192" s="22" t="e">
        <f t="shared" si="171"/>
        <v>#NUM!</v>
      </c>
      <c r="CC192" s="60" t="e">
        <f t="shared" si="119"/>
        <v>#NUM!</v>
      </c>
      <c r="CD192" s="60">
        <f ca="1">AVERAGE(OFFSET($CC$3,0,0,'Données projet'!$E$12+1,1))-AVERAGE(OFFSET($H$3,0,0,'Données projet'!$E$12+1,1))</f>
        <v>530.32456073177104</v>
      </c>
      <c r="CE192" s="60">
        <f t="shared" si="148"/>
        <v>279.81519428470625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69.400550903760234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3.4106051316484809E-13</v>
      </c>
      <c r="CU192" s="18">
        <f>CT192*VLOOKUP('Données projet'!$B$13,Paramètres!$A$1:$I$89,3,0)*VLOOKUP('Données projet'!$B$13,Paramètres!$A$1:$I$89,5,0)</f>
        <v>2.9795046430081134E-13</v>
      </c>
      <c r="CV192" s="14">
        <f t="shared" si="173"/>
        <v>3.9419014464513778E-12</v>
      </c>
      <c r="CW192" s="22">
        <f t="shared" si="174"/>
        <v>7.384408744560063E-12</v>
      </c>
      <c r="CX192" s="60">
        <f t="shared" si="122"/>
        <v>291.13535331379495</v>
      </c>
      <c r="CY192" s="60">
        <f ca="1">AVERAGE(OFFSET($CX$3,0,0,'Données projet'!$E$13+1,1))-AVERAGE(OFFSET($H$3,0,0,'Données projet'!$E$13+1,1))</f>
        <v>355.03862261578701</v>
      </c>
      <c r="CZ192" s="60">
        <f t="shared" si="150"/>
        <v>382.84441399266029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69.400550903760234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1.1368683772161603E-13</v>
      </c>
      <c r="DP192" s="18">
        <f>DO192*VLOOKUP('Données projet'!$B$14,Paramètres!$A$1:$I$89,3,0)*VLOOKUP('Données projet'!$B$14,Paramètres!$A$1:$I$89,5,0)</f>
        <v>8.8675733422860506E-14</v>
      </c>
      <c r="DQ192" s="14">
        <f t="shared" si="176"/>
        <v>1.3509285393066301E-12</v>
      </c>
      <c r="DR192" s="22">
        <f t="shared" si="177"/>
        <v>2.5073107750038623E-12</v>
      </c>
      <c r="DS192" s="60">
        <f t="shared" si="125"/>
        <v>291.13535331379006</v>
      </c>
      <c r="DT192" s="60">
        <f ca="1">AVERAGE(OFFSET($DS$3,0,0,'Données projet'!$E$14+1,1))-AVERAGE(OFFSET($H$3,0,0,'Données projet'!$E$14+1,1))</f>
        <v>305.68891030516761</v>
      </c>
      <c r="DU192" s="60">
        <f t="shared" si="152"/>
        <v>296.00275062228275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69.400550903760234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-9.0949470177292824E-13</v>
      </c>
      <c r="EK192" s="18">
        <f>EJ192*VLOOKUP('Données projet'!$B$15,Paramètres!$A$1:$I$89,3,0)*VLOOKUP('Données projet'!$B$15,Paramètres!$A$1:$I$89,5,0)</f>
        <v>-8.7966327555477625E-13</v>
      </c>
      <c r="EL192" s="14" t="e">
        <f t="shared" si="179"/>
        <v>#NUM!</v>
      </c>
      <c r="EM192" s="22" t="e">
        <f t="shared" si="180"/>
        <v>#NUM!</v>
      </c>
      <c r="EN192" s="60" t="e">
        <f t="shared" si="128"/>
        <v>#NUM!</v>
      </c>
      <c r="EO192" s="60">
        <f ca="1">AVERAGE(OFFSET($EN$3,0,0,'Données projet'!$E$15+1,1))-AVERAGE(OFFSET($H$3,0,0,'Données projet'!$E$15+1,1))</f>
        <v>483.60545605360528</v>
      </c>
      <c r="EP192" s="60">
        <f t="shared" si="154"/>
        <v>256.96685577560345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69.400550903760234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0" t="e">
        <f t="shared" si="131"/>
        <v>#N/A</v>
      </c>
      <c r="FJ192" s="60" t="e">
        <f ca="1">AVERAGE(OFFSET($FI$3,0,0,'Données projet'!$E$16+1,1))-AVERAGE(OFFSET($H$3,0,0,'Données projet'!$E$16+1,1))</f>
        <v>#N/A</v>
      </c>
      <c r="FK192" s="60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69.400550903760234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0" t="e">
        <f t="shared" si="134"/>
        <v>#N/A</v>
      </c>
      <c r="GE192" s="60" t="e">
        <f ca="1">AVERAGE(OFFSET($GD$3,0,0,'Données projet'!$E$17+1,1))-AVERAGE(OFFSET($H$3,0,0,'Données projet'!$E$17+1,1))</f>
        <v>#N/A</v>
      </c>
      <c r="GF192" s="60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69.400550903760234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4">
        <f>'Scénario référence'!$B$16*5+'Scénario référence'!$B$17*0+'Scénario référence'!$B$18*5</f>
        <v>3.2750000000000004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12.008333333333335</v>
      </c>
      <c r="H193" s="67">
        <f t="shared" si="110"/>
        <v>208.63333333333333</v>
      </c>
      <c r="I193" s="7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69.410950005412587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-9.0949470177292824E-13</v>
      </c>
      <c r="O193" s="14">
        <f>N193*VLOOKUP('Données projet'!$B$9,Paramètres!$A$1:$I$89,3,0)*VLOOKUP('Données projet'!$B$9,Paramètres!$A$1:$I$89,5,0)</f>
        <v>-9.2222762759774924E-13</v>
      </c>
      <c r="P193" s="14" t="e">
        <f t="shared" si="141"/>
        <v>#NUM!</v>
      </c>
      <c r="Q193" s="22" t="e">
        <f t="shared" si="162"/>
        <v>#NUM!</v>
      </c>
      <c r="R193" s="60" t="e">
        <f t="shared" si="109"/>
        <v>#NUM!</v>
      </c>
      <c r="S193" s="60">
        <f ca="1">AVERAGE(OFFSET($R$3,0,0,'Données projet'!$E$9+1,1))-AVERAGE(OFFSET($H$3,0,0,'Données projet'!$E$9+1,1))</f>
        <v>503.64055031157477</v>
      </c>
      <c r="T193" s="60">
        <f t="shared" si="142"/>
        <v>266.76572540460842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69.410950005412587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-9.0949470177292824E-13</v>
      </c>
      <c r="AJ193" s="14">
        <f>AI193*VLOOKUP('Données projet'!$B$10,Paramètres!$A$1:$I$89,3,0)*VLOOKUP('Données projet'!$B$10,Paramètres!$A$1:$I$89,5,0)</f>
        <v>-8.2291080616414541E-13</v>
      </c>
      <c r="AK193" s="14" t="e">
        <f t="shared" si="164"/>
        <v>#NUM!</v>
      </c>
      <c r="AL193" s="22" t="e">
        <f t="shared" si="165"/>
        <v>#NUM!</v>
      </c>
      <c r="AM193" s="60" t="e">
        <f t="shared" si="113"/>
        <v>#NUM!</v>
      </c>
      <c r="AN193" s="60">
        <f ca="1">AVERAGE(OFFSET($AM$3,0,0,'Données projet'!$E$10+1,1))-AVERAGE(OFFSET($H$3,0,0,'Données projet'!$E$10+1,1))</f>
        <v>456.86058467343139</v>
      </c>
      <c r="AO193" s="60">
        <f t="shared" si="144"/>
        <v>243.88495931574937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69.410950005412587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-5.6843418860808015E-14</v>
      </c>
      <c r="BE193" s="14">
        <f>BD193*VLOOKUP('Données projet'!$B$11,Paramètres!$A$1:$I$89,3,0)*VLOOKUP('Données projet'!$B$11,Paramètres!$A$1:$I$89,5,0)</f>
        <v>-5.9412741393316544E-14</v>
      </c>
      <c r="BF193" s="14" t="e">
        <f t="shared" si="167"/>
        <v>#NUM!</v>
      </c>
      <c r="BG193" s="22" t="e">
        <f t="shared" si="168"/>
        <v>#NUM!</v>
      </c>
      <c r="BH193" s="60" t="e">
        <f t="shared" si="116"/>
        <v>#NUM!</v>
      </c>
      <c r="BI193" s="60">
        <f ca="1">AVERAGE(OFFSET($BH$3,0,0,'Données projet'!$E$11+1,1))-AVERAGE(OFFSET($H$3,0,0,'Données projet'!$E$11+1,1))</f>
        <v>518.47226207416952</v>
      </c>
      <c r="BJ193" s="60">
        <f t="shared" si="146"/>
        <v>314.6379787306804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69.410950005412587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-9.0949470177292824E-13</v>
      </c>
      <c r="BZ193" s="14">
        <f>BY193*VLOOKUP('Données projet'!$B$12,Paramètres!$A$1:$I$89,3,0)*VLOOKUP('Données projet'!$B$12,Paramètres!$A$1:$I$89,5,0)</f>
        <v>-9.7898009698837998E-13</v>
      </c>
      <c r="CA193" s="14" t="e">
        <f t="shared" si="170"/>
        <v>#NUM!</v>
      </c>
      <c r="CB193" s="22" t="e">
        <f t="shared" si="171"/>
        <v>#NUM!</v>
      </c>
      <c r="CC193" s="60" t="e">
        <f t="shared" si="119"/>
        <v>#NUM!</v>
      </c>
      <c r="CD193" s="60">
        <f ca="1">AVERAGE(OFFSET($CC$3,0,0,'Données projet'!$E$12+1,1))-AVERAGE(OFFSET($H$3,0,0,'Données projet'!$E$12+1,1))</f>
        <v>530.32456073177104</v>
      </c>
      <c r="CE193" s="60">
        <f t="shared" si="148"/>
        <v>279.81519428470625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69.410950005412587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3.4106051316484809E-13</v>
      </c>
      <c r="CU193" s="18">
        <f>CT193*VLOOKUP('Données projet'!$B$13,Paramètres!$A$1:$I$89,3,0)*VLOOKUP('Données projet'!$B$13,Paramètres!$A$1:$I$89,5,0)</f>
        <v>2.9795046430081134E-13</v>
      </c>
      <c r="CV193" s="14">
        <f t="shared" si="173"/>
        <v>3.9419014464513778E-12</v>
      </c>
      <c r="CW193" s="22">
        <f t="shared" si="174"/>
        <v>7.384408744560063E-12</v>
      </c>
      <c r="CX193" s="60">
        <f t="shared" si="122"/>
        <v>291.1734833531869</v>
      </c>
      <c r="CY193" s="60">
        <f ca="1">AVERAGE(OFFSET($CX$3,0,0,'Données projet'!$E$13+1,1))-AVERAGE(OFFSET($H$3,0,0,'Données projet'!$E$13+1,1))</f>
        <v>355.03862261578701</v>
      </c>
      <c r="CZ193" s="60">
        <f t="shared" si="150"/>
        <v>382.84441399266029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69.410950005412587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1.1368683772161603E-13</v>
      </c>
      <c r="DP193" s="18">
        <f>DO193*VLOOKUP('Données projet'!$B$14,Paramètres!$A$1:$I$89,3,0)*VLOOKUP('Données projet'!$B$14,Paramètres!$A$1:$I$89,5,0)</f>
        <v>8.8675733422860506E-14</v>
      </c>
      <c r="DQ193" s="14">
        <f t="shared" si="176"/>
        <v>1.3509285393066301E-12</v>
      </c>
      <c r="DR193" s="22">
        <f t="shared" si="177"/>
        <v>2.5073107750038623E-12</v>
      </c>
      <c r="DS193" s="60">
        <f t="shared" si="125"/>
        <v>291.17348335318201</v>
      </c>
      <c r="DT193" s="60">
        <f ca="1">AVERAGE(OFFSET($DS$3,0,0,'Données projet'!$E$14+1,1))-AVERAGE(OFFSET($H$3,0,0,'Données projet'!$E$14+1,1))</f>
        <v>305.68891030516761</v>
      </c>
      <c r="DU193" s="60">
        <f t="shared" si="152"/>
        <v>296.00275062228275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69.410950005412587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-9.0949470177292824E-13</v>
      </c>
      <c r="EK193" s="18">
        <f>EJ193*VLOOKUP('Données projet'!$B$15,Paramètres!$A$1:$I$89,3,0)*VLOOKUP('Données projet'!$B$15,Paramètres!$A$1:$I$89,5,0)</f>
        <v>-8.7966327555477625E-13</v>
      </c>
      <c r="EL193" s="14" t="e">
        <f t="shared" si="179"/>
        <v>#NUM!</v>
      </c>
      <c r="EM193" s="22" t="e">
        <f t="shared" si="180"/>
        <v>#NUM!</v>
      </c>
      <c r="EN193" s="60" t="e">
        <f t="shared" si="128"/>
        <v>#NUM!</v>
      </c>
      <c r="EO193" s="60">
        <f ca="1">AVERAGE(OFFSET($EN$3,0,0,'Données projet'!$E$15+1,1))-AVERAGE(OFFSET($H$3,0,0,'Données projet'!$E$15+1,1))</f>
        <v>483.60545605360528</v>
      </c>
      <c r="EP193" s="60">
        <f t="shared" si="154"/>
        <v>256.96685577560345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69.410950005412587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0" t="e">
        <f t="shared" si="131"/>
        <v>#N/A</v>
      </c>
      <c r="FJ193" s="60" t="e">
        <f ca="1">AVERAGE(OFFSET($FI$3,0,0,'Données projet'!$E$16+1,1))-AVERAGE(OFFSET($H$3,0,0,'Données projet'!$E$16+1,1))</f>
        <v>#N/A</v>
      </c>
      <c r="FK193" s="60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69.410950005412587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0" t="e">
        <f t="shared" si="134"/>
        <v>#N/A</v>
      </c>
      <c r="GE193" s="60" t="e">
        <f ca="1">AVERAGE(OFFSET($GD$3,0,0,'Données projet'!$E$17+1,1))-AVERAGE(OFFSET($H$3,0,0,'Données projet'!$E$17+1,1))</f>
        <v>#N/A</v>
      </c>
      <c r="GF193" s="60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69.410950005412587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4">
        <f>'Scénario référence'!$B$16*5+'Scénario référence'!$B$17*0+'Scénario référence'!$B$18*5</f>
        <v>3.2750000000000004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12.008333333333335</v>
      </c>
      <c r="H194" s="67">
        <f t="shared" si="110"/>
        <v>208.63333333333333</v>
      </c>
      <c r="I194" s="7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69.421168705900186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-9.0949470177292824E-13</v>
      </c>
      <c r="O194" s="14">
        <f>N194*VLOOKUP('Données projet'!$B$9,Paramètres!$A$1:$I$89,3,0)*VLOOKUP('Données projet'!$B$9,Paramètres!$A$1:$I$89,5,0)</f>
        <v>-9.2222762759774924E-13</v>
      </c>
      <c r="P194" s="14" t="e">
        <f t="shared" si="141"/>
        <v>#NUM!</v>
      </c>
      <c r="Q194" s="22" t="e">
        <f t="shared" si="162"/>
        <v>#NUM!</v>
      </c>
      <c r="R194" s="60" t="e">
        <f t="shared" si="109"/>
        <v>#NUM!</v>
      </c>
      <c r="S194" s="60">
        <f ca="1">AVERAGE(OFFSET($R$3,0,0,'Données projet'!$E$9+1,1))-AVERAGE(OFFSET($H$3,0,0,'Données projet'!$E$9+1,1))</f>
        <v>503.64055031157477</v>
      </c>
      <c r="T194" s="60">
        <f t="shared" si="142"/>
        <v>266.76572540460842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69.421168705900186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-9.0949470177292824E-13</v>
      </c>
      <c r="AJ194" s="14">
        <f>AI194*VLOOKUP('Données projet'!$B$10,Paramètres!$A$1:$I$89,3,0)*VLOOKUP('Données projet'!$B$10,Paramètres!$A$1:$I$89,5,0)</f>
        <v>-8.2291080616414541E-13</v>
      </c>
      <c r="AK194" s="14" t="e">
        <f t="shared" si="164"/>
        <v>#NUM!</v>
      </c>
      <c r="AL194" s="22" t="e">
        <f t="shared" si="165"/>
        <v>#NUM!</v>
      </c>
      <c r="AM194" s="60" t="e">
        <f t="shared" si="113"/>
        <v>#NUM!</v>
      </c>
      <c r="AN194" s="60">
        <f ca="1">AVERAGE(OFFSET($AM$3,0,0,'Données projet'!$E$10+1,1))-AVERAGE(OFFSET($H$3,0,0,'Données projet'!$E$10+1,1))</f>
        <v>456.86058467343139</v>
      </c>
      <c r="AO194" s="60">
        <f t="shared" si="144"/>
        <v>243.88495931574937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69.421168705900186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-5.6843418860808015E-14</v>
      </c>
      <c r="BE194" s="14">
        <f>BD194*VLOOKUP('Données projet'!$B$11,Paramètres!$A$1:$I$89,3,0)*VLOOKUP('Données projet'!$B$11,Paramètres!$A$1:$I$89,5,0)</f>
        <v>-5.9412741393316544E-14</v>
      </c>
      <c r="BF194" s="14" t="e">
        <f t="shared" si="167"/>
        <v>#NUM!</v>
      </c>
      <c r="BG194" s="22" t="e">
        <f t="shared" si="168"/>
        <v>#NUM!</v>
      </c>
      <c r="BH194" s="60" t="e">
        <f t="shared" si="116"/>
        <v>#NUM!</v>
      </c>
      <c r="BI194" s="60">
        <f ca="1">AVERAGE(OFFSET($BH$3,0,0,'Données projet'!$E$11+1,1))-AVERAGE(OFFSET($H$3,0,0,'Données projet'!$E$11+1,1))</f>
        <v>518.47226207416952</v>
      </c>
      <c r="BJ194" s="60">
        <f t="shared" si="146"/>
        <v>314.6379787306804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69.421168705900186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-9.0949470177292824E-13</v>
      </c>
      <c r="BZ194" s="14">
        <f>BY194*VLOOKUP('Données projet'!$B$12,Paramètres!$A$1:$I$89,3,0)*VLOOKUP('Données projet'!$B$12,Paramètres!$A$1:$I$89,5,0)</f>
        <v>-9.7898009698837998E-13</v>
      </c>
      <c r="CA194" s="14" t="e">
        <f t="shared" si="170"/>
        <v>#NUM!</v>
      </c>
      <c r="CB194" s="22" t="e">
        <f t="shared" si="171"/>
        <v>#NUM!</v>
      </c>
      <c r="CC194" s="60" t="e">
        <f t="shared" si="119"/>
        <v>#NUM!</v>
      </c>
      <c r="CD194" s="60">
        <f ca="1">AVERAGE(OFFSET($CC$3,0,0,'Données projet'!$E$12+1,1))-AVERAGE(OFFSET($H$3,0,0,'Données projet'!$E$12+1,1))</f>
        <v>530.32456073177104</v>
      </c>
      <c r="CE194" s="60">
        <f t="shared" si="148"/>
        <v>279.81519428470625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69.421168705900186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3.4106051316484809E-13</v>
      </c>
      <c r="CU194" s="18">
        <f>CT194*VLOOKUP('Données projet'!$B$13,Paramètres!$A$1:$I$89,3,0)*VLOOKUP('Données projet'!$B$13,Paramètres!$A$1:$I$89,5,0)</f>
        <v>2.9795046430081134E-13</v>
      </c>
      <c r="CV194" s="14">
        <f t="shared" si="173"/>
        <v>3.9419014464513778E-12</v>
      </c>
      <c r="CW194" s="22">
        <f t="shared" si="174"/>
        <v>7.384408744560063E-12</v>
      </c>
      <c r="CX194" s="60">
        <f t="shared" si="122"/>
        <v>291.21095192164142</v>
      </c>
      <c r="CY194" s="60">
        <f ca="1">AVERAGE(OFFSET($CX$3,0,0,'Données projet'!$E$13+1,1))-AVERAGE(OFFSET($H$3,0,0,'Données projet'!$E$13+1,1))</f>
        <v>355.03862261578701</v>
      </c>
      <c r="CZ194" s="60">
        <f t="shared" si="150"/>
        <v>382.84441399266029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69.421168705900186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1.1368683772161603E-13</v>
      </c>
      <c r="DP194" s="18">
        <f>DO194*VLOOKUP('Données projet'!$B$14,Paramètres!$A$1:$I$89,3,0)*VLOOKUP('Données projet'!$B$14,Paramètres!$A$1:$I$89,5,0)</f>
        <v>8.8675733422860506E-14</v>
      </c>
      <c r="DQ194" s="14">
        <f t="shared" si="176"/>
        <v>1.3509285393066301E-12</v>
      </c>
      <c r="DR194" s="22">
        <f t="shared" si="177"/>
        <v>2.5073107750038623E-12</v>
      </c>
      <c r="DS194" s="60">
        <f t="shared" si="125"/>
        <v>291.21095192163654</v>
      </c>
      <c r="DT194" s="60">
        <f ca="1">AVERAGE(OFFSET($DS$3,0,0,'Données projet'!$E$14+1,1))-AVERAGE(OFFSET($H$3,0,0,'Données projet'!$E$14+1,1))</f>
        <v>305.68891030516761</v>
      </c>
      <c r="DU194" s="60">
        <f t="shared" si="152"/>
        <v>296.00275062228275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69.421168705900186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-9.0949470177292824E-13</v>
      </c>
      <c r="EK194" s="18">
        <f>EJ194*VLOOKUP('Données projet'!$B$15,Paramètres!$A$1:$I$89,3,0)*VLOOKUP('Données projet'!$B$15,Paramètres!$A$1:$I$89,5,0)</f>
        <v>-8.7966327555477625E-13</v>
      </c>
      <c r="EL194" s="14" t="e">
        <f t="shared" si="179"/>
        <v>#NUM!</v>
      </c>
      <c r="EM194" s="22" t="e">
        <f t="shared" si="180"/>
        <v>#NUM!</v>
      </c>
      <c r="EN194" s="60" t="e">
        <f t="shared" si="128"/>
        <v>#NUM!</v>
      </c>
      <c r="EO194" s="60">
        <f ca="1">AVERAGE(OFFSET($EN$3,0,0,'Données projet'!$E$15+1,1))-AVERAGE(OFFSET($H$3,0,0,'Données projet'!$E$15+1,1))</f>
        <v>483.60545605360528</v>
      </c>
      <c r="EP194" s="60">
        <f t="shared" si="154"/>
        <v>256.96685577560345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69.421168705900186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0" t="e">
        <f t="shared" si="131"/>
        <v>#N/A</v>
      </c>
      <c r="FJ194" s="60" t="e">
        <f ca="1">AVERAGE(OFFSET($FI$3,0,0,'Données projet'!$E$16+1,1))-AVERAGE(OFFSET($H$3,0,0,'Données projet'!$E$16+1,1))</f>
        <v>#N/A</v>
      </c>
      <c r="FK194" s="60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69.421168705900186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0" t="e">
        <f t="shared" si="134"/>
        <v>#N/A</v>
      </c>
      <c r="GE194" s="60" t="e">
        <f ca="1">AVERAGE(OFFSET($GD$3,0,0,'Données projet'!$E$17+1,1))-AVERAGE(OFFSET($H$3,0,0,'Données projet'!$E$17+1,1))</f>
        <v>#N/A</v>
      </c>
      <c r="GF194" s="60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69.421168705900186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4">
        <f>'Scénario référence'!$B$16*5+'Scénario référence'!$B$17*0+'Scénario référence'!$B$18*5</f>
        <v>3.2750000000000004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12.008333333333335</v>
      </c>
      <c r="H195" s="67">
        <f t="shared" si="110"/>
        <v>208.63333333333333</v>
      </c>
      <c r="I195" s="7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69.431210134779917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-9.0949470177292824E-13</v>
      </c>
      <c r="O195" s="14">
        <f>N195*VLOOKUP('Données projet'!$B$9,Paramètres!$A$1:$I$89,3,0)*VLOOKUP('Données projet'!$B$9,Paramètres!$A$1:$I$89,5,0)</f>
        <v>-9.2222762759774924E-13</v>
      </c>
      <c r="P195" s="14" t="e">
        <f t="shared" si="141"/>
        <v>#NUM!</v>
      </c>
      <c r="Q195" s="22" t="e">
        <f t="shared" si="162"/>
        <v>#NUM!</v>
      </c>
      <c r="R195" s="60" t="e">
        <f t="shared" ref="R195:R203" si="191">Q195+(I195+J195)*44/12</f>
        <v>#NUM!</v>
      </c>
      <c r="S195" s="60">
        <f ca="1">AVERAGE(OFFSET($R$3,0,0,'Données projet'!$E$9+1,1))-AVERAGE(OFFSET($H$3,0,0,'Données projet'!$E$9+1,1))</f>
        <v>503.64055031157477</v>
      </c>
      <c r="T195" s="60">
        <f t="shared" si="142"/>
        <v>266.76572540460842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69.431210134779917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-9.0949470177292824E-13</v>
      </c>
      <c r="AJ195" s="14">
        <f>AI195*VLOOKUP('Données projet'!$B$10,Paramètres!$A$1:$I$89,3,0)*VLOOKUP('Données projet'!$B$10,Paramètres!$A$1:$I$89,5,0)</f>
        <v>-8.2291080616414541E-13</v>
      </c>
      <c r="AK195" s="14" t="e">
        <f t="shared" si="164"/>
        <v>#NUM!</v>
      </c>
      <c r="AL195" s="22" t="e">
        <f t="shared" si="165"/>
        <v>#NUM!</v>
      </c>
      <c r="AM195" s="60" t="e">
        <f t="shared" si="113"/>
        <v>#NUM!</v>
      </c>
      <c r="AN195" s="60">
        <f ca="1">AVERAGE(OFFSET($AM$3,0,0,'Données projet'!$E$10+1,1))-AVERAGE(OFFSET($H$3,0,0,'Données projet'!$E$10+1,1))</f>
        <v>456.86058467343139</v>
      </c>
      <c r="AO195" s="60">
        <f t="shared" si="144"/>
        <v>243.88495931574937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69.431210134779917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-5.6843418860808015E-14</v>
      </c>
      <c r="BE195" s="14">
        <f>BD195*VLOOKUP('Données projet'!$B$11,Paramètres!$A$1:$I$89,3,0)*VLOOKUP('Données projet'!$B$11,Paramètres!$A$1:$I$89,5,0)</f>
        <v>-5.9412741393316544E-14</v>
      </c>
      <c r="BF195" s="14" t="e">
        <f t="shared" si="167"/>
        <v>#NUM!</v>
      </c>
      <c r="BG195" s="22" t="e">
        <f t="shared" si="168"/>
        <v>#NUM!</v>
      </c>
      <c r="BH195" s="60" t="e">
        <f t="shared" si="116"/>
        <v>#NUM!</v>
      </c>
      <c r="BI195" s="60">
        <f ca="1">AVERAGE(OFFSET($BH$3,0,0,'Données projet'!$E$11+1,1))-AVERAGE(OFFSET($H$3,0,0,'Données projet'!$E$11+1,1))</f>
        <v>518.47226207416952</v>
      </c>
      <c r="BJ195" s="60">
        <f t="shared" si="146"/>
        <v>314.6379787306804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69.431210134779917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-9.0949470177292824E-13</v>
      </c>
      <c r="BZ195" s="14">
        <f>BY195*VLOOKUP('Données projet'!$B$12,Paramètres!$A$1:$I$89,3,0)*VLOOKUP('Données projet'!$B$12,Paramètres!$A$1:$I$89,5,0)</f>
        <v>-9.7898009698837998E-13</v>
      </c>
      <c r="CA195" s="14" t="e">
        <f t="shared" si="170"/>
        <v>#NUM!</v>
      </c>
      <c r="CB195" s="22" t="e">
        <f t="shared" si="171"/>
        <v>#NUM!</v>
      </c>
      <c r="CC195" s="60" t="e">
        <f t="shared" si="119"/>
        <v>#NUM!</v>
      </c>
      <c r="CD195" s="60">
        <f ca="1">AVERAGE(OFFSET($CC$3,0,0,'Données projet'!$E$12+1,1))-AVERAGE(OFFSET($H$3,0,0,'Données projet'!$E$12+1,1))</f>
        <v>530.32456073177104</v>
      </c>
      <c r="CE195" s="60">
        <f t="shared" si="148"/>
        <v>279.81519428470625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69.431210134779917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3.4106051316484809E-13</v>
      </c>
      <c r="CU195" s="18">
        <f>CT195*VLOOKUP('Données projet'!$B$13,Paramètres!$A$1:$I$89,3,0)*VLOOKUP('Données projet'!$B$13,Paramètres!$A$1:$I$89,5,0)</f>
        <v>2.9795046430081134E-13</v>
      </c>
      <c r="CV195" s="14">
        <f t="shared" si="173"/>
        <v>3.9419014464513778E-12</v>
      </c>
      <c r="CW195" s="22">
        <f t="shared" si="174"/>
        <v>7.384408744560063E-12</v>
      </c>
      <c r="CX195" s="60">
        <f t="shared" si="122"/>
        <v>291.24777049420044</v>
      </c>
      <c r="CY195" s="60">
        <f ca="1">AVERAGE(OFFSET($CX$3,0,0,'Données projet'!$E$13+1,1))-AVERAGE(OFFSET($H$3,0,0,'Données projet'!$E$13+1,1))</f>
        <v>355.03862261578701</v>
      </c>
      <c r="CZ195" s="60">
        <f t="shared" si="150"/>
        <v>382.84441399266029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69.431210134779917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1.1368683772161603E-13</v>
      </c>
      <c r="DP195" s="18">
        <f>DO195*VLOOKUP('Données projet'!$B$14,Paramètres!$A$1:$I$89,3,0)*VLOOKUP('Données projet'!$B$14,Paramètres!$A$1:$I$89,5,0)</f>
        <v>8.8675733422860506E-14</v>
      </c>
      <c r="DQ195" s="14">
        <f t="shared" si="176"/>
        <v>1.3509285393066301E-12</v>
      </c>
      <c r="DR195" s="22">
        <f t="shared" si="177"/>
        <v>2.5073107750038623E-12</v>
      </c>
      <c r="DS195" s="60">
        <f t="shared" si="125"/>
        <v>291.24777049419555</v>
      </c>
      <c r="DT195" s="60">
        <f ca="1">AVERAGE(OFFSET($DS$3,0,0,'Données projet'!$E$14+1,1))-AVERAGE(OFFSET($H$3,0,0,'Données projet'!$E$14+1,1))</f>
        <v>305.68891030516761</v>
      </c>
      <c r="DU195" s="60">
        <f t="shared" si="152"/>
        <v>296.00275062228275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69.431210134779917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-9.0949470177292824E-13</v>
      </c>
      <c r="EK195" s="18">
        <f>EJ195*VLOOKUP('Données projet'!$B$15,Paramètres!$A$1:$I$89,3,0)*VLOOKUP('Données projet'!$B$15,Paramètres!$A$1:$I$89,5,0)</f>
        <v>-8.7966327555477625E-13</v>
      </c>
      <c r="EL195" s="14" t="e">
        <f t="shared" si="179"/>
        <v>#NUM!</v>
      </c>
      <c r="EM195" s="22" t="e">
        <f t="shared" si="180"/>
        <v>#NUM!</v>
      </c>
      <c r="EN195" s="60" t="e">
        <f t="shared" si="128"/>
        <v>#NUM!</v>
      </c>
      <c r="EO195" s="60">
        <f ca="1">AVERAGE(OFFSET($EN$3,0,0,'Données projet'!$E$15+1,1))-AVERAGE(OFFSET($H$3,0,0,'Données projet'!$E$15+1,1))</f>
        <v>483.60545605360528</v>
      </c>
      <c r="EP195" s="60">
        <f t="shared" si="154"/>
        <v>256.96685577560345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69.431210134779917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0" t="e">
        <f t="shared" si="131"/>
        <v>#N/A</v>
      </c>
      <c r="FJ195" s="60" t="e">
        <f ca="1">AVERAGE(OFFSET($FI$3,0,0,'Données projet'!$E$16+1,1))-AVERAGE(OFFSET($H$3,0,0,'Données projet'!$E$16+1,1))</f>
        <v>#N/A</v>
      </c>
      <c r="FK195" s="60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69.431210134779917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0" t="e">
        <f t="shared" si="134"/>
        <v>#N/A</v>
      </c>
      <c r="GE195" s="60" t="e">
        <f ca="1">AVERAGE(OFFSET($GD$3,0,0,'Données projet'!$E$17+1,1))-AVERAGE(OFFSET($H$3,0,0,'Données projet'!$E$17+1,1))</f>
        <v>#N/A</v>
      </c>
      <c r="GF195" s="60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69.431210134779917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4">
        <f>'Scénario référence'!$B$16*5+'Scénario référence'!$B$17*0+'Scénario référence'!$B$18*5</f>
        <v>3.2750000000000004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12.008333333333335</v>
      </c>
      <c r="H196" s="67">
        <f t="shared" ref="H196:H203" si="192">(B196+E196+F196)*44/12+(C196+D196)*0.475*44/12</f>
        <v>208.63333333333333</v>
      </c>
      <c r="I196" s="7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69.441077367317831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-9.0949470177292824E-13</v>
      </c>
      <c r="O196" s="14">
        <f>N196*VLOOKUP('Données projet'!$B$9,Paramètres!$A$1:$I$89,3,0)*VLOOKUP('Données projet'!$B$9,Paramètres!$A$1:$I$89,5,0)</f>
        <v>-9.2222762759774924E-13</v>
      </c>
      <c r="P196" s="14" t="e">
        <f t="shared" si="141"/>
        <v>#NUM!</v>
      </c>
      <c r="Q196" s="22" t="e">
        <f t="shared" si="162"/>
        <v>#NUM!</v>
      </c>
      <c r="R196" s="60" t="e">
        <f t="shared" si="191"/>
        <v>#NUM!</v>
      </c>
      <c r="S196" s="60">
        <f ca="1">AVERAGE(OFFSET($R$3,0,0,'Données projet'!$E$9+1,1))-AVERAGE(OFFSET($H$3,0,0,'Données projet'!$E$9+1,1))</f>
        <v>503.64055031157477</v>
      </c>
      <c r="T196" s="60">
        <f t="shared" si="142"/>
        <v>266.76572540460842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69.441077367317831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-9.0949470177292824E-13</v>
      </c>
      <c r="AJ196" s="14">
        <f>AI196*VLOOKUP('Données projet'!$B$10,Paramètres!$A$1:$I$89,3,0)*VLOOKUP('Données projet'!$B$10,Paramètres!$A$1:$I$89,5,0)</f>
        <v>-8.2291080616414541E-13</v>
      </c>
      <c r="AK196" s="14" t="e">
        <f t="shared" si="164"/>
        <v>#NUM!</v>
      </c>
      <c r="AL196" s="22" t="e">
        <f t="shared" si="165"/>
        <v>#NUM!</v>
      </c>
      <c r="AM196" s="60" t="e">
        <f t="shared" ref="AM196:AM203" si="193">AL196+(AD196+AE196)*44/12</f>
        <v>#NUM!</v>
      </c>
      <c r="AN196" s="60">
        <f ca="1">AVERAGE(OFFSET($AM$3,0,0,'Données projet'!$E$10+1,1))-AVERAGE(OFFSET($H$3,0,0,'Données projet'!$E$10+1,1))</f>
        <v>456.86058467343139</v>
      </c>
      <c r="AO196" s="60">
        <f t="shared" si="144"/>
        <v>243.88495931574937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69.441077367317831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-5.6843418860808015E-14</v>
      </c>
      <c r="BE196" s="14">
        <f>BD196*VLOOKUP('Données projet'!$B$11,Paramètres!$A$1:$I$89,3,0)*VLOOKUP('Données projet'!$B$11,Paramètres!$A$1:$I$89,5,0)</f>
        <v>-5.9412741393316544E-14</v>
      </c>
      <c r="BF196" s="14" t="e">
        <f t="shared" si="167"/>
        <v>#NUM!</v>
      </c>
      <c r="BG196" s="22" t="e">
        <f t="shared" si="168"/>
        <v>#NUM!</v>
      </c>
      <c r="BH196" s="60" t="e">
        <f t="shared" ref="BH196:BH203" si="194">BG196+(AY196+AZ196)*44/12</f>
        <v>#NUM!</v>
      </c>
      <c r="BI196" s="60">
        <f ca="1">AVERAGE(OFFSET($BH$3,0,0,'Données projet'!$E$11+1,1))-AVERAGE(OFFSET($H$3,0,0,'Données projet'!$E$11+1,1))</f>
        <v>518.47226207416952</v>
      </c>
      <c r="BJ196" s="60">
        <f t="shared" si="146"/>
        <v>314.6379787306804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69.441077367317831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-9.0949470177292824E-13</v>
      </c>
      <c r="BZ196" s="14">
        <f>BY196*VLOOKUP('Données projet'!$B$12,Paramètres!$A$1:$I$89,3,0)*VLOOKUP('Données projet'!$B$12,Paramètres!$A$1:$I$89,5,0)</f>
        <v>-9.7898009698837998E-13</v>
      </c>
      <c r="CA196" s="14" t="e">
        <f t="shared" si="170"/>
        <v>#NUM!</v>
      </c>
      <c r="CB196" s="22" t="e">
        <f t="shared" si="171"/>
        <v>#NUM!</v>
      </c>
      <c r="CC196" s="60" t="e">
        <f t="shared" ref="CC196:CC203" si="195">CB196+(BT196+BU196)*44/12</f>
        <v>#NUM!</v>
      </c>
      <c r="CD196" s="60">
        <f ca="1">AVERAGE(OFFSET($CC$3,0,0,'Données projet'!$E$12+1,1))-AVERAGE(OFFSET($H$3,0,0,'Données projet'!$E$12+1,1))</f>
        <v>530.32456073177104</v>
      </c>
      <c r="CE196" s="60">
        <f t="shared" si="148"/>
        <v>279.81519428470625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69.441077367317831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3.4106051316484809E-13</v>
      </c>
      <c r="CU196" s="18">
        <f>CT196*VLOOKUP('Données projet'!$B$13,Paramètres!$A$1:$I$89,3,0)*VLOOKUP('Données projet'!$B$13,Paramètres!$A$1:$I$89,5,0)</f>
        <v>2.9795046430081134E-13</v>
      </c>
      <c r="CV196" s="14">
        <f t="shared" si="173"/>
        <v>3.9419014464513778E-12</v>
      </c>
      <c r="CW196" s="22">
        <f t="shared" si="174"/>
        <v>7.384408744560063E-12</v>
      </c>
      <c r="CX196" s="60">
        <f t="shared" ref="CX196:CX203" si="196">CW196+(CO196+CP196)*44/12</f>
        <v>291.28395034683945</v>
      </c>
      <c r="CY196" s="60">
        <f ca="1">AVERAGE(OFFSET($CX$3,0,0,'Données projet'!$E$13+1,1))-AVERAGE(OFFSET($H$3,0,0,'Données projet'!$E$13+1,1))</f>
        <v>355.03862261578701</v>
      </c>
      <c r="CZ196" s="60">
        <f t="shared" si="150"/>
        <v>382.84441399266029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69.441077367317831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1.1368683772161603E-13</v>
      </c>
      <c r="DP196" s="18">
        <f>DO196*VLOOKUP('Données projet'!$B$14,Paramètres!$A$1:$I$89,3,0)*VLOOKUP('Données projet'!$B$14,Paramètres!$A$1:$I$89,5,0)</f>
        <v>8.8675733422860506E-14</v>
      </c>
      <c r="DQ196" s="14">
        <f t="shared" si="176"/>
        <v>1.3509285393066301E-12</v>
      </c>
      <c r="DR196" s="22">
        <f t="shared" si="177"/>
        <v>2.5073107750038623E-12</v>
      </c>
      <c r="DS196" s="60">
        <f t="shared" ref="DS196:DS203" si="197">DR196+(DJ196+DK196)*44/12</f>
        <v>291.28395034683456</v>
      </c>
      <c r="DT196" s="60">
        <f ca="1">AVERAGE(OFFSET($DS$3,0,0,'Données projet'!$E$14+1,1))-AVERAGE(OFFSET($H$3,0,0,'Données projet'!$E$14+1,1))</f>
        <v>305.68891030516761</v>
      </c>
      <c r="DU196" s="60">
        <f t="shared" si="152"/>
        <v>296.00275062228275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69.441077367317831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-9.0949470177292824E-13</v>
      </c>
      <c r="EK196" s="18">
        <f>EJ196*VLOOKUP('Données projet'!$B$15,Paramètres!$A$1:$I$89,3,0)*VLOOKUP('Données projet'!$B$15,Paramètres!$A$1:$I$89,5,0)</f>
        <v>-8.7966327555477625E-13</v>
      </c>
      <c r="EL196" s="14" t="e">
        <f t="shared" si="179"/>
        <v>#NUM!</v>
      </c>
      <c r="EM196" s="22" t="e">
        <f t="shared" si="180"/>
        <v>#NUM!</v>
      </c>
      <c r="EN196" s="60" t="e">
        <f t="shared" ref="EN196:EN203" si="198">EM196+(EE196+EF196)*44/12</f>
        <v>#NUM!</v>
      </c>
      <c r="EO196" s="60">
        <f ca="1">AVERAGE(OFFSET($EN$3,0,0,'Données projet'!$E$15+1,1))-AVERAGE(OFFSET($H$3,0,0,'Données projet'!$E$15+1,1))</f>
        <v>483.60545605360528</v>
      </c>
      <c r="EP196" s="60">
        <f t="shared" si="154"/>
        <v>256.96685577560345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69.441077367317831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0" t="e">
        <f t="shared" ref="FI196:FI203" si="199">FH196+(EZ196+FA196)*44/12</f>
        <v>#N/A</v>
      </c>
      <c r="FJ196" s="60" t="e">
        <f ca="1">AVERAGE(OFFSET($FI$3,0,0,'Données projet'!$E$16+1,1))-AVERAGE(OFFSET($H$3,0,0,'Données projet'!$E$16+1,1))</f>
        <v>#N/A</v>
      </c>
      <c r="FK196" s="60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69.441077367317831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0" t="e">
        <f t="shared" ref="GD196:GD203" si="200">GC196+(FU196+FV196)*44/12</f>
        <v>#N/A</v>
      </c>
      <c r="GE196" s="60" t="e">
        <f ca="1">AVERAGE(OFFSET($GD$3,0,0,'Données projet'!$E$17+1,1))-AVERAGE(OFFSET($H$3,0,0,'Données projet'!$E$17+1,1))</f>
        <v>#N/A</v>
      </c>
      <c r="GF196" s="60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69.441077367317831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4">
        <f>'Scénario référence'!$B$16*5+'Scénario référence'!$B$17*0+'Scénario référence'!$B$18*5</f>
        <v>3.2750000000000004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12.008333333333335</v>
      </c>
      <c r="H197" s="67">
        <f t="shared" si="192"/>
        <v>208.63333333333333</v>
      </c>
      <c r="I197" s="7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69.450773425431066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-9.0949470177292824E-13</v>
      </c>
      <c r="O197" s="14">
        <f>N197*VLOOKUP('Données projet'!$B$9,Paramètres!$A$1:$I$89,3,0)*VLOOKUP('Données projet'!$B$9,Paramètres!$A$1:$I$89,5,0)</f>
        <v>-9.2222762759774924E-13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0" t="e">
        <f t="shared" si="191"/>
        <v>#NUM!</v>
      </c>
      <c r="S197" s="60">
        <f ca="1">AVERAGE(OFFSET($R$3,0,0,'Données projet'!$E$9+1,1))-AVERAGE(OFFSET($H$3,0,0,'Données projet'!$E$9+1,1))</f>
        <v>503.64055031157477</v>
      </c>
      <c r="T197" s="60">
        <f t="shared" ref="T197:T203" si="204">$T$3</f>
        <v>266.76572540460842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69.450773425431066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-9.0949470177292824E-13</v>
      </c>
      <c r="AJ197" s="14">
        <f>AI197*VLOOKUP('Données projet'!$B$10,Paramètres!$A$1:$I$89,3,0)*VLOOKUP('Données projet'!$B$10,Paramètres!$A$1:$I$89,5,0)</f>
        <v>-8.2291080616414541E-13</v>
      </c>
      <c r="AK197" s="14" t="e">
        <f t="shared" si="164"/>
        <v>#NUM!</v>
      </c>
      <c r="AL197" s="22" t="e">
        <f t="shared" si="165"/>
        <v>#NUM!</v>
      </c>
      <c r="AM197" s="60" t="e">
        <f t="shared" si="193"/>
        <v>#NUM!</v>
      </c>
      <c r="AN197" s="60">
        <f ca="1">AVERAGE(OFFSET($AM$3,0,0,'Données projet'!$E$10+1,1))-AVERAGE(OFFSET($H$3,0,0,'Données projet'!$E$10+1,1))</f>
        <v>456.86058467343139</v>
      </c>
      <c r="AO197" s="60">
        <f t="shared" ref="AO197:AO203" si="205">$AO$3</f>
        <v>243.88495931574937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69.450773425431066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-5.6843418860808015E-14</v>
      </c>
      <c r="BE197" s="14">
        <f>BD197*VLOOKUP('Données projet'!$B$11,Paramètres!$A$1:$I$89,3,0)*VLOOKUP('Données projet'!$B$11,Paramètres!$A$1:$I$89,5,0)</f>
        <v>-5.9412741393316544E-14</v>
      </c>
      <c r="BF197" s="14" t="e">
        <f t="shared" si="167"/>
        <v>#NUM!</v>
      </c>
      <c r="BG197" s="22" t="e">
        <f t="shared" si="168"/>
        <v>#NUM!</v>
      </c>
      <c r="BH197" s="60" t="e">
        <f t="shared" si="194"/>
        <v>#NUM!</v>
      </c>
      <c r="BI197" s="60">
        <f ca="1">AVERAGE(OFFSET($BH$3,0,0,'Données projet'!$E$11+1,1))-AVERAGE(OFFSET($H$3,0,0,'Données projet'!$E$11+1,1))</f>
        <v>518.47226207416952</v>
      </c>
      <c r="BJ197" s="60">
        <f t="shared" ref="BJ197:BJ203" si="206">$BJ$3</f>
        <v>314.6379787306804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69.450773425431066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-9.0949470177292824E-13</v>
      </c>
      <c r="BZ197" s="14">
        <f>BY197*VLOOKUP('Données projet'!$B$12,Paramètres!$A$1:$I$89,3,0)*VLOOKUP('Données projet'!$B$12,Paramètres!$A$1:$I$89,5,0)</f>
        <v>-9.7898009698837998E-13</v>
      </c>
      <c r="CA197" s="14" t="e">
        <f t="shared" si="170"/>
        <v>#NUM!</v>
      </c>
      <c r="CB197" s="22" t="e">
        <f t="shared" si="171"/>
        <v>#NUM!</v>
      </c>
      <c r="CC197" s="60" t="e">
        <f t="shared" si="195"/>
        <v>#NUM!</v>
      </c>
      <c r="CD197" s="60">
        <f ca="1">AVERAGE(OFFSET($CC$3,0,0,'Données projet'!$E$12+1,1))-AVERAGE(OFFSET($H$3,0,0,'Données projet'!$E$12+1,1))</f>
        <v>530.32456073177104</v>
      </c>
      <c r="CE197" s="60">
        <f t="shared" ref="CE197:CE203" si="207">$CE$3</f>
        <v>279.81519428470625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69.450773425431066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3.4106051316484809E-13</v>
      </c>
      <c r="CU197" s="18">
        <f>CT197*VLOOKUP('Données projet'!$B$13,Paramètres!$A$1:$I$89,3,0)*VLOOKUP('Données projet'!$B$13,Paramètres!$A$1:$I$89,5,0)</f>
        <v>2.9795046430081134E-13</v>
      </c>
      <c r="CV197" s="14">
        <f t="shared" si="173"/>
        <v>3.9419014464513778E-12</v>
      </c>
      <c r="CW197" s="22">
        <f t="shared" si="174"/>
        <v>7.384408744560063E-12</v>
      </c>
      <c r="CX197" s="60">
        <f t="shared" si="196"/>
        <v>291.31950255992132</v>
      </c>
      <c r="CY197" s="60">
        <f ca="1">AVERAGE(OFFSET($CX$3,0,0,'Données projet'!$E$13+1,1))-AVERAGE(OFFSET($H$3,0,0,'Données projet'!$E$13+1,1))</f>
        <v>355.03862261578701</v>
      </c>
      <c r="CZ197" s="60">
        <f t="shared" ref="CZ197:CZ203" si="208">$CZ$3</f>
        <v>382.84441399266029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69.450773425431066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1.1368683772161603E-13</v>
      </c>
      <c r="DP197" s="18">
        <f>DO197*VLOOKUP('Données projet'!$B$14,Paramètres!$A$1:$I$89,3,0)*VLOOKUP('Données projet'!$B$14,Paramètres!$A$1:$I$89,5,0)</f>
        <v>8.8675733422860506E-14</v>
      </c>
      <c r="DQ197" s="14">
        <f t="shared" si="176"/>
        <v>1.3509285393066301E-12</v>
      </c>
      <c r="DR197" s="22">
        <f t="shared" si="177"/>
        <v>2.5073107750038623E-12</v>
      </c>
      <c r="DS197" s="60">
        <f t="shared" si="197"/>
        <v>291.31950255991643</v>
      </c>
      <c r="DT197" s="60">
        <f ca="1">AVERAGE(OFFSET($DS$3,0,0,'Données projet'!$E$14+1,1))-AVERAGE(OFFSET($H$3,0,0,'Données projet'!$E$14+1,1))</f>
        <v>305.68891030516761</v>
      </c>
      <c r="DU197" s="60">
        <f t="shared" ref="DU197:DU203" si="209">$DU$3</f>
        <v>296.00275062228275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69.450773425431066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-9.0949470177292824E-13</v>
      </c>
      <c r="EK197" s="18">
        <f>EJ197*VLOOKUP('Données projet'!$B$15,Paramètres!$A$1:$I$89,3,0)*VLOOKUP('Données projet'!$B$15,Paramètres!$A$1:$I$89,5,0)</f>
        <v>-8.7966327555477625E-13</v>
      </c>
      <c r="EL197" s="14" t="e">
        <f t="shared" si="179"/>
        <v>#NUM!</v>
      </c>
      <c r="EM197" s="22" t="e">
        <f t="shared" si="180"/>
        <v>#NUM!</v>
      </c>
      <c r="EN197" s="60" t="e">
        <f t="shared" si="198"/>
        <v>#NUM!</v>
      </c>
      <c r="EO197" s="60">
        <f ca="1">AVERAGE(OFFSET($EN$3,0,0,'Données projet'!$E$15+1,1))-AVERAGE(OFFSET($H$3,0,0,'Données projet'!$E$15+1,1))</f>
        <v>483.60545605360528</v>
      </c>
      <c r="EP197" s="60">
        <f t="shared" ref="EP197:EP203" si="210">$EP$3</f>
        <v>256.96685577560345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69.450773425431066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0" t="e">
        <f t="shared" si="199"/>
        <v>#N/A</v>
      </c>
      <c r="FJ197" s="60" t="e">
        <f ca="1">AVERAGE(OFFSET($FI$3,0,0,'Données projet'!$E$16+1,1))-AVERAGE(OFFSET($H$3,0,0,'Données projet'!$E$16+1,1))</f>
        <v>#N/A</v>
      </c>
      <c r="FK197" s="60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69.450773425431066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0" t="e">
        <f t="shared" si="200"/>
        <v>#N/A</v>
      </c>
      <c r="GE197" s="60" t="e">
        <f ca="1">AVERAGE(OFFSET($GD$3,0,0,'Données projet'!$E$17+1,1))-AVERAGE(OFFSET($H$3,0,0,'Données projet'!$E$17+1,1))</f>
        <v>#N/A</v>
      </c>
      <c r="GF197" s="60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69.450773425431066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4">
        <f>'Scénario référence'!$B$16*5+'Scénario référence'!$B$17*0+'Scénario référence'!$B$18*5</f>
        <v>3.2750000000000004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12.008333333333335</v>
      </c>
      <c r="H198" s="67">
        <f t="shared" si="192"/>
        <v>208.63333333333333</v>
      </c>
      <c r="I198" s="7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69.460301278613173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-9.0949470177292824E-13</v>
      </c>
      <c r="O198" s="14">
        <f>N198*VLOOKUP('Données projet'!$B$9,Paramètres!$A$1:$I$89,3,0)*VLOOKUP('Données projet'!$B$9,Paramètres!$A$1:$I$89,5,0)</f>
        <v>-9.2222762759774924E-13</v>
      </c>
      <c r="P198" s="14" t="e">
        <f t="shared" si="203"/>
        <v>#NUM!</v>
      </c>
      <c r="Q198" s="22" t="e">
        <f t="shared" si="162"/>
        <v>#NUM!</v>
      </c>
      <c r="R198" s="60" t="e">
        <f t="shared" si="191"/>
        <v>#NUM!</v>
      </c>
      <c r="S198" s="60">
        <f ca="1">AVERAGE(OFFSET($R$3,0,0,'Données projet'!$E$9+1,1))-AVERAGE(OFFSET($H$3,0,0,'Données projet'!$E$9+1,1))</f>
        <v>503.64055031157477</v>
      </c>
      <c r="T198" s="60">
        <f t="shared" si="204"/>
        <v>266.76572540460842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69.460301278613173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-9.0949470177292824E-13</v>
      </c>
      <c r="AJ198" s="14">
        <f>AI198*VLOOKUP('Données projet'!$B$10,Paramètres!$A$1:$I$89,3,0)*VLOOKUP('Données projet'!$B$10,Paramètres!$A$1:$I$89,5,0)</f>
        <v>-8.2291080616414541E-13</v>
      </c>
      <c r="AK198" s="14" t="e">
        <f t="shared" si="164"/>
        <v>#NUM!</v>
      </c>
      <c r="AL198" s="22" t="e">
        <f t="shared" si="165"/>
        <v>#NUM!</v>
      </c>
      <c r="AM198" s="60" t="e">
        <f t="shared" si="193"/>
        <v>#NUM!</v>
      </c>
      <c r="AN198" s="60">
        <f ca="1">AVERAGE(OFFSET($AM$3,0,0,'Données projet'!$E$10+1,1))-AVERAGE(OFFSET($H$3,0,0,'Données projet'!$E$10+1,1))</f>
        <v>456.86058467343139</v>
      </c>
      <c r="AO198" s="60">
        <f t="shared" si="205"/>
        <v>243.88495931574937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69.460301278613173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-5.6843418860808015E-14</v>
      </c>
      <c r="BE198" s="14">
        <f>BD198*VLOOKUP('Données projet'!$B$11,Paramètres!$A$1:$I$89,3,0)*VLOOKUP('Données projet'!$B$11,Paramètres!$A$1:$I$89,5,0)</f>
        <v>-5.9412741393316544E-14</v>
      </c>
      <c r="BF198" s="14" t="e">
        <f t="shared" si="167"/>
        <v>#NUM!</v>
      </c>
      <c r="BG198" s="22" t="e">
        <f t="shared" si="168"/>
        <v>#NUM!</v>
      </c>
      <c r="BH198" s="60" t="e">
        <f t="shared" si="194"/>
        <v>#NUM!</v>
      </c>
      <c r="BI198" s="60">
        <f ca="1">AVERAGE(OFFSET($BH$3,0,0,'Données projet'!$E$11+1,1))-AVERAGE(OFFSET($H$3,0,0,'Données projet'!$E$11+1,1))</f>
        <v>518.47226207416952</v>
      </c>
      <c r="BJ198" s="60">
        <f t="shared" si="206"/>
        <v>314.6379787306804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69.460301278613173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-9.0949470177292824E-13</v>
      </c>
      <c r="BZ198" s="14">
        <f>BY198*VLOOKUP('Données projet'!$B$12,Paramètres!$A$1:$I$89,3,0)*VLOOKUP('Données projet'!$B$12,Paramètres!$A$1:$I$89,5,0)</f>
        <v>-9.7898009698837998E-13</v>
      </c>
      <c r="CA198" s="14" t="e">
        <f t="shared" si="170"/>
        <v>#NUM!</v>
      </c>
      <c r="CB198" s="22" t="e">
        <f t="shared" si="171"/>
        <v>#NUM!</v>
      </c>
      <c r="CC198" s="60" t="e">
        <f t="shared" si="195"/>
        <v>#NUM!</v>
      </c>
      <c r="CD198" s="60">
        <f ca="1">AVERAGE(OFFSET($CC$3,0,0,'Données projet'!$E$12+1,1))-AVERAGE(OFFSET($H$3,0,0,'Données projet'!$E$12+1,1))</f>
        <v>530.32456073177104</v>
      </c>
      <c r="CE198" s="60">
        <f t="shared" si="207"/>
        <v>279.81519428470625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69.460301278613173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3.4106051316484809E-13</v>
      </c>
      <c r="CU198" s="18">
        <f>CT198*VLOOKUP('Données projet'!$B$13,Paramètres!$A$1:$I$89,3,0)*VLOOKUP('Données projet'!$B$13,Paramètres!$A$1:$I$89,5,0)</f>
        <v>2.9795046430081134E-13</v>
      </c>
      <c r="CV198" s="14">
        <f t="shared" si="173"/>
        <v>3.9419014464513778E-12</v>
      </c>
      <c r="CW198" s="22">
        <f t="shared" si="174"/>
        <v>7.384408744560063E-12</v>
      </c>
      <c r="CX198" s="60">
        <f t="shared" si="196"/>
        <v>291.35443802158903</v>
      </c>
      <c r="CY198" s="60">
        <f ca="1">AVERAGE(OFFSET($CX$3,0,0,'Données projet'!$E$13+1,1))-AVERAGE(OFFSET($H$3,0,0,'Données projet'!$E$13+1,1))</f>
        <v>355.03862261578701</v>
      </c>
      <c r="CZ198" s="60">
        <f t="shared" si="208"/>
        <v>382.84441399266029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69.460301278613173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1.1368683772161603E-13</v>
      </c>
      <c r="DP198" s="18">
        <f>DO198*VLOOKUP('Données projet'!$B$14,Paramètres!$A$1:$I$89,3,0)*VLOOKUP('Données projet'!$B$14,Paramètres!$A$1:$I$89,5,0)</f>
        <v>8.8675733422860506E-14</v>
      </c>
      <c r="DQ198" s="14">
        <f t="shared" si="176"/>
        <v>1.3509285393066301E-12</v>
      </c>
      <c r="DR198" s="22">
        <f t="shared" si="177"/>
        <v>2.5073107750038623E-12</v>
      </c>
      <c r="DS198" s="60">
        <f t="shared" si="197"/>
        <v>291.35443802158414</v>
      </c>
      <c r="DT198" s="60">
        <f ca="1">AVERAGE(OFFSET($DS$3,0,0,'Données projet'!$E$14+1,1))-AVERAGE(OFFSET($H$3,0,0,'Données projet'!$E$14+1,1))</f>
        <v>305.68891030516761</v>
      </c>
      <c r="DU198" s="60">
        <f t="shared" si="209"/>
        <v>296.00275062228275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69.460301278613173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-9.0949470177292824E-13</v>
      </c>
      <c r="EK198" s="18">
        <f>EJ198*VLOOKUP('Données projet'!$B$15,Paramètres!$A$1:$I$89,3,0)*VLOOKUP('Données projet'!$B$15,Paramètres!$A$1:$I$89,5,0)</f>
        <v>-8.7966327555477625E-13</v>
      </c>
      <c r="EL198" s="14" t="e">
        <f t="shared" si="179"/>
        <v>#NUM!</v>
      </c>
      <c r="EM198" s="22" t="e">
        <f t="shared" si="180"/>
        <v>#NUM!</v>
      </c>
      <c r="EN198" s="60" t="e">
        <f t="shared" si="198"/>
        <v>#NUM!</v>
      </c>
      <c r="EO198" s="60">
        <f ca="1">AVERAGE(OFFSET($EN$3,0,0,'Données projet'!$E$15+1,1))-AVERAGE(OFFSET($H$3,0,0,'Données projet'!$E$15+1,1))</f>
        <v>483.60545605360528</v>
      </c>
      <c r="EP198" s="60">
        <f t="shared" si="210"/>
        <v>256.96685577560345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69.460301278613173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0" t="e">
        <f t="shared" si="199"/>
        <v>#N/A</v>
      </c>
      <c r="FJ198" s="60" t="e">
        <f ca="1">AVERAGE(OFFSET($FI$3,0,0,'Données projet'!$E$16+1,1))-AVERAGE(OFFSET($H$3,0,0,'Données projet'!$E$16+1,1))</f>
        <v>#N/A</v>
      </c>
      <c r="FK198" s="60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69.460301278613173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0" t="e">
        <f t="shared" si="200"/>
        <v>#N/A</v>
      </c>
      <c r="GE198" s="60" t="e">
        <f ca="1">AVERAGE(OFFSET($GD$3,0,0,'Données projet'!$E$17+1,1))-AVERAGE(OFFSET($H$3,0,0,'Données projet'!$E$17+1,1))</f>
        <v>#N/A</v>
      </c>
      <c r="GF198" s="60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69.460301278613173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4">
        <f>'Scénario référence'!$B$16*5+'Scénario référence'!$B$17*0+'Scénario référence'!$B$18*5</f>
        <v>3.2750000000000004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12.008333333333335</v>
      </c>
      <c r="H199" s="67">
        <f t="shared" si="192"/>
        <v>208.63333333333333</v>
      </c>
      <c r="I199" s="7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69.469663844843652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-9.0949470177292824E-13</v>
      </c>
      <c r="O199" s="14">
        <f>N199*VLOOKUP('Données projet'!$B$9,Paramètres!$A$1:$I$89,3,0)*VLOOKUP('Données projet'!$B$9,Paramètres!$A$1:$I$89,5,0)</f>
        <v>-9.2222762759774924E-13</v>
      </c>
      <c r="P199" s="14" t="e">
        <f t="shared" si="203"/>
        <v>#NUM!</v>
      </c>
      <c r="Q199" s="22" t="e">
        <f t="shared" si="162"/>
        <v>#NUM!</v>
      </c>
      <c r="R199" s="60" t="e">
        <f t="shared" si="191"/>
        <v>#NUM!</v>
      </c>
      <c r="S199" s="60">
        <f ca="1">AVERAGE(OFFSET($R$3,0,0,'Données projet'!$E$9+1,1))-AVERAGE(OFFSET($H$3,0,0,'Données projet'!$E$9+1,1))</f>
        <v>503.64055031157477</v>
      </c>
      <c r="T199" s="60">
        <f t="shared" si="204"/>
        <v>266.76572540460842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69.469663844843652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-9.0949470177292824E-13</v>
      </c>
      <c r="AJ199" s="14">
        <f>AI199*VLOOKUP('Données projet'!$B$10,Paramètres!$A$1:$I$89,3,0)*VLOOKUP('Données projet'!$B$10,Paramètres!$A$1:$I$89,5,0)</f>
        <v>-8.2291080616414541E-13</v>
      </c>
      <c r="AK199" s="14" t="e">
        <f t="shared" si="164"/>
        <v>#NUM!</v>
      </c>
      <c r="AL199" s="22" t="e">
        <f t="shared" si="165"/>
        <v>#NUM!</v>
      </c>
      <c r="AM199" s="60" t="e">
        <f t="shared" si="193"/>
        <v>#NUM!</v>
      </c>
      <c r="AN199" s="60">
        <f ca="1">AVERAGE(OFFSET($AM$3,0,0,'Données projet'!$E$10+1,1))-AVERAGE(OFFSET($H$3,0,0,'Données projet'!$E$10+1,1))</f>
        <v>456.86058467343139</v>
      </c>
      <c r="AO199" s="60">
        <f t="shared" si="205"/>
        <v>243.88495931574937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69.469663844843652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-5.6843418860808015E-14</v>
      </c>
      <c r="BE199" s="14">
        <f>BD199*VLOOKUP('Données projet'!$B$11,Paramètres!$A$1:$I$89,3,0)*VLOOKUP('Données projet'!$B$11,Paramètres!$A$1:$I$89,5,0)</f>
        <v>-5.9412741393316544E-14</v>
      </c>
      <c r="BF199" s="14" t="e">
        <f t="shared" si="167"/>
        <v>#NUM!</v>
      </c>
      <c r="BG199" s="22" t="e">
        <f t="shared" si="168"/>
        <v>#NUM!</v>
      </c>
      <c r="BH199" s="60" t="e">
        <f t="shared" si="194"/>
        <v>#NUM!</v>
      </c>
      <c r="BI199" s="60">
        <f ca="1">AVERAGE(OFFSET($BH$3,0,0,'Données projet'!$E$11+1,1))-AVERAGE(OFFSET($H$3,0,0,'Données projet'!$E$11+1,1))</f>
        <v>518.47226207416952</v>
      </c>
      <c r="BJ199" s="60">
        <f t="shared" si="206"/>
        <v>314.6379787306804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69.469663844843652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-9.0949470177292824E-13</v>
      </c>
      <c r="BZ199" s="14">
        <f>BY199*VLOOKUP('Données projet'!$B$12,Paramètres!$A$1:$I$89,3,0)*VLOOKUP('Données projet'!$B$12,Paramètres!$A$1:$I$89,5,0)</f>
        <v>-9.7898009698837998E-13</v>
      </c>
      <c r="CA199" s="14" t="e">
        <f t="shared" si="170"/>
        <v>#NUM!</v>
      </c>
      <c r="CB199" s="22" t="e">
        <f t="shared" si="171"/>
        <v>#NUM!</v>
      </c>
      <c r="CC199" s="60" t="e">
        <f t="shared" si="195"/>
        <v>#NUM!</v>
      </c>
      <c r="CD199" s="60">
        <f ca="1">AVERAGE(OFFSET($CC$3,0,0,'Données projet'!$E$12+1,1))-AVERAGE(OFFSET($H$3,0,0,'Données projet'!$E$12+1,1))</f>
        <v>530.32456073177104</v>
      </c>
      <c r="CE199" s="60">
        <f t="shared" si="207"/>
        <v>279.81519428470625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69.469663844843652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3.4106051316484809E-13</v>
      </c>
      <c r="CU199" s="18">
        <f>CT199*VLOOKUP('Données projet'!$B$13,Paramètres!$A$1:$I$89,3,0)*VLOOKUP('Données projet'!$B$13,Paramètres!$A$1:$I$89,5,0)</f>
        <v>2.9795046430081134E-13</v>
      </c>
      <c r="CV199" s="14">
        <f t="shared" si="173"/>
        <v>3.9419014464513778E-12</v>
      </c>
      <c r="CW199" s="22">
        <f t="shared" si="174"/>
        <v>7.384408744560063E-12</v>
      </c>
      <c r="CX199" s="60">
        <f t="shared" si="196"/>
        <v>291.3887674311008</v>
      </c>
      <c r="CY199" s="60">
        <f ca="1">AVERAGE(OFFSET($CX$3,0,0,'Données projet'!$E$13+1,1))-AVERAGE(OFFSET($H$3,0,0,'Données projet'!$E$13+1,1))</f>
        <v>355.03862261578701</v>
      </c>
      <c r="CZ199" s="60">
        <f t="shared" si="208"/>
        <v>382.84441399266029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69.469663844843652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1.1368683772161603E-13</v>
      </c>
      <c r="DP199" s="18">
        <f>DO199*VLOOKUP('Données projet'!$B$14,Paramètres!$A$1:$I$89,3,0)*VLOOKUP('Données projet'!$B$14,Paramètres!$A$1:$I$89,5,0)</f>
        <v>8.8675733422860506E-14</v>
      </c>
      <c r="DQ199" s="14">
        <f t="shared" si="176"/>
        <v>1.3509285393066301E-12</v>
      </c>
      <c r="DR199" s="22">
        <f t="shared" si="177"/>
        <v>2.5073107750038623E-12</v>
      </c>
      <c r="DS199" s="60">
        <f t="shared" si="197"/>
        <v>291.38876743109591</v>
      </c>
      <c r="DT199" s="60">
        <f ca="1">AVERAGE(OFFSET($DS$3,0,0,'Données projet'!$E$14+1,1))-AVERAGE(OFFSET($H$3,0,0,'Données projet'!$E$14+1,1))</f>
        <v>305.68891030516761</v>
      </c>
      <c r="DU199" s="60">
        <f t="shared" si="209"/>
        <v>296.00275062228275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69.469663844843652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-9.0949470177292824E-13</v>
      </c>
      <c r="EK199" s="18">
        <f>EJ199*VLOOKUP('Données projet'!$B$15,Paramètres!$A$1:$I$89,3,0)*VLOOKUP('Données projet'!$B$15,Paramètres!$A$1:$I$89,5,0)</f>
        <v>-8.7966327555477625E-13</v>
      </c>
      <c r="EL199" s="14" t="e">
        <f t="shared" si="179"/>
        <v>#NUM!</v>
      </c>
      <c r="EM199" s="22" t="e">
        <f t="shared" si="180"/>
        <v>#NUM!</v>
      </c>
      <c r="EN199" s="60" t="e">
        <f t="shared" si="198"/>
        <v>#NUM!</v>
      </c>
      <c r="EO199" s="60">
        <f ca="1">AVERAGE(OFFSET($EN$3,0,0,'Données projet'!$E$15+1,1))-AVERAGE(OFFSET($H$3,0,0,'Données projet'!$E$15+1,1))</f>
        <v>483.60545605360528</v>
      </c>
      <c r="EP199" s="60">
        <f t="shared" si="210"/>
        <v>256.96685577560345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69.469663844843652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0" t="e">
        <f t="shared" si="199"/>
        <v>#N/A</v>
      </c>
      <c r="FJ199" s="60" t="e">
        <f ca="1">AVERAGE(OFFSET($FI$3,0,0,'Données projet'!$E$16+1,1))-AVERAGE(OFFSET($H$3,0,0,'Données projet'!$E$16+1,1))</f>
        <v>#N/A</v>
      </c>
      <c r="FK199" s="60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69.469663844843652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0" t="e">
        <f t="shared" si="200"/>
        <v>#N/A</v>
      </c>
      <c r="GE199" s="60" t="e">
        <f ca="1">AVERAGE(OFFSET($GD$3,0,0,'Données projet'!$E$17+1,1))-AVERAGE(OFFSET($H$3,0,0,'Données projet'!$E$17+1,1))</f>
        <v>#N/A</v>
      </c>
      <c r="GF199" s="60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69.469663844843652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4">
        <f>'Scénario référence'!$B$16*5+'Scénario référence'!$B$17*0+'Scénario référence'!$B$18*5</f>
        <v>3.2750000000000004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12.008333333333335</v>
      </c>
      <c r="H200" s="67">
        <f t="shared" si="192"/>
        <v>208.63333333333333</v>
      </c>
      <c r="I200" s="7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69.478863991481575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-9.0949470177292824E-13</v>
      </c>
      <c r="O200" s="14">
        <f>N200*VLOOKUP('Données projet'!$B$9,Paramètres!$A$1:$I$89,3,0)*VLOOKUP('Données projet'!$B$9,Paramètres!$A$1:$I$89,5,0)</f>
        <v>-9.2222762759774924E-13</v>
      </c>
      <c r="P200" s="14" t="e">
        <f t="shared" si="203"/>
        <v>#NUM!</v>
      </c>
      <c r="Q200" s="22" t="e">
        <f t="shared" si="162"/>
        <v>#NUM!</v>
      </c>
      <c r="R200" s="60" t="e">
        <f t="shared" si="191"/>
        <v>#NUM!</v>
      </c>
      <c r="S200" s="60">
        <f ca="1">AVERAGE(OFFSET($R$3,0,0,'Données projet'!$E$9+1,1))-AVERAGE(OFFSET($H$3,0,0,'Données projet'!$E$9+1,1))</f>
        <v>503.64055031157477</v>
      </c>
      <c r="T200" s="60">
        <f t="shared" si="204"/>
        <v>266.76572540460842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69.478863991481575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-9.0949470177292824E-13</v>
      </c>
      <c r="AJ200" s="14">
        <f>AI200*VLOOKUP('Données projet'!$B$10,Paramètres!$A$1:$I$89,3,0)*VLOOKUP('Données projet'!$B$10,Paramètres!$A$1:$I$89,5,0)</f>
        <v>-8.2291080616414541E-13</v>
      </c>
      <c r="AK200" s="14" t="e">
        <f t="shared" si="164"/>
        <v>#NUM!</v>
      </c>
      <c r="AL200" s="22" t="e">
        <f t="shared" si="165"/>
        <v>#NUM!</v>
      </c>
      <c r="AM200" s="60" t="e">
        <f t="shared" si="193"/>
        <v>#NUM!</v>
      </c>
      <c r="AN200" s="60">
        <f ca="1">AVERAGE(OFFSET($AM$3,0,0,'Données projet'!$E$10+1,1))-AVERAGE(OFFSET($H$3,0,0,'Données projet'!$E$10+1,1))</f>
        <v>456.86058467343139</v>
      </c>
      <c r="AO200" s="60">
        <f t="shared" si="205"/>
        <v>243.88495931574937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69.478863991481575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-5.6843418860808015E-14</v>
      </c>
      <c r="BE200" s="14">
        <f>BD200*VLOOKUP('Données projet'!$B$11,Paramètres!$A$1:$I$89,3,0)*VLOOKUP('Données projet'!$B$11,Paramètres!$A$1:$I$89,5,0)</f>
        <v>-5.9412741393316544E-14</v>
      </c>
      <c r="BF200" s="14" t="e">
        <f t="shared" si="167"/>
        <v>#NUM!</v>
      </c>
      <c r="BG200" s="22" t="e">
        <f t="shared" si="168"/>
        <v>#NUM!</v>
      </c>
      <c r="BH200" s="60" t="e">
        <f t="shared" si="194"/>
        <v>#NUM!</v>
      </c>
      <c r="BI200" s="60">
        <f ca="1">AVERAGE(OFFSET($BH$3,0,0,'Données projet'!$E$11+1,1))-AVERAGE(OFFSET($H$3,0,0,'Données projet'!$E$11+1,1))</f>
        <v>518.47226207416952</v>
      </c>
      <c r="BJ200" s="60">
        <f t="shared" si="206"/>
        <v>314.6379787306804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69.478863991481575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-9.0949470177292824E-13</v>
      </c>
      <c r="BZ200" s="14">
        <f>BY200*VLOOKUP('Données projet'!$B$12,Paramètres!$A$1:$I$89,3,0)*VLOOKUP('Données projet'!$B$12,Paramètres!$A$1:$I$89,5,0)</f>
        <v>-9.7898009698837998E-13</v>
      </c>
      <c r="CA200" s="14" t="e">
        <f t="shared" si="170"/>
        <v>#NUM!</v>
      </c>
      <c r="CB200" s="22" t="e">
        <f t="shared" si="171"/>
        <v>#NUM!</v>
      </c>
      <c r="CC200" s="60" t="e">
        <f t="shared" si="195"/>
        <v>#NUM!</v>
      </c>
      <c r="CD200" s="60">
        <f ca="1">AVERAGE(OFFSET($CC$3,0,0,'Données projet'!$E$12+1,1))-AVERAGE(OFFSET($H$3,0,0,'Données projet'!$E$12+1,1))</f>
        <v>530.32456073177104</v>
      </c>
      <c r="CE200" s="60">
        <f t="shared" si="207"/>
        <v>279.81519428470625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69.478863991481575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3.4106051316484809E-13</v>
      </c>
      <c r="CU200" s="18">
        <f>CT200*VLOOKUP('Données projet'!$B$13,Paramètres!$A$1:$I$89,3,0)*VLOOKUP('Données projet'!$B$13,Paramètres!$A$1:$I$89,5,0)</f>
        <v>2.9795046430081134E-13</v>
      </c>
      <c r="CV200" s="14">
        <f t="shared" si="173"/>
        <v>3.9419014464513778E-12</v>
      </c>
      <c r="CW200" s="22">
        <f t="shared" si="174"/>
        <v>7.384408744560063E-12</v>
      </c>
      <c r="CX200" s="60">
        <f t="shared" si="196"/>
        <v>291.42250130210647</v>
      </c>
      <c r="CY200" s="60">
        <f ca="1">AVERAGE(OFFSET($CX$3,0,0,'Données projet'!$E$13+1,1))-AVERAGE(OFFSET($H$3,0,0,'Données projet'!$E$13+1,1))</f>
        <v>355.03862261578701</v>
      </c>
      <c r="CZ200" s="60">
        <f t="shared" si="208"/>
        <v>382.84441399266029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69.478863991481575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1.1368683772161603E-13</v>
      </c>
      <c r="DP200" s="18">
        <f>DO200*VLOOKUP('Données projet'!$B$14,Paramètres!$A$1:$I$89,3,0)*VLOOKUP('Données projet'!$B$14,Paramètres!$A$1:$I$89,5,0)</f>
        <v>8.8675733422860506E-14</v>
      </c>
      <c r="DQ200" s="14">
        <f t="shared" si="176"/>
        <v>1.3509285393066301E-12</v>
      </c>
      <c r="DR200" s="22">
        <f t="shared" si="177"/>
        <v>2.5073107750038623E-12</v>
      </c>
      <c r="DS200" s="60">
        <f t="shared" si="197"/>
        <v>291.42250130210158</v>
      </c>
      <c r="DT200" s="60">
        <f ca="1">AVERAGE(OFFSET($DS$3,0,0,'Données projet'!$E$14+1,1))-AVERAGE(OFFSET($H$3,0,0,'Données projet'!$E$14+1,1))</f>
        <v>305.68891030516761</v>
      </c>
      <c r="DU200" s="60">
        <f t="shared" si="209"/>
        <v>296.00275062228275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69.478863991481575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-9.0949470177292824E-13</v>
      </c>
      <c r="EK200" s="18">
        <f>EJ200*VLOOKUP('Données projet'!$B$15,Paramètres!$A$1:$I$89,3,0)*VLOOKUP('Données projet'!$B$15,Paramètres!$A$1:$I$89,5,0)</f>
        <v>-8.7966327555477625E-13</v>
      </c>
      <c r="EL200" s="14" t="e">
        <f t="shared" si="179"/>
        <v>#NUM!</v>
      </c>
      <c r="EM200" s="22" t="e">
        <f t="shared" si="180"/>
        <v>#NUM!</v>
      </c>
      <c r="EN200" s="60" t="e">
        <f t="shared" si="198"/>
        <v>#NUM!</v>
      </c>
      <c r="EO200" s="60">
        <f ca="1">AVERAGE(OFFSET($EN$3,0,0,'Données projet'!$E$15+1,1))-AVERAGE(OFFSET($H$3,0,0,'Données projet'!$E$15+1,1))</f>
        <v>483.60545605360528</v>
      </c>
      <c r="EP200" s="60">
        <f t="shared" si="210"/>
        <v>256.96685577560345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69.478863991481575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0" t="e">
        <f t="shared" si="199"/>
        <v>#N/A</v>
      </c>
      <c r="FJ200" s="60" t="e">
        <f ca="1">AVERAGE(OFFSET($FI$3,0,0,'Données projet'!$E$16+1,1))-AVERAGE(OFFSET($H$3,0,0,'Données projet'!$E$16+1,1))</f>
        <v>#N/A</v>
      </c>
      <c r="FK200" s="60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69.478863991481575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0" t="e">
        <f t="shared" si="200"/>
        <v>#N/A</v>
      </c>
      <c r="GE200" s="60" t="e">
        <f ca="1">AVERAGE(OFFSET($GD$3,0,0,'Données projet'!$E$17+1,1))-AVERAGE(OFFSET($H$3,0,0,'Données projet'!$E$17+1,1))</f>
        <v>#N/A</v>
      </c>
      <c r="GF200" s="60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69.478863991481575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4">
        <f>'Scénario référence'!$B$16*5+'Scénario référence'!$B$17*0+'Scénario référence'!$B$18*5</f>
        <v>3.2750000000000004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12.008333333333335</v>
      </c>
      <c r="H201" s="67">
        <f t="shared" si="192"/>
        <v>208.63333333333333</v>
      </c>
      <c r="I201" s="7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69.487904536143816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-9.0949470177292824E-13</v>
      </c>
      <c r="O201" s="14">
        <f>N201*VLOOKUP('Données projet'!$B$9,Paramètres!$A$1:$I$89,3,0)*VLOOKUP('Données projet'!$B$9,Paramètres!$A$1:$I$89,5,0)</f>
        <v>-9.2222762759774924E-13</v>
      </c>
      <c r="P201" s="14" t="e">
        <f t="shared" si="203"/>
        <v>#NUM!</v>
      </c>
      <c r="Q201" s="22" t="e">
        <f t="shared" si="162"/>
        <v>#NUM!</v>
      </c>
      <c r="R201" s="60" t="e">
        <f t="shared" si="191"/>
        <v>#NUM!</v>
      </c>
      <c r="S201" s="60">
        <f ca="1">AVERAGE(OFFSET($R$3,0,0,'Données projet'!$E$9+1,1))-AVERAGE(OFFSET($H$3,0,0,'Données projet'!$E$9+1,1))</f>
        <v>503.64055031157477</v>
      </c>
      <c r="T201" s="60">
        <f t="shared" si="204"/>
        <v>266.76572540460842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69.487904536143816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-9.0949470177292824E-13</v>
      </c>
      <c r="AJ201" s="14">
        <f>AI201*VLOOKUP('Données projet'!$B$10,Paramètres!$A$1:$I$89,3,0)*VLOOKUP('Données projet'!$B$10,Paramètres!$A$1:$I$89,5,0)</f>
        <v>-8.2291080616414541E-13</v>
      </c>
      <c r="AK201" s="14" t="e">
        <f t="shared" si="164"/>
        <v>#NUM!</v>
      </c>
      <c r="AL201" s="22" t="e">
        <f t="shared" si="165"/>
        <v>#NUM!</v>
      </c>
      <c r="AM201" s="60" t="e">
        <f t="shared" si="193"/>
        <v>#NUM!</v>
      </c>
      <c r="AN201" s="60">
        <f ca="1">AVERAGE(OFFSET($AM$3,0,0,'Données projet'!$E$10+1,1))-AVERAGE(OFFSET($H$3,0,0,'Données projet'!$E$10+1,1))</f>
        <v>456.86058467343139</v>
      </c>
      <c r="AO201" s="60">
        <f t="shared" si="205"/>
        <v>243.88495931574937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69.487904536143816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-5.6843418860808015E-14</v>
      </c>
      <c r="BE201" s="14">
        <f>BD201*VLOOKUP('Données projet'!$B$11,Paramètres!$A$1:$I$89,3,0)*VLOOKUP('Données projet'!$B$11,Paramètres!$A$1:$I$89,5,0)</f>
        <v>-5.9412741393316544E-14</v>
      </c>
      <c r="BF201" s="14" t="e">
        <f t="shared" si="167"/>
        <v>#NUM!</v>
      </c>
      <c r="BG201" s="22" t="e">
        <f t="shared" si="168"/>
        <v>#NUM!</v>
      </c>
      <c r="BH201" s="60" t="e">
        <f t="shared" si="194"/>
        <v>#NUM!</v>
      </c>
      <c r="BI201" s="60">
        <f ca="1">AVERAGE(OFFSET($BH$3,0,0,'Données projet'!$E$11+1,1))-AVERAGE(OFFSET($H$3,0,0,'Données projet'!$E$11+1,1))</f>
        <v>518.47226207416952</v>
      </c>
      <c r="BJ201" s="60">
        <f t="shared" si="206"/>
        <v>314.6379787306804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69.487904536143816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-9.0949470177292824E-13</v>
      </c>
      <c r="BZ201" s="14">
        <f>BY201*VLOOKUP('Données projet'!$B$12,Paramètres!$A$1:$I$89,3,0)*VLOOKUP('Données projet'!$B$12,Paramètres!$A$1:$I$89,5,0)</f>
        <v>-9.7898009698837998E-13</v>
      </c>
      <c r="CA201" s="14" t="e">
        <f t="shared" si="170"/>
        <v>#NUM!</v>
      </c>
      <c r="CB201" s="22" t="e">
        <f t="shared" si="171"/>
        <v>#NUM!</v>
      </c>
      <c r="CC201" s="60" t="e">
        <f t="shared" si="195"/>
        <v>#NUM!</v>
      </c>
      <c r="CD201" s="60">
        <f ca="1">AVERAGE(OFFSET($CC$3,0,0,'Données projet'!$E$12+1,1))-AVERAGE(OFFSET($H$3,0,0,'Données projet'!$E$12+1,1))</f>
        <v>530.32456073177104</v>
      </c>
      <c r="CE201" s="60">
        <f t="shared" si="207"/>
        <v>279.81519428470625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69.487904536143816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3.4106051316484809E-13</v>
      </c>
      <c r="CU201" s="18">
        <f>CT201*VLOOKUP('Données projet'!$B$13,Paramètres!$A$1:$I$89,3,0)*VLOOKUP('Données projet'!$B$13,Paramètres!$A$1:$I$89,5,0)</f>
        <v>2.9795046430081134E-13</v>
      </c>
      <c r="CV201" s="14">
        <f t="shared" si="173"/>
        <v>3.9419014464513778E-12</v>
      </c>
      <c r="CW201" s="22">
        <f t="shared" si="174"/>
        <v>7.384408744560063E-12</v>
      </c>
      <c r="CX201" s="60">
        <f t="shared" si="196"/>
        <v>291.45564996586808</v>
      </c>
      <c r="CY201" s="60">
        <f ca="1">AVERAGE(OFFSET($CX$3,0,0,'Données projet'!$E$13+1,1))-AVERAGE(OFFSET($H$3,0,0,'Données projet'!$E$13+1,1))</f>
        <v>355.03862261578701</v>
      </c>
      <c r="CZ201" s="60">
        <f t="shared" si="208"/>
        <v>382.84441399266029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69.487904536143816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1.1368683772161603E-13</v>
      </c>
      <c r="DP201" s="18">
        <f>DO201*VLOOKUP('Données projet'!$B$14,Paramètres!$A$1:$I$89,3,0)*VLOOKUP('Données projet'!$B$14,Paramètres!$A$1:$I$89,5,0)</f>
        <v>8.8675733422860506E-14</v>
      </c>
      <c r="DQ201" s="14">
        <f t="shared" si="176"/>
        <v>1.3509285393066301E-12</v>
      </c>
      <c r="DR201" s="22">
        <f t="shared" si="177"/>
        <v>2.5073107750038623E-12</v>
      </c>
      <c r="DS201" s="60">
        <f t="shared" si="197"/>
        <v>291.45564996586319</v>
      </c>
      <c r="DT201" s="60">
        <f ca="1">AVERAGE(OFFSET($DS$3,0,0,'Données projet'!$E$14+1,1))-AVERAGE(OFFSET($H$3,0,0,'Données projet'!$E$14+1,1))</f>
        <v>305.68891030516761</v>
      </c>
      <c r="DU201" s="60">
        <f t="shared" si="209"/>
        <v>296.00275062228275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69.487904536143816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-9.0949470177292824E-13</v>
      </c>
      <c r="EK201" s="18">
        <f>EJ201*VLOOKUP('Données projet'!$B$15,Paramètres!$A$1:$I$89,3,0)*VLOOKUP('Données projet'!$B$15,Paramètres!$A$1:$I$89,5,0)</f>
        <v>-8.7966327555477625E-13</v>
      </c>
      <c r="EL201" s="14" t="e">
        <f t="shared" si="179"/>
        <v>#NUM!</v>
      </c>
      <c r="EM201" s="22" t="e">
        <f t="shared" si="180"/>
        <v>#NUM!</v>
      </c>
      <c r="EN201" s="60" t="e">
        <f t="shared" si="198"/>
        <v>#NUM!</v>
      </c>
      <c r="EO201" s="60">
        <f ca="1">AVERAGE(OFFSET($EN$3,0,0,'Données projet'!$E$15+1,1))-AVERAGE(OFFSET($H$3,0,0,'Données projet'!$E$15+1,1))</f>
        <v>483.60545605360528</v>
      </c>
      <c r="EP201" s="60">
        <f t="shared" si="210"/>
        <v>256.96685577560345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69.487904536143816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0" t="e">
        <f t="shared" si="199"/>
        <v>#N/A</v>
      </c>
      <c r="FJ201" s="60" t="e">
        <f ca="1">AVERAGE(OFFSET($FI$3,0,0,'Données projet'!$E$16+1,1))-AVERAGE(OFFSET($H$3,0,0,'Données projet'!$E$16+1,1))</f>
        <v>#N/A</v>
      </c>
      <c r="FK201" s="60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69.487904536143816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0" t="e">
        <f t="shared" si="200"/>
        <v>#N/A</v>
      </c>
      <c r="GE201" s="60" t="e">
        <f ca="1">AVERAGE(OFFSET($GD$3,0,0,'Données projet'!$E$17+1,1))-AVERAGE(OFFSET($H$3,0,0,'Données projet'!$E$17+1,1))</f>
        <v>#N/A</v>
      </c>
      <c r="GF201" s="60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69.487904536143816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4">
        <f>'Scénario référence'!$B$16*5+'Scénario référence'!$B$17*0+'Scénario référence'!$B$18*5</f>
        <v>3.2750000000000004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12.008333333333335</v>
      </c>
      <c r="H202" s="67">
        <f t="shared" si="192"/>
        <v>208.63333333333333</v>
      </c>
      <c r="I202" s="7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69.496788247567764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-9.0949470177292824E-13</v>
      </c>
      <c r="O202" s="14">
        <f>N202*VLOOKUP('Données projet'!$B$9,Paramètres!$A$1:$I$89,3,0)*VLOOKUP('Données projet'!$B$9,Paramètres!$A$1:$I$89,5,0)</f>
        <v>-9.2222762759774924E-13</v>
      </c>
      <c r="P202" s="14" t="e">
        <f t="shared" si="203"/>
        <v>#NUM!</v>
      </c>
      <c r="Q202" s="22" t="e">
        <f t="shared" si="162"/>
        <v>#NUM!</v>
      </c>
      <c r="R202" s="60" t="e">
        <f t="shared" si="191"/>
        <v>#NUM!</v>
      </c>
      <c r="S202" s="60">
        <f ca="1">AVERAGE(OFFSET($R$3,0,0,'Données projet'!$E$9+1,1))-AVERAGE(OFFSET($H$3,0,0,'Données projet'!$E$9+1,1))</f>
        <v>503.64055031157477</v>
      </c>
      <c r="T202" s="60">
        <f t="shared" si="204"/>
        <v>266.76572540460842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69.496788247567764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-9.0949470177292824E-13</v>
      </c>
      <c r="AJ202" s="14">
        <f>AI202*VLOOKUP('Données projet'!$B$10,Paramètres!$A$1:$I$89,3,0)*VLOOKUP('Données projet'!$B$10,Paramètres!$A$1:$I$89,5,0)</f>
        <v>-8.2291080616414541E-13</v>
      </c>
      <c r="AK202" s="14" t="e">
        <f t="shared" si="164"/>
        <v>#NUM!</v>
      </c>
      <c r="AL202" s="22" t="e">
        <f t="shared" si="165"/>
        <v>#NUM!</v>
      </c>
      <c r="AM202" s="60" t="e">
        <f t="shared" si="193"/>
        <v>#NUM!</v>
      </c>
      <c r="AN202" s="60">
        <f ca="1">AVERAGE(OFFSET($AM$3,0,0,'Données projet'!$E$10+1,1))-AVERAGE(OFFSET($H$3,0,0,'Données projet'!$E$10+1,1))</f>
        <v>456.86058467343139</v>
      </c>
      <c r="AO202" s="60">
        <f t="shared" si="205"/>
        <v>243.88495931574937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69.496788247567764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-5.6843418860808015E-14</v>
      </c>
      <c r="BE202" s="14">
        <f>BD202*VLOOKUP('Données projet'!$B$11,Paramètres!$A$1:$I$89,3,0)*VLOOKUP('Données projet'!$B$11,Paramètres!$A$1:$I$89,5,0)</f>
        <v>-5.9412741393316544E-14</v>
      </c>
      <c r="BF202" s="14" t="e">
        <f t="shared" si="167"/>
        <v>#NUM!</v>
      </c>
      <c r="BG202" s="22" t="e">
        <f t="shared" si="168"/>
        <v>#NUM!</v>
      </c>
      <c r="BH202" s="60" t="e">
        <f t="shared" si="194"/>
        <v>#NUM!</v>
      </c>
      <c r="BI202" s="60">
        <f ca="1">AVERAGE(OFFSET($BH$3,0,0,'Données projet'!$E$11+1,1))-AVERAGE(OFFSET($H$3,0,0,'Données projet'!$E$11+1,1))</f>
        <v>518.47226207416952</v>
      </c>
      <c r="BJ202" s="60">
        <f t="shared" si="206"/>
        <v>314.6379787306804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69.496788247567764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-9.0949470177292824E-13</v>
      </c>
      <c r="BZ202" s="14">
        <f>BY202*VLOOKUP('Données projet'!$B$12,Paramètres!$A$1:$I$89,3,0)*VLOOKUP('Données projet'!$B$12,Paramètres!$A$1:$I$89,5,0)</f>
        <v>-9.7898009698837998E-13</v>
      </c>
      <c r="CA202" s="14" t="e">
        <f t="shared" si="170"/>
        <v>#NUM!</v>
      </c>
      <c r="CB202" s="22" t="e">
        <f t="shared" si="171"/>
        <v>#NUM!</v>
      </c>
      <c r="CC202" s="60" t="e">
        <f t="shared" si="195"/>
        <v>#NUM!</v>
      </c>
      <c r="CD202" s="60">
        <f ca="1">AVERAGE(OFFSET($CC$3,0,0,'Données projet'!$E$12+1,1))-AVERAGE(OFFSET($H$3,0,0,'Données projet'!$E$12+1,1))</f>
        <v>530.32456073177104</v>
      </c>
      <c r="CE202" s="60">
        <f t="shared" si="207"/>
        <v>279.81519428470625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69.496788247567764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3.4106051316484809E-13</v>
      </c>
      <c r="CU202" s="18">
        <f>CT202*VLOOKUP('Données projet'!$B$13,Paramètres!$A$1:$I$89,3,0)*VLOOKUP('Données projet'!$B$13,Paramètres!$A$1:$I$89,5,0)</f>
        <v>2.9795046430081134E-13</v>
      </c>
      <c r="CV202" s="14">
        <f t="shared" si="173"/>
        <v>3.9419014464513778E-12</v>
      </c>
      <c r="CW202" s="22">
        <f t="shared" si="174"/>
        <v>7.384408744560063E-12</v>
      </c>
      <c r="CX202" s="60">
        <f t="shared" si="196"/>
        <v>291.48822357442253</v>
      </c>
      <c r="CY202" s="60">
        <f ca="1">AVERAGE(OFFSET($CX$3,0,0,'Données projet'!$E$13+1,1))-AVERAGE(OFFSET($H$3,0,0,'Données projet'!$E$13+1,1))</f>
        <v>355.03862261578701</v>
      </c>
      <c r="CZ202" s="60">
        <f t="shared" si="208"/>
        <v>382.84441399266029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69.496788247567764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1.1368683772161603E-13</v>
      </c>
      <c r="DP202" s="18">
        <f>DO202*VLOOKUP('Données projet'!$B$14,Paramètres!$A$1:$I$89,3,0)*VLOOKUP('Données projet'!$B$14,Paramètres!$A$1:$I$89,5,0)</f>
        <v>8.8675733422860506E-14</v>
      </c>
      <c r="DQ202" s="14">
        <f t="shared" si="176"/>
        <v>1.3509285393066301E-12</v>
      </c>
      <c r="DR202" s="22">
        <f t="shared" si="177"/>
        <v>2.5073107750038623E-12</v>
      </c>
      <c r="DS202" s="60">
        <f t="shared" si="197"/>
        <v>291.48822357441765</v>
      </c>
      <c r="DT202" s="60">
        <f ca="1">AVERAGE(OFFSET($DS$3,0,0,'Données projet'!$E$14+1,1))-AVERAGE(OFFSET($H$3,0,0,'Données projet'!$E$14+1,1))</f>
        <v>305.68891030516761</v>
      </c>
      <c r="DU202" s="60">
        <f t="shared" si="209"/>
        <v>296.00275062228275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69.496788247567764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-9.0949470177292824E-13</v>
      </c>
      <c r="EK202" s="18">
        <f>EJ202*VLOOKUP('Données projet'!$B$15,Paramètres!$A$1:$I$89,3,0)*VLOOKUP('Données projet'!$B$15,Paramètres!$A$1:$I$89,5,0)</f>
        <v>-8.7966327555477625E-13</v>
      </c>
      <c r="EL202" s="14" t="e">
        <f t="shared" si="179"/>
        <v>#NUM!</v>
      </c>
      <c r="EM202" s="22" t="e">
        <f t="shared" si="180"/>
        <v>#NUM!</v>
      </c>
      <c r="EN202" s="60" t="e">
        <f t="shared" si="198"/>
        <v>#NUM!</v>
      </c>
      <c r="EO202" s="60">
        <f ca="1">AVERAGE(OFFSET($EN$3,0,0,'Données projet'!$E$15+1,1))-AVERAGE(OFFSET($H$3,0,0,'Données projet'!$E$15+1,1))</f>
        <v>483.60545605360528</v>
      </c>
      <c r="EP202" s="60">
        <f t="shared" si="210"/>
        <v>256.96685577560345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69.496788247567764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0" t="e">
        <f t="shared" si="199"/>
        <v>#N/A</v>
      </c>
      <c r="FJ202" s="60" t="e">
        <f ca="1">AVERAGE(OFFSET($FI$3,0,0,'Données projet'!$E$16+1,1))-AVERAGE(OFFSET($H$3,0,0,'Données projet'!$E$16+1,1))</f>
        <v>#N/A</v>
      </c>
      <c r="FK202" s="60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69.496788247567764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0" t="e">
        <f t="shared" si="200"/>
        <v>#N/A</v>
      </c>
      <c r="GE202" s="60" t="e">
        <f ca="1">AVERAGE(OFFSET($GD$3,0,0,'Données projet'!$E$17+1,1))-AVERAGE(OFFSET($H$3,0,0,'Données projet'!$E$17+1,1))</f>
        <v>#N/A</v>
      </c>
      <c r="GF202" s="60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69.496788247567764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4">
        <f>'Scénario référence'!$B$16*5+'Scénario référence'!$B$17*0+'Scénario référence'!$B$18*5</f>
        <v>3.2750000000000004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53.625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12.008333333333335</v>
      </c>
      <c r="H203" s="67">
        <f t="shared" si="192"/>
        <v>208.63333333333333</v>
      </c>
      <c r="I203" s="7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69.505517846459526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-9.0949470177292824E-13</v>
      </c>
      <c r="O203" s="14">
        <f>N203*VLOOKUP('Données projet'!$B$9,Paramètres!$A$1:$I$89,3,0)*VLOOKUP('Données projet'!$B$9,Paramètres!$A$1:$I$89,5,0)</f>
        <v>-9.2222762759774924E-13</v>
      </c>
      <c r="P203" s="14" t="e">
        <f t="shared" si="203"/>
        <v>#NUM!</v>
      </c>
      <c r="Q203" s="22" t="e">
        <f t="shared" si="162"/>
        <v>#NUM!</v>
      </c>
      <c r="R203" s="60" t="e">
        <f t="shared" si="191"/>
        <v>#NUM!</v>
      </c>
      <c r="S203" s="60">
        <f ca="1">AVERAGE(OFFSET($R$3,0,0,'Données projet'!$E$9+1,1))-AVERAGE(OFFSET($H$3,0,0,'Données projet'!$E$9+1,1))</f>
        <v>503.64055031157477</v>
      </c>
      <c r="T203" s="60">
        <f t="shared" si="204"/>
        <v>266.76572540460842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69.505517846459526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-9.0949470177292824E-13</v>
      </c>
      <c r="AJ203" s="14">
        <f>AI203*VLOOKUP('Données projet'!$B$10,Paramètres!$A$1:$I$89,3,0)*VLOOKUP('Données projet'!$B$10,Paramètres!$A$1:$I$89,5,0)</f>
        <v>-8.2291080616414541E-13</v>
      </c>
      <c r="AK203" s="14" t="e">
        <f t="shared" si="164"/>
        <v>#NUM!</v>
      </c>
      <c r="AL203" s="22" t="e">
        <f t="shared" si="165"/>
        <v>#NUM!</v>
      </c>
      <c r="AM203" s="60" t="e">
        <f t="shared" si="193"/>
        <v>#NUM!</v>
      </c>
      <c r="AN203" s="60">
        <f ca="1">AVERAGE(OFFSET($AM$3,0,0,'Données projet'!$E$10+1,1))-AVERAGE(OFFSET($H$3,0,0,'Données projet'!$E$10+1,1))</f>
        <v>456.86058467343139</v>
      </c>
      <c r="AO203" s="60">
        <f t="shared" si="205"/>
        <v>243.88495931574937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69.505517846459526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-5.6843418860808015E-14</v>
      </c>
      <c r="BE203" s="14">
        <f>BD203*VLOOKUP('Données projet'!$B$11,Paramètres!$A$1:$I$89,3,0)*VLOOKUP('Données projet'!$B$11,Paramètres!$A$1:$I$89,5,0)</f>
        <v>-5.9412741393316544E-14</v>
      </c>
      <c r="BF203" s="14" t="e">
        <f t="shared" si="167"/>
        <v>#NUM!</v>
      </c>
      <c r="BG203" s="22" t="e">
        <f t="shared" si="168"/>
        <v>#NUM!</v>
      </c>
      <c r="BH203" s="60" t="e">
        <f t="shared" si="194"/>
        <v>#NUM!</v>
      </c>
      <c r="BI203" s="60">
        <f ca="1">AVERAGE(OFFSET($BH$3,0,0,'Données projet'!$E$11+1,1))-AVERAGE(OFFSET($H$3,0,0,'Données projet'!$E$11+1,1))</f>
        <v>518.47226207416952</v>
      </c>
      <c r="BJ203" s="60">
        <f t="shared" si="206"/>
        <v>314.6379787306804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69.505517846459526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-9.0949470177292824E-13</v>
      </c>
      <c r="BZ203" s="14">
        <f>BY203*VLOOKUP('Données projet'!$B$12,Paramètres!$A$1:$I$89,3,0)*VLOOKUP('Données projet'!$B$12,Paramètres!$A$1:$I$89,5,0)</f>
        <v>-9.7898009698837998E-13</v>
      </c>
      <c r="CA203" s="14" t="e">
        <f t="shared" si="170"/>
        <v>#NUM!</v>
      </c>
      <c r="CB203" s="22" t="e">
        <f t="shared" si="171"/>
        <v>#NUM!</v>
      </c>
      <c r="CC203" s="60" t="e">
        <f t="shared" si="195"/>
        <v>#NUM!</v>
      </c>
      <c r="CD203" s="60">
        <f ca="1">AVERAGE(OFFSET($CC$3,0,0,'Données projet'!$E$12+1,1))-AVERAGE(OFFSET($H$3,0,0,'Données projet'!$E$12+1,1))</f>
        <v>530.32456073177104</v>
      </c>
      <c r="CE203" s="60">
        <f t="shared" si="207"/>
        <v>279.81519428470625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69.505517846459526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3.4106051316484809E-13</v>
      </c>
      <c r="CU203" s="18">
        <f>CT203*VLOOKUP('Données projet'!$B$13,Paramètres!$A$1:$I$89,3,0)*VLOOKUP('Données projet'!$B$13,Paramètres!$A$1:$I$89,5,0)</f>
        <v>2.9795046430081134E-13</v>
      </c>
      <c r="CV203" s="14">
        <f t="shared" si="173"/>
        <v>3.9419014464513778E-12</v>
      </c>
      <c r="CW203" s="22">
        <f t="shared" si="174"/>
        <v>7.384408744560063E-12</v>
      </c>
      <c r="CX203" s="60">
        <f t="shared" si="196"/>
        <v>291.52023210369231</v>
      </c>
      <c r="CY203" s="60">
        <f ca="1">AVERAGE(OFFSET($CX$3,0,0,'Données projet'!$E$13+1,1))-AVERAGE(OFFSET($H$3,0,0,'Données projet'!$E$13+1,1))</f>
        <v>355.03862261578701</v>
      </c>
      <c r="CZ203" s="60">
        <f t="shared" si="208"/>
        <v>382.84441399266029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69.505517846459526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1.1368683772161603E-13</v>
      </c>
      <c r="DP203" s="18">
        <f>DO203*VLOOKUP('Données projet'!$B$14,Paramètres!$A$1:$I$89,3,0)*VLOOKUP('Données projet'!$B$14,Paramètres!$A$1:$I$89,5,0)</f>
        <v>8.8675733422860506E-14</v>
      </c>
      <c r="DQ203" s="14">
        <f t="shared" si="176"/>
        <v>1.3509285393066301E-12</v>
      </c>
      <c r="DR203" s="22">
        <f t="shared" si="177"/>
        <v>2.5073107750038623E-12</v>
      </c>
      <c r="DS203" s="60">
        <f t="shared" si="197"/>
        <v>291.52023210368742</v>
      </c>
      <c r="DT203" s="60">
        <f ca="1">AVERAGE(OFFSET($DS$3,0,0,'Données projet'!$E$14+1,1))-AVERAGE(OFFSET($H$3,0,0,'Données projet'!$E$14+1,1))</f>
        <v>305.68891030516761</v>
      </c>
      <c r="DU203" s="60">
        <f t="shared" si="209"/>
        <v>296.00275062228275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69.505517846459526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-9.0949470177292824E-13</v>
      </c>
      <c r="EK203" s="18">
        <f>EJ203*VLOOKUP('Données projet'!$B$15,Paramètres!$A$1:$I$89,3,0)*VLOOKUP('Données projet'!$B$15,Paramètres!$A$1:$I$89,5,0)</f>
        <v>-8.7966327555477625E-13</v>
      </c>
      <c r="EL203" s="14" t="e">
        <f t="shared" si="179"/>
        <v>#NUM!</v>
      </c>
      <c r="EM203" s="22" t="e">
        <f t="shared" si="180"/>
        <v>#NUM!</v>
      </c>
      <c r="EN203" s="60" t="e">
        <f t="shared" si="198"/>
        <v>#NUM!</v>
      </c>
      <c r="EO203" s="60">
        <f ca="1">AVERAGE(OFFSET($EN$3,0,0,'Données projet'!$E$15+1,1))-AVERAGE(OFFSET($H$3,0,0,'Données projet'!$E$15+1,1))</f>
        <v>483.60545605360528</v>
      </c>
      <c r="EP203" s="60">
        <f t="shared" si="210"/>
        <v>256.96685577560345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69.505517846459526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0" t="e">
        <f t="shared" si="199"/>
        <v>#N/A</v>
      </c>
      <c r="FJ203" s="60" t="e">
        <f ca="1">AVERAGE(OFFSET($FI$3,0,0,'Données projet'!$E$16+1,1))-AVERAGE(OFFSET($H$3,0,0,'Données projet'!$E$16+1,1))</f>
        <v>#N/A</v>
      </c>
      <c r="FK203" s="60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69.505517846459526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0" t="e">
        <f t="shared" si="200"/>
        <v>#N/A</v>
      </c>
      <c r="GE203" s="60" t="e">
        <f ca="1">AVERAGE(OFFSET($GD$3,0,0,'Données projet'!$E$17+1,1))-AVERAGE(OFFSET($H$3,0,0,'Données projet'!$E$17+1,1))</f>
        <v>#N/A</v>
      </c>
      <c r="GF203" s="60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69.505517846459526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0"/>
      <c r="C204" s="78"/>
      <c r="D204" s="79"/>
      <c r="E204" s="79"/>
      <c r="F204" s="79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8"/>
      <c r="I204" s="78"/>
      <c r="J204" s="78"/>
      <c r="K204" s="87" t="s">
        <v>293</v>
      </c>
      <c r="L204" s="81"/>
      <c r="M204" s="81"/>
      <c r="N204" s="81"/>
      <c r="O204" s="78"/>
      <c r="P204" s="78"/>
      <c r="Q204" s="79"/>
      <c r="R204" s="82"/>
      <c r="S204" s="82"/>
      <c r="T204" s="82"/>
      <c r="U204" s="81"/>
      <c r="V204" s="81"/>
      <c r="W204" s="83"/>
      <c r="X204" s="83"/>
      <c r="Y204" s="83"/>
      <c r="Z204" s="78"/>
      <c r="AA204" s="78"/>
      <c r="AB204" s="78"/>
      <c r="AC204" s="78"/>
      <c r="AD204" s="78"/>
      <c r="AE204" s="78"/>
      <c r="AF204" s="84" t="s">
        <v>293</v>
      </c>
      <c r="BA204" s="84" t="s">
        <v>293</v>
      </c>
      <c r="BV204" s="84" t="s">
        <v>293</v>
      </c>
      <c r="CQ204" s="84" t="s">
        <v>293</v>
      </c>
      <c r="DL204" s="84" t="s">
        <v>293</v>
      </c>
      <c r="EG204" s="84" t="s">
        <v>293</v>
      </c>
      <c r="FB204" s="84" t="s">
        <v>293</v>
      </c>
      <c r="FW204" s="84" t="s">
        <v>293</v>
      </c>
      <c r="GR204" s="84" t="s">
        <v>293</v>
      </c>
    </row>
    <row r="205" spans="1:218" ht="15.75" thickBot="1" x14ac:dyDescent="0.3">
      <c r="B205" s="80"/>
      <c r="C205" s="78"/>
      <c r="D205" s="79"/>
      <c r="E205" s="79"/>
      <c r="F205" s="79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8"/>
      <c r="I205" s="78"/>
      <c r="J205" s="78"/>
      <c r="K205" s="85">
        <f>EXP(LN('Données projet'!B36)/'Données projet'!A36)</f>
        <v>1.2054868146447177</v>
      </c>
      <c r="L205" s="81"/>
      <c r="M205" s="81"/>
      <c r="N205" s="81"/>
      <c r="O205" s="78"/>
      <c r="P205" s="78"/>
      <c r="Q205" s="79"/>
      <c r="R205" s="82"/>
      <c r="S205" s="82"/>
      <c r="T205" s="82"/>
      <c r="U205" s="81"/>
      <c r="V205" s="81"/>
      <c r="W205" s="83"/>
      <c r="X205" s="83"/>
      <c r="Y205" s="83"/>
      <c r="Z205" s="78"/>
      <c r="AA205" s="78"/>
      <c r="AB205" s="78"/>
      <c r="AC205" s="78"/>
      <c r="AD205" s="78"/>
      <c r="AE205" s="78"/>
      <c r="AF205" s="86">
        <f>EXP(LN('Données projet'!B62)/'Données projet'!A62)</f>
        <v>1.2054868146447177</v>
      </c>
      <c r="BA205" s="85">
        <f>EXP(LN('Données projet'!B88)/'Données projet'!A88)</f>
        <v>1.2548684989282006</v>
      </c>
      <c r="BV205" s="85">
        <f>EXP(LN('Données projet'!B114)/'Données projet'!A114)</f>
        <v>1.2054868146447177</v>
      </c>
      <c r="CQ205" s="85">
        <f>EXP(LN('Données projet'!B140)/'Données projet'!A140)</f>
        <v>1.2730870686066207</v>
      </c>
      <c r="DL205" s="85">
        <f>EXP(LN('Données projet'!B166)/'Données projet'!A166)</f>
        <v>1.2788040393997409</v>
      </c>
      <c r="EG205" s="85">
        <f>EXP(LN('Données projet'!B192)/'Données projet'!A192)</f>
        <v>1.2054868146447177</v>
      </c>
      <c r="FB205" s="85" t="e">
        <f>EXP(LN('Données projet'!B218)/'Données projet'!A218)</f>
        <v>#NUM!</v>
      </c>
      <c r="FW205" s="85" t="e">
        <f>EXP(LN('Données projet'!B244)/'Données projet'!A244)</f>
        <v>#NUM!</v>
      </c>
      <c r="GR205" s="85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16" t="s">
        <v>0</v>
      </c>
      <c r="B1" s="117" t="s">
        <v>106</v>
      </c>
      <c r="C1" s="118" t="s">
        <v>144</v>
      </c>
      <c r="D1" s="117" t="s">
        <v>100</v>
      </c>
      <c r="E1" s="118" t="s">
        <v>145</v>
      </c>
      <c r="F1" s="118" t="s">
        <v>100</v>
      </c>
      <c r="G1" s="118" t="s">
        <v>146</v>
      </c>
      <c r="H1" s="118" t="s">
        <v>100</v>
      </c>
      <c r="I1" s="119" t="s">
        <v>147</v>
      </c>
      <c r="J1" s="96"/>
      <c r="K1" s="96"/>
      <c r="L1" s="96"/>
      <c r="M1" s="96"/>
      <c r="N1" s="96"/>
    </row>
    <row r="2" spans="1:16" x14ac:dyDescent="0.25">
      <c r="A2" s="120" t="s">
        <v>1</v>
      </c>
      <c r="B2" s="121" t="s">
        <v>53</v>
      </c>
      <c r="C2" s="122">
        <v>0.62</v>
      </c>
      <c r="D2" s="122" t="s">
        <v>161</v>
      </c>
      <c r="E2" s="122">
        <v>1.56</v>
      </c>
      <c r="F2" s="122" t="s">
        <v>274</v>
      </c>
      <c r="G2" s="123">
        <v>0.43</v>
      </c>
      <c r="H2" s="124" t="s">
        <v>278</v>
      </c>
      <c r="I2" s="125">
        <v>0.25</v>
      </c>
      <c r="J2" s="96"/>
      <c r="K2" s="96"/>
      <c r="L2" s="96"/>
      <c r="M2" s="96"/>
      <c r="N2" s="96"/>
      <c r="O2" s="312" t="s">
        <v>238</v>
      </c>
      <c r="P2" s="126">
        <v>0</v>
      </c>
    </row>
    <row r="3" spans="1:16" ht="15.75" thickBot="1" x14ac:dyDescent="0.3">
      <c r="A3" s="127" t="s">
        <v>2</v>
      </c>
      <c r="B3" s="128" t="s">
        <v>54</v>
      </c>
      <c r="C3" s="129">
        <v>0.64</v>
      </c>
      <c r="D3" s="129" t="s">
        <v>161</v>
      </c>
      <c r="E3" s="129">
        <v>1.56</v>
      </c>
      <c r="F3" s="130" t="s">
        <v>274</v>
      </c>
      <c r="G3" s="131">
        <v>0.43</v>
      </c>
      <c r="H3" s="129" t="s">
        <v>278</v>
      </c>
      <c r="I3" s="132">
        <v>0.25</v>
      </c>
      <c r="J3" s="96"/>
      <c r="K3" s="96"/>
      <c r="L3" s="96"/>
      <c r="M3" s="96"/>
      <c r="N3" s="96"/>
      <c r="O3" s="313"/>
      <c r="P3" s="133">
        <v>0.2</v>
      </c>
    </row>
    <row r="4" spans="1:16" ht="15.75" thickBot="1" x14ac:dyDescent="0.3">
      <c r="A4" s="127" t="s">
        <v>98</v>
      </c>
      <c r="B4" s="128" t="s">
        <v>99</v>
      </c>
      <c r="C4" s="129">
        <v>0.42</v>
      </c>
      <c r="D4" s="129" t="s">
        <v>161</v>
      </c>
      <c r="E4" s="129">
        <v>1.56</v>
      </c>
      <c r="F4" s="130" t="s">
        <v>274</v>
      </c>
      <c r="G4" s="131">
        <v>0.43</v>
      </c>
      <c r="H4" s="129" t="s">
        <v>278</v>
      </c>
      <c r="I4" s="132">
        <v>0.25</v>
      </c>
      <c r="J4" s="96"/>
      <c r="K4" s="96"/>
      <c r="L4" s="96"/>
      <c r="M4" s="96"/>
      <c r="N4" s="96"/>
    </row>
    <row r="5" spans="1:16" x14ac:dyDescent="0.25">
      <c r="A5" s="127" t="s">
        <v>4</v>
      </c>
      <c r="B5" s="128" t="s">
        <v>55</v>
      </c>
      <c r="C5" s="129">
        <v>0.42</v>
      </c>
      <c r="D5" s="129" t="s">
        <v>161</v>
      </c>
      <c r="E5" s="129">
        <v>1.56</v>
      </c>
      <c r="F5" s="130" t="s">
        <v>274</v>
      </c>
      <c r="G5" s="131">
        <v>0.43</v>
      </c>
      <c r="H5" s="129" t="s">
        <v>278</v>
      </c>
      <c r="I5" s="132">
        <v>0.25</v>
      </c>
      <c r="J5" s="96"/>
      <c r="K5" s="96"/>
      <c r="L5" s="96"/>
      <c r="M5" s="96"/>
      <c r="N5" s="96"/>
      <c r="O5" s="312" t="s">
        <v>237</v>
      </c>
      <c r="P5" s="126">
        <v>0</v>
      </c>
    </row>
    <row r="6" spans="1:16" x14ac:dyDescent="0.25">
      <c r="A6" s="127" t="s">
        <v>3</v>
      </c>
      <c r="B6" s="128" t="s">
        <v>97</v>
      </c>
      <c r="C6" s="129">
        <v>0.42</v>
      </c>
      <c r="D6" s="129" t="s">
        <v>161</v>
      </c>
      <c r="E6" s="129">
        <v>1.56</v>
      </c>
      <c r="F6" s="130" t="s">
        <v>274</v>
      </c>
      <c r="G6" s="131">
        <v>0.43</v>
      </c>
      <c r="H6" s="129" t="s">
        <v>278</v>
      </c>
      <c r="I6" s="132">
        <v>0.25</v>
      </c>
      <c r="J6" s="96"/>
      <c r="K6" s="96"/>
      <c r="L6" s="96"/>
      <c r="M6" s="96"/>
      <c r="N6" s="96"/>
      <c r="O6" s="314"/>
      <c r="P6" s="134">
        <v>0.05</v>
      </c>
    </row>
    <row r="7" spans="1:16" x14ac:dyDescent="0.25">
      <c r="A7" s="127" t="s">
        <v>5</v>
      </c>
      <c r="B7" s="128" t="s">
        <v>56</v>
      </c>
      <c r="C7" s="129">
        <v>0.52</v>
      </c>
      <c r="D7" s="129" t="s">
        <v>161</v>
      </c>
      <c r="E7" s="129">
        <v>1.56</v>
      </c>
      <c r="F7" s="130" t="s">
        <v>274</v>
      </c>
      <c r="G7" s="131">
        <v>0.43</v>
      </c>
      <c r="H7" s="129" t="s">
        <v>278</v>
      </c>
      <c r="I7" s="132">
        <v>0.25</v>
      </c>
      <c r="J7" s="96"/>
      <c r="K7" s="96"/>
      <c r="L7" s="96"/>
      <c r="M7" s="96"/>
      <c r="N7" s="96"/>
      <c r="O7" s="314"/>
      <c r="P7" s="134">
        <v>0.1</v>
      </c>
    </row>
    <row r="8" spans="1:16" ht="15.75" thickBot="1" x14ac:dyDescent="0.3">
      <c r="A8" s="127" t="s">
        <v>164</v>
      </c>
      <c r="B8" s="128" t="s">
        <v>57</v>
      </c>
      <c r="C8" s="129">
        <v>0.36</v>
      </c>
      <c r="D8" s="129" t="s">
        <v>161</v>
      </c>
      <c r="E8" s="129">
        <v>1.3</v>
      </c>
      <c r="F8" s="130" t="s">
        <v>274</v>
      </c>
      <c r="G8" s="131">
        <v>0.55000000000000004</v>
      </c>
      <c r="H8" s="129" t="s">
        <v>153</v>
      </c>
      <c r="I8" s="132">
        <v>0.43</v>
      </c>
      <c r="J8" s="96"/>
      <c r="K8" s="96"/>
      <c r="L8" s="96"/>
      <c r="M8" s="96"/>
      <c r="N8" s="96"/>
      <c r="O8" s="313"/>
      <c r="P8" s="133">
        <v>0.15</v>
      </c>
    </row>
    <row r="9" spans="1:16" ht="15.75" thickBot="1" x14ac:dyDescent="0.3">
      <c r="A9" s="127" t="s">
        <v>6</v>
      </c>
      <c r="B9" s="128" t="s">
        <v>58</v>
      </c>
      <c r="C9" s="129">
        <v>0.61</v>
      </c>
      <c r="D9" s="129" t="s">
        <v>161</v>
      </c>
      <c r="E9" s="129">
        <v>1.56</v>
      </c>
      <c r="F9" s="130" t="s">
        <v>274</v>
      </c>
      <c r="G9" s="131">
        <v>0.43</v>
      </c>
      <c r="H9" s="129" t="s">
        <v>278</v>
      </c>
      <c r="I9" s="132">
        <v>0.25</v>
      </c>
      <c r="J9" s="96"/>
      <c r="K9" s="96"/>
      <c r="L9" s="96"/>
      <c r="M9" s="96"/>
      <c r="N9" s="96"/>
    </row>
    <row r="10" spans="1:16" x14ac:dyDescent="0.25">
      <c r="A10" s="127" t="s">
        <v>7</v>
      </c>
      <c r="B10" s="128" t="s">
        <v>59</v>
      </c>
      <c r="C10" s="129">
        <v>0.66</v>
      </c>
      <c r="D10" s="129" t="s">
        <v>161</v>
      </c>
      <c r="E10" s="129">
        <v>1.56</v>
      </c>
      <c r="F10" s="130" t="s">
        <v>274</v>
      </c>
      <c r="G10" s="131">
        <v>0.43</v>
      </c>
      <c r="H10" s="129" t="s">
        <v>278</v>
      </c>
      <c r="I10" s="132">
        <v>0.25</v>
      </c>
      <c r="J10" s="96"/>
      <c r="K10" s="96"/>
      <c r="L10" s="96"/>
      <c r="M10" s="96"/>
      <c r="N10" s="96"/>
      <c r="O10" s="312" t="s">
        <v>236</v>
      </c>
      <c r="P10" s="126">
        <v>0</v>
      </c>
    </row>
    <row r="11" spans="1:16" ht="15.75" thickBot="1" x14ac:dyDescent="0.3">
      <c r="A11" s="127" t="s">
        <v>8</v>
      </c>
      <c r="B11" s="128" t="s">
        <v>60</v>
      </c>
      <c r="C11" s="129">
        <v>0.47</v>
      </c>
      <c r="D11" s="129" t="s">
        <v>161</v>
      </c>
      <c r="E11" s="129">
        <v>1.56</v>
      </c>
      <c r="F11" s="130" t="s">
        <v>274</v>
      </c>
      <c r="G11" s="131">
        <v>0.43</v>
      </c>
      <c r="H11" s="129" t="s">
        <v>278</v>
      </c>
      <c r="I11" s="132">
        <v>0.25</v>
      </c>
      <c r="J11" s="96"/>
      <c r="K11" s="96"/>
      <c r="L11" s="96"/>
      <c r="M11" s="96"/>
      <c r="N11" s="96"/>
      <c r="O11" s="313"/>
      <c r="P11" s="133">
        <v>0.1</v>
      </c>
    </row>
    <row r="12" spans="1:16" x14ac:dyDescent="0.25">
      <c r="A12" s="127" t="s">
        <v>9</v>
      </c>
      <c r="B12" s="128" t="s">
        <v>61</v>
      </c>
      <c r="C12" s="129">
        <v>0.67</v>
      </c>
      <c r="D12" s="129" t="s">
        <v>161</v>
      </c>
      <c r="E12" s="129">
        <v>1.56</v>
      </c>
      <c r="F12" s="130" t="s">
        <v>274</v>
      </c>
      <c r="G12" s="131">
        <v>0.43</v>
      </c>
      <c r="H12" s="129" t="s">
        <v>152</v>
      </c>
      <c r="I12" s="132">
        <v>0.25</v>
      </c>
      <c r="J12" s="96"/>
      <c r="K12" s="96"/>
      <c r="L12" s="96"/>
      <c r="M12" s="96"/>
      <c r="N12" s="96"/>
    </row>
    <row r="13" spans="1:16" x14ac:dyDescent="0.25">
      <c r="A13" s="127" t="s">
        <v>10</v>
      </c>
      <c r="B13" s="128" t="s">
        <v>62</v>
      </c>
      <c r="C13" s="129">
        <v>0.7</v>
      </c>
      <c r="D13" s="129" t="s">
        <v>161</v>
      </c>
      <c r="E13" s="129">
        <v>1.56</v>
      </c>
      <c r="F13" s="130" t="s">
        <v>274</v>
      </c>
      <c r="G13" s="131">
        <v>0.43</v>
      </c>
      <c r="H13" s="129" t="s">
        <v>152</v>
      </c>
      <c r="I13" s="132">
        <v>0.25</v>
      </c>
      <c r="J13" s="96"/>
      <c r="K13" s="96"/>
      <c r="L13" s="96"/>
      <c r="M13" s="96"/>
      <c r="N13" s="96"/>
    </row>
    <row r="14" spans="1:16" x14ac:dyDescent="0.25">
      <c r="A14" s="127" t="s">
        <v>11</v>
      </c>
      <c r="B14" s="128" t="s">
        <v>63</v>
      </c>
      <c r="C14" s="129">
        <v>0.54</v>
      </c>
      <c r="D14" s="129" t="s">
        <v>161</v>
      </c>
      <c r="E14" s="129">
        <v>1.56</v>
      </c>
      <c r="F14" s="130" t="s">
        <v>274</v>
      </c>
      <c r="G14" s="131">
        <v>0.43</v>
      </c>
      <c r="H14" s="129" t="s">
        <v>152</v>
      </c>
      <c r="I14" s="132">
        <v>0.25</v>
      </c>
      <c r="J14" s="96"/>
      <c r="K14" s="96"/>
      <c r="L14" s="96"/>
      <c r="M14" s="96"/>
      <c r="N14" s="96"/>
    </row>
    <row r="15" spans="1:16" x14ac:dyDescent="0.25">
      <c r="A15" s="127" t="s">
        <v>12</v>
      </c>
      <c r="B15" s="128" t="s">
        <v>64</v>
      </c>
      <c r="C15" s="129">
        <v>0.65</v>
      </c>
      <c r="D15" s="129" t="s">
        <v>161</v>
      </c>
      <c r="E15" s="129">
        <v>1.56</v>
      </c>
      <c r="F15" s="130" t="s">
        <v>274</v>
      </c>
      <c r="G15" s="131">
        <v>0.43</v>
      </c>
      <c r="H15" s="129" t="s">
        <v>152</v>
      </c>
      <c r="I15" s="132">
        <v>0.25</v>
      </c>
      <c r="J15" s="96"/>
      <c r="K15" s="96"/>
      <c r="L15" s="96"/>
      <c r="M15" s="96"/>
      <c r="N15" s="96"/>
    </row>
    <row r="16" spans="1:16" x14ac:dyDescent="0.25">
      <c r="A16" s="127" t="s">
        <v>13</v>
      </c>
      <c r="B16" s="128" t="s">
        <v>65</v>
      </c>
      <c r="C16" s="129">
        <v>0.56000000000000005</v>
      </c>
      <c r="D16" s="129" t="s">
        <v>161</v>
      </c>
      <c r="E16" s="129">
        <v>1.56</v>
      </c>
      <c r="F16" s="130" t="s">
        <v>274</v>
      </c>
      <c r="G16" s="131">
        <v>0.43</v>
      </c>
      <c r="H16" s="129" t="s">
        <v>152</v>
      </c>
      <c r="I16" s="132">
        <v>0.25</v>
      </c>
      <c r="J16" s="96"/>
      <c r="K16" s="96"/>
      <c r="L16" s="96"/>
      <c r="M16" s="96"/>
      <c r="N16" s="96"/>
    </row>
    <row r="17" spans="1:14" x14ac:dyDescent="0.25">
      <c r="A17" s="127" t="s">
        <v>14</v>
      </c>
      <c r="B17" s="128" t="s">
        <v>66</v>
      </c>
      <c r="C17" s="129">
        <v>0.57999999999999996</v>
      </c>
      <c r="D17" s="129" t="s">
        <v>161</v>
      </c>
      <c r="E17" s="129">
        <v>1.56</v>
      </c>
      <c r="F17" s="130" t="s">
        <v>274</v>
      </c>
      <c r="G17" s="131">
        <v>0.43</v>
      </c>
      <c r="H17" s="129" t="s">
        <v>152</v>
      </c>
      <c r="I17" s="132">
        <v>0.25</v>
      </c>
      <c r="J17" s="96"/>
      <c r="K17" s="96"/>
      <c r="L17" s="96"/>
      <c r="M17" s="96"/>
      <c r="N17" s="96"/>
    </row>
    <row r="18" spans="1:14" x14ac:dyDescent="0.25">
      <c r="A18" s="127" t="s">
        <v>15</v>
      </c>
      <c r="B18" s="128" t="s">
        <v>67</v>
      </c>
      <c r="C18" s="129">
        <v>0.64</v>
      </c>
      <c r="D18" s="129" t="s">
        <v>161</v>
      </c>
      <c r="E18" s="129">
        <v>1.56</v>
      </c>
      <c r="F18" s="130" t="s">
        <v>274</v>
      </c>
      <c r="G18" s="131">
        <v>0.43</v>
      </c>
      <c r="H18" s="129" t="s">
        <v>152</v>
      </c>
      <c r="I18" s="132">
        <v>0.25</v>
      </c>
      <c r="J18" s="96"/>
      <c r="K18" s="96"/>
      <c r="L18" s="96"/>
      <c r="M18" s="96"/>
      <c r="N18" s="96"/>
    </row>
    <row r="19" spans="1:14" x14ac:dyDescent="0.25">
      <c r="A19" s="127" t="s">
        <v>16</v>
      </c>
      <c r="B19" s="128" t="s">
        <v>68</v>
      </c>
      <c r="C19" s="129">
        <v>0.73</v>
      </c>
      <c r="D19" s="129" t="s">
        <v>161</v>
      </c>
      <c r="E19" s="129">
        <v>1.56</v>
      </c>
      <c r="F19" s="130" t="s">
        <v>274</v>
      </c>
      <c r="G19" s="131">
        <v>0.43</v>
      </c>
      <c r="H19" s="129" t="s">
        <v>152</v>
      </c>
      <c r="I19" s="132">
        <v>0.25</v>
      </c>
      <c r="J19" s="96"/>
      <c r="K19" s="96"/>
      <c r="L19" s="96"/>
      <c r="M19" s="96"/>
      <c r="N19" s="96"/>
    </row>
    <row r="20" spans="1:14" x14ac:dyDescent="0.25">
      <c r="A20" s="127" t="s">
        <v>52</v>
      </c>
      <c r="B20" s="128" t="s">
        <v>69</v>
      </c>
      <c r="C20" s="129">
        <v>0.69</v>
      </c>
      <c r="D20" s="129" t="s">
        <v>131</v>
      </c>
      <c r="E20" s="129">
        <v>1.56</v>
      </c>
      <c r="F20" s="130" t="s">
        <v>274</v>
      </c>
      <c r="G20" s="131">
        <v>0.43</v>
      </c>
      <c r="H20" s="129" t="s">
        <v>282</v>
      </c>
      <c r="I20" s="132">
        <v>0.25</v>
      </c>
      <c r="J20" s="96"/>
      <c r="K20" s="96"/>
      <c r="L20" s="96"/>
      <c r="M20" s="96"/>
      <c r="N20" s="96"/>
    </row>
    <row r="21" spans="1:14" x14ac:dyDescent="0.25">
      <c r="A21" s="127" t="s">
        <v>154</v>
      </c>
      <c r="B21" s="128" t="s">
        <v>155</v>
      </c>
      <c r="C21" s="129">
        <v>0.36</v>
      </c>
      <c r="D21" s="129" t="s">
        <v>161</v>
      </c>
      <c r="E21" s="129">
        <v>1.3</v>
      </c>
      <c r="F21" s="130" t="s">
        <v>274</v>
      </c>
      <c r="G21" s="131">
        <v>0.55000000000000004</v>
      </c>
      <c r="H21" s="129" t="s">
        <v>153</v>
      </c>
      <c r="I21" s="132">
        <v>0.43</v>
      </c>
      <c r="J21" s="96"/>
      <c r="K21" s="96"/>
      <c r="L21" s="96"/>
      <c r="M21" s="96"/>
      <c r="N21" s="96"/>
    </row>
    <row r="22" spans="1:14" x14ac:dyDescent="0.25">
      <c r="A22" s="127" t="s">
        <v>17</v>
      </c>
      <c r="B22" s="128" t="s">
        <v>70</v>
      </c>
      <c r="C22" s="129">
        <v>0.4</v>
      </c>
      <c r="D22" s="129" t="s">
        <v>161</v>
      </c>
      <c r="E22" s="129">
        <v>1.3</v>
      </c>
      <c r="F22" s="130" t="s">
        <v>274</v>
      </c>
      <c r="G22" s="131">
        <v>0.55000000000000004</v>
      </c>
      <c r="H22" s="129" t="s">
        <v>153</v>
      </c>
      <c r="I22" s="132">
        <v>0.43</v>
      </c>
      <c r="J22" s="96"/>
      <c r="K22" s="96"/>
      <c r="L22" s="96"/>
      <c r="M22" s="96"/>
      <c r="N22" s="96"/>
    </row>
    <row r="23" spans="1:14" x14ac:dyDescent="0.25">
      <c r="A23" s="127" t="s">
        <v>18</v>
      </c>
      <c r="B23" s="128" t="s">
        <v>71</v>
      </c>
      <c r="C23" s="129">
        <v>0.43</v>
      </c>
      <c r="D23" s="129" t="s">
        <v>161</v>
      </c>
      <c r="E23" s="129">
        <v>1.3</v>
      </c>
      <c r="F23" s="130" t="s">
        <v>274</v>
      </c>
      <c r="G23" s="131">
        <v>0.55000000000000004</v>
      </c>
      <c r="H23" s="129" t="s">
        <v>153</v>
      </c>
      <c r="I23" s="132">
        <v>0.43</v>
      </c>
      <c r="J23" s="96"/>
      <c r="K23" s="96"/>
      <c r="L23" s="96"/>
      <c r="M23" s="96"/>
      <c r="N23" s="96"/>
    </row>
    <row r="24" spans="1:14" x14ac:dyDescent="0.25">
      <c r="A24" s="127" t="s">
        <v>19</v>
      </c>
      <c r="B24" s="128" t="s">
        <v>72</v>
      </c>
      <c r="C24" s="129">
        <v>0.37</v>
      </c>
      <c r="D24" s="129" t="s">
        <v>161</v>
      </c>
      <c r="E24" s="129">
        <v>1.3</v>
      </c>
      <c r="F24" s="130" t="s">
        <v>274</v>
      </c>
      <c r="G24" s="131">
        <v>0.55000000000000004</v>
      </c>
      <c r="H24" s="129" t="s">
        <v>152</v>
      </c>
      <c r="I24" s="132">
        <v>0.43</v>
      </c>
      <c r="J24" s="96"/>
      <c r="K24" s="96"/>
      <c r="L24" s="96"/>
      <c r="M24" s="96"/>
      <c r="N24" s="96"/>
    </row>
    <row r="25" spans="1:14" x14ac:dyDescent="0.25">
      <c r="A25" s="127" t="s">
        <v>20</v>
      </c>
      <c r="B25" s="128" t="s">
        <v>73</v>
      </c>
      <c r="C25" s="129">
        <v>0.36</v>
      </c>
      <c r="D25" s="129" t="s">
        <v>161</v>
      </c>
      <c r="E25" s="129">
        <v>1.3</v>
      </c>
      <c r="F25" s="130" t="s">
        <v>274</v>
      </c>
      <c r="G25" s="131">
        <v>0.55000000000000004</v>
      </c>
      <c r="H25" s="129" t="s">
        <v>152</v>
      </c>
      <c r="I25" s="132">
        <v>0.43</v>
      </c>
      <c r="J25" s="96"/>
      <c r="K25" s="96"/>
      <c r="L25" s="96"/>
      <c r="M25" s="96"/>
      <c r="N25" s="96"/>
    </row>
    <row r="26" spans="1:14" x14ac:dyDescent="0.25">
      <c r="A26" s="127" t="s">
        <v>21</v>
      </c>
      <c r="B26" s="128" t="s">
        <v>74</v>
      </c>
      <c r="C26" s="129">
        <v>0.56000000000000005</v>
      </c>
      <c r="D26" s="129" t="s">
        <v>161</v>
      </c>
      <c r="E26" s="129">
        <v>1.56</v>
      </c>
      <c r="F26" s="130" t="s">
        <v>274</v>
      </c>
      <c r="G26" s="131">
        <v>0.53</v>
      </c>
      <c r="H26" s="129" t="s">
        <v>275</v>
      </c>
      <c r="I26" s="132">
        <v>0.25</v>
      </c>
      <c r="J26" s="96"/>
      <c r="K26" s="96"/>
      <c r="L26" s="96"/>
      <c r="M26" s="96"/>
      <c r="N26" s="96"/>
    </row>
    <row r="27" spans="1:14" x14ac:dyDescent="0.25">
      <c r="A27" s="127" t="s">
        <v>22</v>
      </c>
      <c r="B27" s="128" t="s">
        <v>75</v>
      </c>
      <c r="C27" s="129">
        <v>0.51</v>
      </c>
      <c r="D27" s="129" t="s">
        <v>161</v>
      </c>
      <c r="E27" s="129">
        <v>1.56</v>
      </c>
      <c r="F27" s="130" t="s">
        <v>274</v>
      </c>
      <c r="G27" s="131">
        <v>0.53</v>
      </c>
      <c r="H27" s="129" t="s">
        <v>275</v>
      </c>
      <c r="I27" s="132">
        <v>0.25</v>
      </c>
      <c r="J27" s="96"/>
      <c r="K27" s="96"/>
      <c r="L27" s="96"/>
      <c r="M27" s="96"/>
      <c r="N27" s="96"/>
    </row>
    <row r="28" spans="1:14" x14ac:dyDescent="0.25">
      <c r="A28" s="127" t="s">
        <v>23</v>
      </c>
      <c r="B28" s="128" t="s">
        <v>76</v>
      </c>
      <c r="C28" s="129">
        <v>0.51</v>
      </c>
      <c r="D28" s="129" t="s">
        <v>161</v>
      </c>
      <c r="E28" s="129">
        <v>1.56</v>
      </c>
      <c r="F28" s="130" t="s">
        <v>274</v>
      </c>
      <c r="G28" s="131">
        <v>0.53</v>
      </c>
      <c r="H28" s="129" t="s">
        <v>275</v>
      </c>
      <c r="I28" s="132">
        <v>0.25</v>
      </c>
      <c r="J28" s="96"/>
      <c r="K28" s="96"/>
      <c r="L28" s="96"/>
      <c r="M28" s="96"/>
      <c r="N28" s="96"/>
    </row>
    <row r="29" spans="1:14" x14ac:dyDescent="0.25">
      <c r="A29" s="127" t="s">
        <v>24</v>
      </c>
      <c r="B29" s="128" t="s">
        <v>24</v>
      </c>
      <c r="C29" s="129">
        <v>0.56000000000000005</v>
      </c>
      <c r="D29" s="129" t="s">
        <v>161</v>
      </c>
      <c r="E29" s="129">
        <v>1.56</v>
      </c>
      <c r="F29" s="130" t="s">
        <v>274</v>
      </c>
      <c r="G29" s="131">
        <v>0.53</v>
      </c>
      <c r="H29" s="129" t="s">
        <v>275</v>
      </c>
      <c r="I29" s="132">
        <v>0.25</v>
      </c>
      <c r="J29" s="96"/>
      <c r="K29" s="96"/>
      <c r="L29" s="96"/>
      <c r="M29" s="96"/>
      <c r="N29" s="96"/>
    </row>
    <row r="30" spans="1:14" x14ac:dyDescent="0.25">
      <c r="A30" s="127" t="s">
        <v>25</v>
      </c>
      <c r="B30" s="128" t="s">
        <v>77</v>
      </c>
      <c r="C30" s="129">
        <v>0.55000000000000004</v>
      </c>
      <c r="D30" s="129" t="s">
        <v>161</v>
      </c>
      <c r="E30" s="129">
        <v>1.56</v>
      </c>
      <c r="F30" s="130" t="s">
        <v>274</v>
      </c>
      <c r="G30" s="131">
        <v>0.53</v>
      </c>
      <c r="H30" s="129" t="s">
        <v>152</v>
      </c>
      <c r="I30" s="132">
        <v>0.25</v>
      </c>
      <c r="J30" s="96"/>
      <c r="K30" s="96"/>
      <c r="L30" s="96"/>
      <c r="M30" s="96"/>
      <c r="N30" s="96"/>
    </row>
    <row r="31" spans="1:14" x14ac:dyDescent="0.25">
      <c r="A31" s="127" t="s">
        <v>26</v>
      </c>
      <c r="B31" s="128" t="s">
        <v>78</v>
      </c>
      <c r="C31" s="129">
        <v>0.56000000000000005</v>
      </c>
      <c r="D31" s="129" t="s">
        <v>161</v>
      </c>
      <c r="E31" s="129">
        <v>1.56</v>
      </c>
      <c r="F31" s="130" t="s">
        <v>274</v>
      </c>
      <c r="G31" s="131">
        <v>0.43</v>
      </c>
      <c r="H31" s="129" t="s">
        <v>278</v>
      </c>
      <c r="I31" s="132">
        <v>0.25</v>
      </c>
      <c r="J31" s="96"/>
      <c r="K31" s="96"/>
      <c r="L31" s="96"/>
      <c r="M31" s="96"/>
      <c r="N31" s="96"/>
    </row>
    <row r="32" spans="1:14" x14ac:dyDescent="0.25">
      <c r="A32" s="127" t="s">
        <v>27</v>
      </c>
      <c r="B32" s="128" t="s">
        <v>79</v>
      </c>
      <c r="C32" s="129">
        <v>0.48</v>
      </c>
      <c r="D32" s="129" t="s">
        <v>161</v>
      </c>
      <c r="E32" s="129">
        <v>1.3</v>
      </c>
      <c r="F32" s="130" t="s">
        <v>274</v>
      </c>
      <c r="G32" s="131">
        <v>0.6</v>
      </c>
      <c r="H32" s="129" t="s">
        <v>281</v>
      </c>
      <c r="I32" s="132">
        <v>0.43</v>
      </c>
      <c r="J32" s="96"/>
      <c r="K32" s="96"/>
      <c r="L32" s="96"/>
      <c r="M32" s="96"/>
      <c r="N32" s="96"/>
    </row>
    <row r="33" spans="1:14" x14ac:dyDescent="0.25">
      <c r="A33" s="127" t="s">
        <v>28</v>
      </c>
      <c r="B33" s="128" t="s">
        <v>80</v>
      </c>
      <c r="C33" s="129">
        <v>0.42</v>
      </c>
      <c r="D33" s="129" t="s">
        <v>161</v>
      </c>
      <c r="E33" s="129">
        <v>1.3</v>
      </c>
      <c r="F33" s="130" t="s">
        <v>274</v>
      </c>
      <c r="G33" s="131">
        <v>0.6</v>
      </c>
      <c r="H33" s="129" t="s">
        <v>281</v>
      </c>
      <c r="I33" s="132">
        <v>0.43</v>
      </c>
      <c r="J33" s="96"/>
      <c r="K33" s="96"/>
      <c r="L33" s="96"/>
      <c r="M33" s="96"/>
      <c r="N33" s="96"/>
    </row>
    <row r="34" spans="1:14" x14ac:dyDescent="0.25">
      <c r="A34" s="127" t="s">
        <v>81</v>
      </c>
      <c r="B34" s="128" t="s">
        <v>163</v>
      </c>
      <c r="C34" s="129">
        <v>0.42</v>
      </c>
      <c r="D34" s="129" t="s">
        <v>103</v>
      </c>
      <c r="E34" s="129">
        <v>1.3</v>
      </c>
      <c r="F34" s="130" t="s">
        <v>274</v>
      </c>
      <c r="G34" s="131">
        <v>0.6</v>
      </c>
      <c r="H34" s="128" t="s">
        <v>280</v>
      </c>
      <c r="I34" s="132">
        <v>0.43</v>
      </c>
      <c r="J34" s="96"/>
      <c r="K34" s="96"/>
      <c r="L34" s="96"/>
      <c r="M34" s="96"/>
      <c r="N34" s="96"/>
    </row>
    <row r="35" spans="1:14" x14ac:dyDescent="0.25">
      <c r="A35" s="127" t="s">
        <v>29</v>
      </c>
      <c r="B35" s="128" t="s">
        <v>82</v>
      </c>
      <c r="C35" s="129">
        <v>0.5</v>
      </c>
      <c r="D35" s="129" t="s">
        <v>161</v>
      </c>
      <c r="E35" s="129">
        <v>1.56</v>
      </c>
      <c r="F35" s="130" t="s">
        <v>274</v>
      </c>
      <c r="G35" s="131">
        <v>0.43</v>
      </c>
      <c r="H35" s="129" t="s">
        <v>278</v>
      </c>
      <c r="I35" s="132">
        <v>0.25</v>
      </c>
      <c r="J35" s="96"/>
      <c r="K35" s="96"/>
      <c r="L35" s="96"/>
      <c r="M35" s="96"/>
      <c r="N35" s="96"/>
    </row>
    <row r="36" spans="1:14" x14ac:dyDescent="0.25">
      <c r="A36" s="127" t="s">
        <v>102</v>
      </c>
      <c r="B36" s="128" t="s">
        <v>101</v>
      </c>
      <c r="C36" s="129">
        <v>0.55000000000000004</v>
      </c>
      <c r="D36" s="129" t="s">
        <v>161</v>
      </c>
      <c r="E36" s="129">
        <v>1.56</v>
      </c>
      <c r="F36" s="130" t="s">
        <v>274</v>
      </c>
      <c r="G36" s="131">
        <v>0.53</v>
      </c>
      <c r="H36" s="129" t="s">
        <v>275</v>
      </c>
      <c r="I36" s="132">
        <v>0.25</v>
      </c>
      <c r="J36" s="96"/>
      <c r="K36" s="96"/>
      <c r="L36" s="96"/>
      <c r="M36" s="96"/>
      <c r="N36" s="96"/>
    </row>
    <row r="37" spans="1:14" x14ac:dyDescent="0.25">
      <c r="A37" s="127" t="s">
        <v>30</v>
      </c>
      <c r="B37" s="128" t="s">
        <v>104</v>
      </c>
      <c r="C37" s="129">
        <v>0.52</v>
      </c>
      <c r="D37" s="129" t="s">
        <v>161</v>
      </c>
      <c r="E37" s="129">
        <v>1.56</v>
      </c>
      <c r="F37" s="130" t="s">
        <v>274</v>
      </c>
      <c r="G37" s="131">
        <v>0.53</v>
      </c>
      <c r="H37" s="129" t="s">
        <v>275</v>
      </c>
      <c r="I37" s="132">
        <v>0.25</v>
      </c>
      <c r="J37" s="96"/>
      <c r="K37" s="96"/>
      <c r="L37" s="96"/>
      <c r="M37" s="96"/>
      <c r="N37" s="96"/>
    </row>
    <row r="38" spans="1:14" x14ac:dyDescent="0.25">
      <c r="A38" s="127" t="s">
        <v>31</v>
      </c>
      <c r="B38" s="128" t="s">
        <v>105</v>
      </c>
      <c r="C38" s="129">
        <v>0.52</v>
      </c>
      <c r="D38" s="129" t="s">
        <v>161</v>
      </c>
      <c r="E38" s="129">
        <v>1.56</v>
      </c>
      <c r="F38" s="130" t="s">
        <v>274</v>
      </c>
      <c r="G38" s="131">
        <v>0.43</v>
      </c>
      <c r="H38" s="129" t="s">
        <v>278</v>
      </c>
      <c r="I38" s="132">
        <v>0.25</v>
      </c>
      <c r="J38" s="96"/>
      <c r="K38" s="96"/>
      <c r="L38" s="96"/>
      <c r="M38" s="96"/>
      <c r="N38" s="96"/>
    </row>
    <row r="39" spans="1:14" x14ac:dyDescent="0.25">
      <c r="A39" s="127" t="s">
        <v>107</v>
      </c>
      <c r="B39" s="128" t="s">
        <v>132</v>
      </c>
      <c r="C39" s="129">
        <v>0.313</v>
      </c>
      <c r="D39" s="129" t="s">
        <v>130</v>
      </c>
      <c r="E39" s="129">
        <v>1.56</v>
      </c>
      <c r="F39" s="130" t="s">
        <v>274</v>
      </c>
      <c r="G39" s="131">
        <v>0.6</v>
      </c>
      <c r="H39" s="129" t="s">
        <v>283</v>
      </c>
      <c r="I39" s="132">
        <v>1.03</v>
      </c>
      <c r="J39" s="96"/>
      <c r="K39" s="96"/>
      <c r="L39" s="96"/>
      <c r="M39" s="96"/>
      <c r="N39" s="96"/>
    </row>
    <row r="40" spans="1:14" x14ac:dyDescent="0.25">
      <c r="A40" s="127" t="s">
        <v>108</v>
      </c>
      <c r="B40" s="128" t="s">
        <v>132</v>
      </c>
      <c r="C40" s="129">
        <v>0.35199999999999998</v>
      </c>
      <c r="D40" s="129" t="s">
        <v>130</v>
      </c>
      <c r="E40" s="129">
        <v>1.56</v>
      </c>
      <c r="F40" s="130" t="s">
        <v>274</v>
      </c>
      <c r="G40" s="131">
        <v>0.6</v>
      </c>
      <c r="H40" s="129" t="s">
        <v>283</v>
      </c>
      <c r="I40" s="132">
        <v>1.03</v>
      </c>
      <c r="J40" s="96"/>
      <c r="K40" s="96"/>
      <c r="L40" s="96"/>
      <c r="M40" s="96"/>
      <c r="N40" s="96"/>
    </row>
    <row r="41" spans="1:14" x14ac:dyDescent="0.25">
      <c r="A41" s="127" t="s">
        <v>121</v>
      </c>
      <c r="B41" s="128" t="s">
        <v>132</v>
      </c>
      <c r="C41" s="129">
        <v>0.32200000000000001</v>
      </c>
      <c r="D41" s="129" t="s">
        <v>130</v>
      </c>
      <c r="E41" s="129">
        <v>1.56</v>
      </c>
      <c r="F41" s="130" t="s">
        <v>274</v>
      </c>
      <c r="G41" s="131">
        <v>0.6</v>
      </c>
      <c r="H41" s="129" t="s">
        <v>283</v>
      </c>
      <c r="I41" s="132">
        <v>1.03</v>
      </c>
      <c r="J41" s="96"/>
      <c r="K41" s="96"/>
      <c r="L41" s="96"/>
      <c r="M41" s="96"/>
      <c r="N41" s="96"/>
    </row>
    <row r="42" spans="1:14" x14ac:dyDescent="0.25">
      <c r="A42" s="127" t="s">
        <v>122</v>
      </c>
      <c r="B42" s="128" t="s">
        <v>132</v>
      </c>
      <c r="C42" s="129">
        <v>0.311</v>
      </c>
      <c r="D42" s="129" t="s">
        <v>130</v>
      </c>
      <c r="E42" s="129">
        <v>1.56</v>
      </c>
      <c r="F42" s="130" t="s">
        <v>274</v>
      </c>
      <c r="G42" s="131">
        <v>0.6</v>
      </c>
      <c r="H42" s="129" t="s">
        <v>283</v>
      </c>
      <c r="I42" s="132">
        <v>1.03</v>
      </c>
      <c r="J42" s="96"/>
      <c r="K42" s="96"/>
      <c r="L42" s="96"/>
      <c r="M42" s="96"/>
      <c r="N42" s="96"/>
    </row>
    <row r="43" spans="1:14" x14ac:dyDescent="0.25">
      <c r="A43" s="127" t="s">
        <v>109</v>
      </c>
      <c r="B43" s="128" t="s">
        <v>132</v>
      </c>
      <c r="C43" s="129">
        <v>0.33900000000000002</v>
      </c>
      <c r="D43" s="129" t="s">
        <v>130</v>
      </c>
      <c r="E43" s="129">
        <v>1.56</v>
      </c>
      <c r="F43" s="130" t="s">
        <v>274</v>
      </c>
      <c r="G43" s="131">
        <v>0.6</v>
      </c>
      <c r="H43" s="129" t="s">
        <v>283</v>
      </c>
      <c r="I43" s="132">
        <v>1.03</v>
      </c>
      <c r="J43" s="96"/>
      <c r="K43" s="96"/>
      <c r="L43" s="96"/>
      <c r="M43" s="96"/>
      <c r="N43" s="96"/>
    </row>
    <row r="44" spans="1:14" x14ac:dyDescent="0.25">
      <c r="A44" s="127" t="s">
        <v>123</v>
      </c>
      <c r="B44" s="128" t="s">
        <v>132</v>
      </c>
      <c r="C44" s="129">
        <v>0.33600000000000002</v>
      </c>
      <c r="D44" s="129" t="s">
        <v>130</v>
      </c>
      <c r="E44" s="129">
        <v>1.56</v>
      </c>
      <c r="F44" s="130" t="s">
        <v>274</v>
      </c>
      <c r="G44" s="131">
        <v>0.6</v>
      </c>
      <c r="H44" s="129" t="s">
        <v>283</v>
      </c>
      <c r="I44" s="132">
        <v>1.03</v>
      </c>
      <c r="J44" s="96"/>
      <c r="K44" s="96"/>
      <c r="L44" s="96"/>
      <c r="M44" s="96"/>
      <c r="N44" s="96"/>
    </row>
    <row r="45" spans="1:14" x14ac:dyDescent="0.25">
      <c r="A45" s="127" t="s">
        <v>110</v>
      </c>
      <c r="B45" s="128" t="s">
        <v>132</v>
      </c>
      <c r="C45" s="129">
        <v>0.32900000000000001</v>
      </c>
      <c r="D45" s="129" t="s">
        <v>130</v>
      </c>
      <c r="E45" s="129">
        <v>1.56</v>
      </c>
      <c r="F45" s="130" t="s">
        <v>274</v>
      </c>
      <c r="G45" s="131">
        <v>0.6</v>
      </c>
      <c r="H45" s="129" t="s">
        <v>283</v>
      </c>
      <c r="I45" s="132">
        <v>1.03</v>
      </c>
      <c r="J45" s="96"/>
      <c r="K45" s="96"/>
      <c r="L45" s="96"/>
      <c r="M45" s="96"/>
      <c r="N45" s="96"/>
    </row>
    <row r="46" spans="1:14" x14ac:dyDescent="0.25">
      <c r="A46" s="127" t="s">
        <v>124</v>
      </c>
      <c r="B46" s="128" t="s">
        <v>132</v>
      </c>
      <c r="C46" s="129">
        <v>0.34300000000000003</v>
      </c>
      <c r="D46" s="129" t="s">
        <v>130</v>
      </c>
      <c r="E46" s="129">
        <v>1.56</v>
      </c>
      <c r="F46" s="130" t="s">
        <v>274</v>
      </c>
      <c r="G46" s="131">
        <v>0.6</v>
      </c>
      <c r="H46" s="129" t="s">
        <v>283</v>
      </c>
      <c r="I46" s="132">
        <v>1.03</v>
      </c>
      <c r="J46" s="96"/>
      <c r="K46" s="96"/>
      <c r="L46" s="96"/>
      <c r="M46" s="96"/>
      <c r="N46" s="96"/>
    </row>
    <row r="47" spans="1:14" x14ac:dyDescent="0.25">
      <c r="A47" s="127" t="s">
        <v>125</v>
      </c>
      <c r="B47" s="128" t="s">
        <v>132</v>
      </c>
      <c r="C47" s="129">
        <v>0.32500000000000001</v>
      </c>
      <c r="D47" s="129" t="s">
        <v>130</v>
      </c>
      <c r="E47" s="129">
        <v>1.56</v>
      </c>
      <c r="F47" s="130" t="s">
        <v>274</v>
      </c>
      <c r="G47" s="131">
        <v>0.6</v>
      </c>
      <c r="H47" s="129" t="s">
        <v>283</v>
      </c>
      <c r="I47" s="132">
        <v>1.03</v>
      </c>
      <c r="J47" s="96"/>
      <c r="K47" s="96"/>
      <c r="L47" s="96"/>
      <c r="M47" s="96"/>
      <c r="N47" s="96"/>
    </row>
    <row r="48" spans="1:14" x14ac:dyDescent="0.25">
      <c r="A48" s="127" t="s">
        <v>126</v>
      </c>
      <c r="B48" s="128" t="s">
        <v>132</v>
      </c>
      <c r="C48" s="129">
        <v>0.32</v>
      </c>
      <c r="D48" s="129" t="s">
        <v>130</v>
      </c>
      <c r="E48" s="129">
        <v>1.56</v>
      </c>
      <c r="F48" s="130" t="s">
        <v>274</v>
      </c>
      <c r="G48" s="131">
        <v>0.6</v>
      </c>
      <c r="H48" s="129" t="s">
        <v>283</v>
      </c>
      <c r="I48" s="132">
        <v>1.03</v>
      </c>
      <c r="J48" s="96"/>
      <c r="K48" s="96"/>
      <c r="L48" s="96"/>
      <c r="M48" s="96"/>
      <c r="N48" s="96"/>
    </row>
    <row r="49" spans="1:14" x14ac:dyDescent="0.25">
      <c r="A49" s="127" t="s">
        <v>111</v>
      </c>
      <c r="B49" s="128" t="s">
        <v>132</v>
      </c>
      <c r="C49" s="129">
        <v>0.28199999999999997</v>
      </c>
      <c r="D49" s="129" t="s">
        <v>130</v>
      </c>
      <c r="E49" s="129">
        <v>1.56</v>
      </c>
      <c r="F49" s="130" t="s">
        <v>274</v>
      </c>
      <c r="G49" s="131">
        <v>0.6</v>
      </c>
      <c r="H49" s="129" t="s">
        <v>283</v>
      </c>
      <c r="I49" s="132">
        <v>1.03</v>
      </c>
      <c r="J49" s="96"/>
      <c r="K49" s="96"/>
      <c r="L49" s="96"/>
      <c r="M49" s="96"/>
      <c r="N49" s="96"/>
    </row>
    <row r="50" spans="1:14" x14ac:dyDescent="0.25">
      <c r="A50" s="127" t="s">
        <v>127</v>
      </c>
      <c r="B50" s="128" t="s">
        <v>132</v>
      </c>
      <c r="C50" s="129">
        <v>0.32800000000000001</v>
      </c>
      <c r="D50" s="129" t="s">
        <v>130</v>
      </c>
      <c r="E50" s="129">
        <v>1.56</v>
      </c>
      <c r="F50" s="130" t="s">
        <v>274</v>
      </c>
      <c r="G50" s="131">
        <v>0.6</v>
      </c>
      <c r="H50" s="129" t="s">
        <v>283</v>
      </c>
      <c r="I50" s="132">
        <v>1.03</v>
      </c>
      <c r="J50" s="96"/>
      <c r="K50" s="96"/>
      <c r="L50" s="96"/>
      <c r="M50" s="96"/>
      <c r="N50" s="96"/>
    </row>
    <row r="51" spans="1:14" x14ac:dyDescent="0.25">
      <c r="A51" s="127" t="s">
        <v>112</v>
      </c>
      <c r="B51" s="128" t="s">
        <v>132</v>
      </c>
      <c r="C51" s="129">
        <v>0.32600000000000001</v>
      </c>
      <c r="D51" s="129" t="s">
        <v>130</v>
      </c>
      <c r="E51" s="129">
        <v>1.56</v>
      </c>
      <c r="F51" s="130" t="s">
        <v>274</v>
      </c>
      <c r="G51" s="131">
        <v>0.6</v>
      </c>
      <c r="H51" s="129" t="s">
        <v>283</v>
      </c>
      <c r="I51" s="132">
        <v>1.03</v>
      </c>
      <c r="J51" s="96"/>
      <c r="K51" s="96"/>
      <c r="L51" s="96"/>
      <c r="M51" s="96"/>
      <c r="N51" s="96"/>
    </row>
    <row r="52" spans="1:14" x14ac:dyDescent="0.25">
      <c r="A52" s="127" t="s">
        <v>113</v>
      </c>
      <c r="B52" s="128" t="s">
        <v>132</v>
      </c>
      <c r="C52" s="129">
        <v>0.35899999999999999</v>
      </c>
      <c r="D52" s="129" t="s">
        <v>130</v>
      </c>
      <c r="E52" s="129">
        <v>1.56</v>
      </c>
      <c r="F52" s="130" t="s">
        <v>274</v>
      </c>
      <c r="G52" s="131">
        <v>0.6</v>
      </c>
      <c r="H52" s="129" t="s">
        <v>283</v>
      </c>
      <c r="I52" s="132">
        <v>1.03</v>
      </c>
      <c r="J52" s="96"/>
      <c r="K52" s="96"/>
      <c r="L52" s="96"/>
      <c r="M52" s="96"/>
      <c r="N52" s="96"/>
    </row>
    <row r="53" spans="1:14" x14ac:dyDescent="0.25">
      <c r="A53" s="127" t="s">
        <v>114</v>
      </c>
      <c r="B53" s="128" t="s">
        <v>132</v>
      </c>
      <c r="C53" s="129">
        <v>0.34599999999999997</v>
      </c>
      <c r="D53" s="129" t="s">
        <v>130</v>
      </c>
      <c r="E53" s="129">
        <v>1.56</v>
      </c>
      <c r="F53" s="130" t="s">
        <v>274</v>
      </c>
      <c r="G53" s="131">
        <v>0.6</v>
      </c>
      <c r="H53" s="129" t="s">
        <v>283</v>
      </c>
      <c r="I53" s="132">
        <v>1.03</v>
      </c>
      <c r="J53" s="96"/>
      <c r="K53" s="96"/>
      <c r="L53" s="96"/>
      <c r="M53" s="96"/>
      <c r="N53" s="96"/>
    </row>
    <row r="54" spans="1:14" x14ac:dyDescent="0.25">
      <c r="A54" s="127" t="s">
        <v>115</v>
      </c>
      <c r="B54" s="128" t="s">
        <v>132</v>
      </c>
      <c r="C54" s="129">
        <v>0.32600000000000001</v>
      </c>
      <c r="D54" s="129" t="s">
        <v>130</v>
      </c>
      <c r="E54" s="129">
        <v>1.56</v>
      </c>
      <c r="F54" s="130" t="s">
        <v>274</v>
      </c>
      <c r="G54" s="131">
        <v>0.6</v>
      </c>
      <c r="H54" s="129" t="s">
        <v>283</v>
      </c>
      <c r="I54" s="132">
        <v>1.03</v>
      </c>
      <c r="J54" s="96"/>
      <c r="K54" s="96"/>
      <c r="L54" s="96"/>
      <c r="M54" s="96"/>
      <c r="N54" s="96"/>
    </row>
    <row r="55" spans="1:14" x14ac:dyDescent="0.25">
      <c r="A55" s="127" t="s">
        <v>116</v>
      </c>
      <c r="B55" s="128" t="s">
        <v>132</v>
      </c>
      <c r="C55" s="129">
        <v>0.30499999999999999</v>
      </c>
      <c r="D55" s="129" t="s">
        <v>130</v>
      </c>
      <c r="E55" s="129">
        <v>1.56</v>
      </c>
      <c r="F55" s="130" t="s">
        <v>274</v>
      </c>
      <c r="G55" s="131">
        <v>0.6</v>
      </c>
      <c r="H55" s="129" t="s">
        <v>283</v>
      </c>
      <c r="I55" s="132">
        <v>1.03</v>
      </c>
      <c r="J55" s="96"/>
      <c r="K55" s="96"/>
      <c r="L55" s="96"/>
      <c r="M55" s="96"/>
      <c r="N55" s="96"/>
    </row>
    <row r="56" spans="1:14" x14ac:dyDescent="0.25">
      <c r="A56" s="127" t="s">
        <v>128</v>
      </c>
      <c r="B56" s="128" t="s">
        <v>132</v>
      </c>
      <c r="C56" s="129">
        <v>0.32300000000000001</v>
      </c>
      <c r="D56" s="129" t="s">
        <v>130</v>
      </c>
      <c r="E56" s="129">
        <v>1.56</v>
      </c>
      <c r="F56" s="130" t="s">
        <v>274</v>
      </c>
      <c r="G56" s="131">
        <v>0.6</v>
      </c>
      <c r="H56" s="129" t="s">
        <v>283</v>
      </c>
      <c r="I56" s="132">
        <v>1.03</v>
      </c>
      <c r="J56" s="96"/>
      <c r="K56" s="96"/>
      <c r="L56" s="96"/>
      <c r="M56" s="96"/>
      <c r="N56" s="96"/>
    </row>
    <row r="57" spans="1:14" x14ac:dyDescent="0.25">
      <c r="A57" s="127" t="s">
        <v>129</v>
      </c>
      <c r="B57" s="128" t="s">
        <v>132</v>
      </c>
      <c r="C57" s="129">
        <v>0.36699999999999999</v>
      </c>
      <c r="D57" s="129" t="s">
        <v>130</v>
      </c>
      <c r="E57" s="129">
        <v>1.56</v>
      </c>
      <c r="F57" s="130" t="s">
        <v>274</v>
      </c>
      <c r="G57" s="131">
        <v>0.6</v>
      </c>
      <c r="H57" s="129" t="s">
        <v>283</v>
      </c>
      <c r="I57" s="132">
        <v>1.03</v>
      </c>
      <c r="J57" s="96"/>
      <c r="K57" s="96"/>
      <c r="L57" s="96"/>
      <c r="M57" s="96"/>
      <c r="N57" s="96"/>
    </row>
    <row r="58" spans="1:14" x14ac:dyDescent="0.25">
      <c r="A58" s="127" t="s">
        <v>117</v>
      </c>
      <c r="B58" s="128" t="s">
        <v>132</v>
      </c>
      <c r="C58" s="129">
        <v>0.36</v>
      </c>
      <c r="D58" s="129" t="s">
        <v>130</v>
      </c>
      <c r="E58" s="129">
        <v>1.56</v>
      </c>
      <c r="F58" s="130" t="s">
        <v>274</v>
      </c>
      <c r="G58" s="131">
        <v>0.6</v>
      </c>
      <c r="H58" s="129" t="s">
        <v>283</v>
      </c>
      <c r="I58" s="132">
        <v>1.03</v>
      </c>
      <c r="J58" s="96"/>
      <c r="K58" s="96"/>
      <c r="L58" s="96"/>
      <c r="M58" s="96"/>
      <c r="N58" s="96"/>
    </row>
    <row r="59" spans="1:14" x14ac:dyDescent="0.25">
      <c r="A59" s="127" t="s">
        <v>118</v>
      </c>
      <c r="B59" s="128" t="s">
        <v>132</v>
      </c>
      <c r="C59" s="129">
        <v>0.36799999999999999</v>
      </c>
      <c r="D59" s="129" t="s">
        <v>130</v>
      </c>
      <c r="E59" s="129">
        <v>1.56</v>
      </c>
      <c r="F59" s="130" t="s">
        <v>274</v>
      </c>
      <c r="G59" s="131">
        <v>0.6</v>
      </c>
      <c r="H59" s="129" t="s">
        <v>283</v>
      </c>
      <c r="I59" s="132">
        <v>1.03</v>
      </c>
      <c r="J59" s="96"/>
      <c r="K59" s="96"/>
      <c r="L59" s="96"/>
      <c r="M59" s="96"/>
      <c r="N59" s="96"/>
    </row>
    <row r="60" spans="1:14" x14ac:dyDescent="0.25">
      <c r="A60" s="127" t="s">
        <v>119</v>
      </c>
      <c r="B60" s="128" t="s">
        <v>132</v>
      </c>
      <c r="C60" s="129">
        <v>0.30599999999999999</v>
      </c>
      <c r="D60" s="129" t="s">
        <v>130</v>
      </c>
      <c r="E60" s="129">
        <v>1.56</v>
      </c>
      <c r="F60" s="130" t="s">
        <v>274</v>
      </c>
      <c r="G60" s="131">
        <v>0.6</v>
      </c>
      <c r="H60" s="129" t="s">
        <v>283</v>
      </c>
      <c r="I60" s="132">
        <v>1.03</v>
      </c>
      <c r="J60" s="96"/>
      <c r="K60" s="96"/>
      <c r="L60" s="96"/>
      <c r="M60" s="96"/>
      <c r="N60" s="96"/>
    </row>
    <row r="61" spans="1:14" x14ac:dyDescent="0.25">
      <c r="A61" s="127" t="s">
        <v>120</v>
      </c>
      <c r="B61" s="128" t="s">
        <v>132</v>
      </c>
      <c r="C61" s="129">
        <v>0.313</v>
      </c>
      <c r="D61" s="129" t="s">
        <v>130</v>
      </c>
      <c r="E61" s="129">
        <v>1.56</v>
      </c>
      <c r="F61" s="130" t="s">
        <v>274</v>
      </c>
      <c r="G61" s="131">
        <v>0.6</v>
      </c>
      <c r="H61" s="129" t="s">
        <v>283</v>
      </c>
      <c r="I61" s="132">
        <v>1.03</v>
      </c>
      <c r="J61" s="96"/>
      <c r="K61" s="96"/>
      <c r="L61" s="96"/>
      <c r="M61" s="96"/>
      <c r="N61" s="96"/>
    </row>
    <row r="62" spans="1:14" x14ac:dyDescent="0.25">
      <c r="A62" s="127" t="s">
        <v>32</v>
      </c>
      <c r="B62" s="128" t="s">
        <v>133</v>
      </c>
      <c r="C62" s="129">
        <v>0.37</v>
      </c>
      <c r="D62" s="129" t="s">
        <v>161</v>
      </c>
      <c r="E62" s="129">
        <v>1.56</v>
      </c>
      <c r="F62" s="130" t="s">
        <v>274</v>
      </c>
      <c r="G62" s="131">
        <v>0.6</v>
      </c>
      <c r="H62" s="129" t="s">
        <v>283</v>
      </c>
      <c r="I62" s="132">
        <v>1.03</v>
      </c>
      <c r="J62" s="96"/>
      <c r="K62" s="96"/>
      <c r="L62" s="96"/>
      <c r="M62" s="96"/>
      <c r="N62" s="96"/>
    </row>
    <row r="63" spans="1:14" x14ac:dyDescent="0.25">
      <c r="A63" s="127" t="s">
        <v>90</v>
      </c>
      <c r="B63" s="128" t="s">
        <v>83</v>
      </c>
      <c r="C63" s="129">
        <v>0.45</v>
      </c>
      <c r="D63" s="129" t="s">
        <v>161</v>
      </c>
      <c r="E63" s="129">
        <v>1.3</v>
      </c>
      <c r="F63" s="130" t="s">
        <v>274</v>
      </c>
      <c r="G63" s="131">
        <v>0.45</v>
      </c>
      <c r="H63" s="129" t="s">
        <v>276</v>
      </c>
      <c r="I63" s="132">
        <v>0.43</v>
      </c>
      <c r="J63" s="96"/>
      <c r="K63" s="96"/>
      <c r="L63" s="96"/>
      <c r="M63" s="96"/>
      <c r="N63" s="96"/>
    </row>
    <row r="64" spans="1:14" x14ac:dyDescent="0.25">
      <c r="A64" s="127" t="s">
        <v>33</v>
      </c>
      <c r="B64" s="128" t="s">
        <v>134</v>
      </c>
      <c r="C64" s="129">
        <v>0.39</v>
      </c>
      <c r="D64" s="129" t="s">
        <v>161</v>
      </c>
      <c r="E64" s="129">
        <v>1.3</v>
      </c>
      <c r="F64" s="130" t="s">
        <v>274</v>
      </c>
      <c r="G64" s="131">
        <v>0.45</v>
      </c>
      <c r="H64" s="129" t="s">
        <v>276</v>
      </c>
      <c r="I64" s="132">
        <v>0.43</v>
      </c>
      <c r="J64" s="96"/>
      <c r="K64" s="96"/>
      <c r="L64" s="96"/>
      <c r="M64" s="96"/>
      <c r="N64" s="96"/>
    </row>
    <row r="65" spans="1:14" x14ac:dyDescent="0.25">
      <c r="A65" s="127" t="s">
        <v>34</v>
      </c>
      <c r="B65" s="128" t="s">
        <v>135</v>
      </c>
      <c r="C65" s="129">
        <v>0.44</v>
      </c>
      <c r="D65" s="129" t="s">
        <v>161</v>
      </c>
      <c r="E65" s="129">
        <v>1.3</v>
      </c>
      <c r="F65" s="130" t="s">
        <v>274</v>
      </c>
      <c r="G65" s="131">
        <v>0.45</v>
      </c>
      <c r="H65" s="129" t="s">
        <v>276</v>
      </c>
      <c r="I65" s="132">
        <v>0.43</v>
      </c>
      <c r="J65" s="96"/>
      <c r="K65" s="96"/>
      <c r="L65" s="96"/>
      <c r="M65" s="96"/>
      <c r="N65" s="96"/>
    </row>
    <row r="66" spans="1:14" x14ac:dyDescent="0.25">
      <c r="A66" s="127" t="s">
        <v>35</v>
      </c>
      <c r="B66" s="128" t="s">
        <v>84</v>
      </c>
      <c r="C66" s="129">
        <v>0.46</v>
      </c>
      <c r="D66" s="129" t="s">
        <v>161</v>
      </c>
      <c r="E66" s="129">
        <v>1.3</v>
      </c>
      <c r="F66" s="130" t="s">
        <v>274</v>
      </c>
      <c r="G66" s="131">
        <v>0.45</v>
      </c>
      <c r="H66" s="129" t="s">
        <v>276</v>
      </c>
      <c r="I66" s="132">
        <v>0.43</v>
      </c>
      <c r="J66" s="96"/>
      <c r="K66" s="96"/>
      <c r="L66" s="96"/>
      <c r="M66" s="96"/>
      <c r="N66" s="96"/>
    </row>
    <row r="67" spans="1:14" x14ac:dyDescent="0.25">
      <c r="A67" s="127" t="s">
        <v>36</v>
      </c>
      <c r="B67" s="128" t="s">
        <v>85</v>
      </c>
      <c r="C67" s="129">
        <v>0.46</v>
      </c>
      <c r="D67" s="129" t="s">
        <v>161</v>
      </c>
      <c r="E67" s="129">
        <v>1.3</v>
      </c>
      <c r="F67" s="130" t="s">
        <v>274</v>
      </c>
      <c r="G67" s="131">
        <v>0.45</v>
      </c>
      <c r="H67" s="129" t="s">
        <v>152</v>
      </c>
      <c r="I67" s="132">
        <v>0.59</v>
      </c>
      <c r="J67" s="96"/>
      <c r="K67" s="96"/>
      <c r="L67" s="96"/>
      <c r="M67" s="96"/>
      <c r="N67" s="96"/>
    </row>
    <row r="68" spans="1:14" x14ac:dyDescent="0.25">
      <c r="A68" s="127" t="s">
        <v>37</v>
      </c>
      <c r="B68" s="128" t="s">
        <v>136</v>
      </c>
      <c r="C68" s="129">
        <v>0.44</v>
      </c>
      <c r="D68" s="129" t="s">
        <v>161</v>
      </c>
      <c r="E68" s="129">
        <v>1.3</v>
      </c>
      <c r="F68" s="130" t="s">
        <v>274</v>
      </c>
      <c r="G68" s="131">
        <v>0.45</v>
      </c>
      <c r="H68" s="129" t="s">
        <v>276</v>
      </c>
      <c r="I68" s="132">
        <v>0.43</v>
      </c>
      <c r="J68" s="96"/>
      <c r="K68" s="96"/>
      <c r="L68" s="96"/>
      <c r="M68" s="96"/>
      <c r="N68" s="96"/>
    </row>
    <row r="69" spans="1:14" x14ac:dyDescent="0.25">
      <c r="A69" s="127" t="s">
        <v>38</v>
      </c>
      <c r="B69" s="128" t="s">
        <v>86</v>
      </c>
      <c r="C69" s="129">
        <v>0.46</v>
      </c>
      <c r="D69" s="129" t="s">
        <v>161</v>
      </c>
      <c r="E69" s="129">
        <v>1.3</v>
      </c>
      <c r="F69" s="130" t="s">
        <v>274</v>
      </c>
      <c r="G69" s="131">
        <v>0.45</v>
      </c>
      <c r="H69" s="129" t="s">
        <v>276</v>
      </c>
      <c r="I69" s="132">
        <v>0.43</v>
      </c>
      <c r="J69" s="96"/>
      <c r="K69" s="96"/>
      <c r="L69" s="96"/>
      <c r="M69" s="96"/>
      <c r="N69" s="96"/>
    </row>
    <row r="70" spans="1:14" x14ac:dyDescent="0.25">
      <c r="A70" s="127" t="s">
        <v>39</v>
      </c>
      <c r="B70" s="128" t="s">
        <v>137</v>
      </c>
      <c r="C70" s="129">
        <v>0.48</v>
      </c>
      <c r="D70" s="129" t="s">
        <v>161</v>
      </c>
      <c r="E70" s="129">
        <v>2.4</v>
      </c>
      <c r="F70" s="129" t="s">
        <v>284</v>
      </c>
      <c r="G70" s="131">
        <v>0.45</v>
      </c>
      <c r="H70" s="129" t="s">
        <v>276</v>
      </c>
      <c r="I70" s="132">
        <v>0.43</v>
      </c>
      <c r="J70" s="96"/>
      <c r="K70" s="96"/>
      <c r="L70" s="96"/>
      <c r="M70" s="96"/>
      <c r="N70" s="96"/>
    </row>
    <row r="71" spans="1:14" x14ac:dyDescent="0.25">
      <c r="A71" s="127" t="s">
        <v>40</v>
      </c>
      <c r="B71" s="128" t="s">
        <v>87</v>
      </c>
      <c r="C71" s="129">
        <v>0.46</v>
      </c>
      <c r="D71" s="129" t="s">
        <v>150</v>
      </c>
      <c r="E71" s="129">
        <v>1.3</v>
      </c>
      <c r="F71" s="130" t="s">
        <v>274</v>
      </c>
      <c r="G71" s="131">
        <v>0.45</v>
      </c>
      <c r="H71" s="129" t="s">
        <v>276</v>
      </c>
      <c r="I71" s="132">
        <v>0.43</v>
      </c>
      <c r="J71" s="96"/>
      <c r="K71" s="96"/>
      <c r="L71" s="96"/>
      <c r="M71" s="96"/>
      <c r="N71" s="96"/>
    </row>
    <row r="72" spans="1:14" x14ac:dyDescent="0.25">
      <c r="A72" s="127" t="s">
        <v>41</v>
      </c>
      <c r="B72" s="128" t="s">
        <v>88</v>
      </c>
      <c r="C72" s="129">
        <v>0.44</v>
      </c>
      <c r="D72" s="129" t="s">
        <v>161</v>
      </c>
      <c r="E72" s="129">
        <v>1.3</v>
      </c>
      <c r="F72" s="130" t="s">
        <v>274</v>
      </c>
      <c r="G72" s="131">
        <v>0.45</v>
      </c>
      <c r="H72" s="129" t="s">
        <v>276</v>
      </c>
      <c r="I72" s="132">
        <v>0.43</v>
      </c>
      <c r="J72" s="96"/>
      <c r="K72" s="96"/>
      <c r="L72" s="96"/>
      <c r="M72" s="96"/>
      <c r="N72" s="96"/>
    </row>
    <row r="73" spans="1:14" x14ac:dyDescent="0.25">
      <c r="A73" s="127" t="s">
        <v>138</v>
      </c>
      <c r="B73" s="128" t="s">
        <v>140</v>
      </c>
      <c r="C73" s="129">
        <v>0.46</v>
      </c>
      <c r="D73" s="129" t="s">
        <v>151</v>
      </c>
      <c r="E73" s="129">
        <v>1.3</v>
      </c>
      <c r="F73" s="130" t="s">
        <v>274</v>
      </c>
      <c r="G73" s="131">
        <v>0.45</v>
      </c>
      <c r="H73" s="129" t="s">
        <v>276</v>
      </c>
      <c r="I73" s="132">
        <v>0.43</v>
      </c>
      <c r="J73" s="96"/>
      <c r="K73" s="96"/>
      <c r="L73" s="96"/>
      <c r="M73" s="96"/>
      <c r="N73" s="96"/>
    </row>
    <row r="74" spans="1:14" x14ac:dyDescent="0.25">
      <c r="A74" s="127" t="s">
        <v>42</v>
      </c>
      <c r="B74" s="128" t="s">
        <v>139</v>
      </c>
      <c r="C74" s="129">
        <v>0.34</v>
      </c>
      <c r="D74" s="129" t="s">
        <v>161</v>
      </c>
      <c r="E74" s="129">
        <v>1.3</v>
      </c>
      <c r="F74" s="130" t="s">
        <v>274</v>
      </c>
      <c r="G74" s="131">
        <v>0.45</v>
      </c>
      <c r="H74" s="129" t="s">
        <v>276</v>
      </c>
      <c r="I74" s="132">
        <v>0.43</v>
      </c>
      <c r="J74" s="96"/>
      <c r="K74" s="96"/>
      <c r="L74" s="96"/>
      <c r="M74" s="96"/>
      <c r="N74" s="96"/>
    </row>
    <row r="75" spans="1:14" x14ac:dyDescent="0.25">
      <c r="A75" s="127" t="s">
        <v>43</v>
      </c>
      <c r="B75" s="128" t="s">
        <v>162</v>
      </c>
      <c r="C75" s="129">
        <v>0.5</v>
      </c>
      <c r="D75" s="129" t="s">
        <v>161</v>
      </c>
      <c r="E75" s="129">
        <v>1.56</v>
      </c>
      <c r="F75" s="130" t="s">
        <v>274</v>
      </c>
      <c r="G75" s="131">
        <v>0.53</v>
      </c>
      <c r="H75" s="129" t="s">
        <v>275</v>
      </c>
      <c r="I75" s="132">
        <v>0.25</v>
      </c>
      <c r="J75" s="96"/>
      <c r="K75" s="96"/>
      <c r="L75" s="96"/>
      <c r="M75" s="96"/>
      <c r="N75" s="96"/>
    </row>
    <row r="76" spans="1:14" x14ac:dyDescent="0.25">
      <c r="A76" s="127" t="s">
        <v>44</v>
      </c>
      <c r="B76" s="128" t="s">
        <v>89</v>
      </c>
      <c r="C76" s="129">
        <v>0.57999999999999996</v>
      </c>
      <c r="D76" s="129" t="s">
        <v>161</v>
      </c>
      <c r="E76" s="129">
        <v>1.56</v>
      </c>
      <c r="F76" s="130" t="s">
        <v>274</v>
      </c>
      <c r="G76" s="131">
        <v>0.3</v>
      </c>
      <c r="H76" s="129" t="s">
        <v>277</v>
      </c>
      <c r="I76" s="132">
        <v>0.25</v>
      </c>
      <c r="J76" s="96"/>
      <c r="K76" s="96"/>
      <c r="L76" s="96"/>
      <c r="M76" s="96"/>
      <c r="N76" s="96"/>
    </row>
    <row r="77" spans="1:14" x14ac:dyDescent="0.25">
      <c r="A77" s="127" t="s">
        <v>47</v>
      </c>
      <c r="B77" s="128" t="s">
        <v>141</v>
      </c>
      <c r="C77" s="129">
        <v>0.37</v>
      </c>
      <c r="D77" s="129" t="s">
        <v>161</v>
      </c>
      <c r="E77" s="129">
        <v>1.3</v>
      </c>
      <c r="F77" s="130" t="s">
        <v>274</v>
      </c>
      <c r="G77" s="131">
        <v>0.55000000000000004</v>
      </c>
      <c r="H77" s="129" t="s">
        <v>152</v>
      </c>
      <c r="I77" s="132">
        <v>0.43</v>
      </c>
      <c r="J77" s="96"/>
      <c r="K77" s="96"/>
      <c r="L77" s="96"/>
      <c r="M77" s="96"/>
      <c r="N77" s="96"/>
    </row>
    <row r="78" spans="1:14" x14ac:dyDescent="0.25">
      <c r="A78" s="127" t="s">
        <v>45</v>
      </c>
      <c r="B78" s="128" t="s">
        <v>96</v>
      </c>
      <c r="C78" s="129">
        <v>0.37</v>
      </c>
      <c r="D78" s="129" t="s">
        <v>161</v>
      </c>
      <c r="E78" s="129">
        <v>1.3</v>
      </c>
      <c r="F78" s="130" t="s">
        <v>274</v>
      </c>
      <c r="G78" s="131">
        <v>0.55000000000000004</v>
      </c>
      <c r="H78" s="129" t="s">
        <v>152</v>
      </c>
      <c r="I78" s="132">
        <v>0.43</v>
      </c>
      <c r="J78" s="96"/>
      <c r="K78" s="96"/>
      <c r="L78" s="96"/>
      <c r="M78" s="96"/>
      <c r="N78" s="96"/>
    </row>
    <row r="79" spans="1:14" x14ac:dyDescent="0.25">
      <c r="A79" s="127" t="s">
        <v>46</v>
      </c>
      <c r="B79" s="128" t="s">
        <v>95</v>
      </c>
      <c r="C79" s="129">
        <v>0.38</v>
      </c>
      <c r="D79" s="129" t="s">
        <v>161</v>
      </c>
      <c r="E79" s="129">
        <v>1.3</v>
      </c>
      <c r="F79" s="130" t="s">
        <v>274</v>
      </c>
      <c r="G79" s="131">
        <v>0.55000000000000004</v>
      </c>
      <c r="H79" s="129" t="s">
        <v>153</v>
      </c>
      <c r="I79" s="132">
        <v>0.43</v>
      </c>
      <c r="J79" s="96"/>
      <c r="K79" s="96"/>
      <c r="L79" s="96"/>
      <c r="M79" s="96"/>
      <c r="N79" s="96"/>
    </row>
    <row r="80" spans="1:14" x14ac:dyDescent="0.25">
      <c r="A80" s="127" t="s">
        <v>48</v>
      </c>
      <c r="B80" s="128" t="s">
        <v>94</v>
      </c>
      <c r="C80" s="129">
        <v>0.36</v>
      </c>
      <c r="D80" s="129" t="s">
        <v>161</v>
      </c>
      <c r="E80" s="129">
        <v>1.3</v>
      </c>
      <c r="F80" s="130" t="s">
        <v>274</v>
      </c>
      <c r="G80" s="131">
        <v>0.55000000000000004</v>
      </c>
      <c r="H80" s="129" t="s">
        <v>153</v>
      </c>
      <c r="I80" s="132">
        <v>0.43</v>
      </c>
      <c r="J80" s="96"/>
      <c r="K80" s="96"/>
      <c r="L80" s="96"/>
      <c r="M80" s="96"/>
      <c r="N80" s="96"/>
    </row>
    <row r="81" spans="1:14" x14ac:dyDescent="0.25">
      <c r="A81" s="127" t="s">
        <v>49</v>
      </c>
      <c r="B81" s="128" t="s">
        <v>142</v>
      </c>
      <c r="C81" s="129">
        <v>0.37</v>
      </c>
      <c r="D81" s="129" t="s">
        <v>161</v>
      </c>
      <c r="E81" s="129">
        <v>1.56</v>
      </c>
      <c r="F81" s="130" t="s">
        <v>274</v>
      </c>
      <c r="G81" s="131">
        <v>0.43</v>
      </c>
      <c r="H81" s="129" t="s">
        <v>278</v>
      </c>
      <c r="I81" s="132">
        <v>0.25</v>
      </c>
      <c r="J81" s="96"/>
      <c r="K81" s="96"/>
      <c r="L81" s="96"/>
      <c r="M81" s="96"/>
      <c r="N81" s="96"/>
    </row>
    <row r="82" spans="1:14" x14ac:dyDescent="0.25">
      <c r="A82" s="127" t="s">
        <v>158</v>
      </c>
      <c r="B82" s="128" t="s">
        <v>159</v>
      </c>
      <c r="C82" s="129">
        <v>0.35</v>
      </c>
      <c r="D82" s="129" t="s">
        <v>160</v>
      </c>
      <c r="E82" s="129">
        <v>1.3</v>
      </c>
      <c r="F82" s="130" t="s">
        <v>274</v>
      </c>
      <c r="G82" s="131">
        <v>0.55000000000000004</v>
      </c>
      <c r="H82" s="129" t="s">
        <v>153</v>
      </c>
      <c r="I82" s="132">
        <v>0.43</v>
      </c>
      <c r="J82" s="96"/>
      <c r="K82" s="96"/>
      <c r="L82" s="96"/>
      <c r="M82" s="96"/>
      <c r="N82" s="96"/>
    </row>
    <row r="83" spans="1:14" x14ac:dyDescent="0.25">
      <c r="A83" s="127" t="s">
        <v>156</v>
      </c>
      <c r="B83" s="128" t="s">
        <v>157</v>
      </c>
      <c r="C83" s="129">
        <v>0.34</v>
      </c>
      <c r="D83" s="129" t="s">
        <v>161</v>
      </c>
      <c r="E83" s="129">
        <v>1.3</v>
      </c>
      <c r="F83" s="130" t="s">
        <v>274</v>
      </c>
      <c r="G83" s="131">
        <v>0.55000000000000004</v>
      </c>
      <c r="H83" s="129" t="s">
        <v>153</v>
      </c>
      <c r="I83" s="132">
        <v>0.43</v>
      </c>
      <c r="J83" s="96"/>
      <c r="K83" s="96"/>
      <c r="L83" s="96"/>
      <c r="M83" s="96"/>
      <c r="N83" s="96"/>
    </row>
    <row r="84" spans="1:14" x14ac:dyDescent="0.25">
      <c r="A84" s="127" t="s">
        <v>92</v>
      </c>
      <c r="B84" s="128" t="s">
        <v>93</v>
      </c>
      <c r="C84" s="129">
        <v>0.31</v>
      </c>
      <c r="D84" s="129" t="s">
        <v>161</v>
      </c>
      <c r="E84" s="129">
        <v>1.3</v>
      </c>
      <c r="F84" s="130" t="s">
        <v>274</v>
      </c>
      <c r="G84" s="131">
        <v>0.55000000000000004</v>
      </c>
      <c r="H84" s="129" t="s">
        <v>153</v>
      </c>
      <c r="I84" s="132">
        <v>0.43</v>
      </c>
      <c r="J84" s="96"/>
      <c r="K84" s="96"/>
      <c r="L84" s="96"/>
      <c r="M84" s="96"/>
      <c r="N84" s="96"/>
    </row>
    <row r="85" spans="1:14" x14ac:dyDescent="0.25">
      <c r="A85" s="127" t="s">
        <v>50</v>
      </c>
      <c r="B85" s="128" t="s">
        <v>143</v>
      </c>
      <c r="C85" s="129">
        <v>0.43</v>
      </c>
      <c r="D85" s="129" t="s">
        <v>161</v>
      </c>
      <c r="E85" s="129">
        <v>1.56</v>
      </c>
      <c r="F85" s="130" t="s">
        <v>274</v>
      </c>
      <c r="G85" s="131">
        <v>0.53</v>
      </c>
      <c r="H85" s="129" t="s">
        <v>275</v>
      </c>
      <c r="I85" s="132">
        <v>0.25</v>
      </c>
      <c r="J85" s="96"/>
      <c r="K85" s="96"/>
      <c r="L85" s="96"/>
      <c r="M85" s="96"/>
      <c r="N85" s="96"/>
    </row>
    <row r="86" spans="1:14" x14ac:dyDescent="0.25">
      <c r="A86" s="127" t="s">
        <v>51</v>
      </c>
      <c r="B86" s="128" t="s">
        <v>91</v>
      </c>
      <c r="C86" s="129">
        <v>0.38</v>
      </c>
      <c r="D86" s="129" t="s">
        <v>161</v>
      </c>
      <c r="E86" s="129">
        <v>1.56</v>
      </c>
      <c r="F86" s="130" t="s">
        <v>274</v>
      </c>
      <c r="G86" s="131">
        <v>0.6</v>
      </c>
      <c r="H86" s="129" t="s">
        <v>279</v>
      </c>
      <c r="I86" s="132">
        <v>0.25</v>
      </c>
      <c r="J86" s="96"/>
      <c r="K86" s="96"/>
      <c r="L86" s="96"/>
      <c r="M86" s="96"/>
      <c r="N86" s="96"/>
    </row>
    <row r="87" spans="1:14" x14ac:dyDescent="0.25">
      <c r="A87" s="281" t="s">
        <v>321</v>
      </c>
      <c r="B87" s="282" t="s">
        <v>322</v>
      </c>
      <c r="C87" s="283">
        <v>0.41</v>
      </c>
      <c r="D87" s="283" t="s">
        <v>323</v>
      </c>
      <c r="E87" s="283">
        <v>1.56</v>
      </c>
      <c r="F87" s="284" t="s">
        <v>274</v>
      </c>
      <c r="G87" s="285">
        <v>0.43</v>
      </c>
      <c r="H87" s="283" t="s">
        <v>278</v>
      </c>
      <c r="I87" s="286">
        <v>0.25</v>
      </c>
      <c r="J87" s="96"/>
      <c r="K87" s="96"/>
      <c r="L87" s="96"/>
      <c r="M87" s="96"/>
      <c r="N87" s="96"/>
    </row>
    <row r="88" spans="1:14" x14ac:dyDescent="0.25">
      <c r="A88" s="127" t="s">
        <v>148</v>
      </c>
      <c r="B88" s="135"/>
      <c r="C88" s="129">
        <v>0.42</v>
      </c>
      <c r="D88" s="129" t="s">
        <v>161</v>
      </c>
      <c r="E88" s="129">
        <v>1.3</v>
      </c>
      <c r="F88" s="130" t="s">
        <v>274</v>
      </c>
      <c r="G88" s="136"/>
      <c r="H88" s="135"/>
      <c r="I88" s="137"/>
    </row>
    <row r="89" spans="1:14" ht="15.75" thickBot="1" x14ac:dyDescent="0.3">
      <c r="A89" s="138" t="s">
        <v>149</v>
      </c>
      <c r="B89" s="139"/>
      <c r="C89" s="140">
        <v>0.56999999999999995</v>
      </c>
      <c r="D89" s="141" t="s">
        <v>161</v>
      </c>
      <c r="E89" s="140">
        <v>1.56</v>
      </c>
      <c r="F89" s="140" t="s">
        <v>274</v>
      </c>
      <c r="G89" s="139"/>
      <c r="H89" s="139"/>
      <c r="I89" s="142"/>
    </row>
    <row r="93" spans="1:14" x14ac:dyDescent="0.25">
      <c r="A93" s="127" t="s">
        <v>208</v>
      </c>
    </row>
    <row r="94" spans="1:14" x14ac:dyDescent="0.25">
      <c r="A94" s="127" t="s">
        <v>209</v>
      </c>
    </row>
    <row r="95" spans="1:14" x14ac:dyDescent="0.25">
      <c r="A95" s="127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topLeftCell="B1" zoomScale="90" zoomScaleNormal="90" workbookViewId="0">
      <selection activeCell="N19" sqref="N19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3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68"/>
      <c r="J1" s="68"/>
      <c r="K1" s="68"/>
      <c r="L1" s="68"/>
      <c r="M1" s="68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3" t="s">
        <v>271</v>
      </c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5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27"/>
      <c r="J3" s="227"/>
      <c r="K3" s="227"/>
      <c r="L3" s="227"/>
      <c r="M3" s="227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27"/>
      <c r="J4" s="227"/>
      <c r="K4" s="227"/>
      <c r="L4" s="227"/>
      <c r="M4" s="227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3" t="s">
        <v>207</v>
      </c>
      <c r="B5" s="144" t="s">
        <v>250</v>
      </c>
      <c r="C5" s="145" t="str">
        <f>Calculateur!S2</f>
        <v>ΔStock moyen de long terme (tCO₂/ha)</v>
      </c>
      <c r="D5" s="145" t="str">
        <f>Calculateur!T2</f>
        <v>Δstock CO₂ 30 ans (tCO₂/ha)</v>
      </c>
      <c r="E5" s="145" t="s">
        <v>228</v>
      </c>
      <c r="F5" s="145" t="s">
        <v>239</v>
      </c>
      <c r="G5" s="145" t="s">
        <v>240</v>
      </c>
      <c r="H5" s="146" t="s">
        <v>241</v>
      </c>
      <c r="I5" s="147" t="s">
        <v>242</v>
      </c>
      <c r="J5" s="148" t="s">
        <v>243</v>
      </c>
      <c r="K5" s="149" t="s">
        <v>244</v>
      </c>
      <c r="L5" s="87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0" t="str">
        <f>IF('Données projet'!$B$9="","",'Données projet'!$B$9)</f>
        <v>Chêne pubescent</v>
      </c>
      <c r="B6" s="151">
        <f>'Données projet'!D9</f>
        <v>2.2000000000000002</v>
      </c>
      <c r="C6" s="152">
        <f ca="1">IF(OR('Données projet'!B9="",'Données projet'!C9="",'Données projet'!C9=0%),0,Calculateur!S3)</f>
        <v>503.64055031157477</v>
      </c>
      <c r="D6" s="152">
        <f>IF(OR('Données projet'!B9="",'Données projet'!C9="",'Données projet'!C9=0%),0,Calculateur!T3)</f>
        <v>266.76572540460842</v>
      </c>
      <c r="E6" s="152">
        <f ca="1">MIN(C6,D6)</f>
        <v>266.76572540460842</v>
      </c>
      <c r="F6" s="152">
        <f ca="1">E6*B6</f>
        <v>586.8845958901386</v>
      </c>
      <c r="G6" s="152">
        <f ca="1">F6*(100%-'Données projet'!$C$24)*(100%-'Données projet'!$C$25)*(100%-'Données projet'!$C$26)*(100%-'Données projet'!$C$27)</f>
        <v>475.37652267101225</v>
      </c>
      <c r="H6" s="153">
        <f>IF(OR('Données projet'!B9="",'Données projet'!C9="",'Données projet'!C9=0%),0,AVERAGE(Calculateur!$AC$3:$AC$33)*B6)</f>
        <v>0</v>
      </c>
      <c r="I6" s="154">
        <f>H6*(100%-'Données projet'!$C$24)*(100%-'Données projet'!$C$25)*(100%-'Données projet'!$C$26)*(100%-'Données projet'!$C$27)</f>
        <v>0</v>
      </c>
      <c r="J6" s="155">
        <f>IF(OR('Données projet'!B9="",'Données projet'!C9="",'Données projet'!C9=0%),0,SUM(Calculateur!$V$3:$V$33)*VLOOKUP('Données projet'!$B$9,Paramètres!$A$1:$I$89,9,0)*B6)</f>
        <v>4.4000000000000004</v>
      </c>
      <c r="K6" s="156">
        <f>J6*(100%-'Données projet'!$C$24)*(100%-'Données projet'!$C$25)*(100%-'Données projet'!$C$26)*(100%-'Données projet'!$C$27)</f>
        <v>3.5640000000000005</v>
      </c>
      <c r="L6" s="157">
        <f ca="1">G6+I6+K6</f>
        <v>478.94052267101227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58" t="str">
        <f>IF('Données projet'!$B$10="","",'Données projet'!$B$10)</f>
        <v>Chêne sessile</v>
      </c>
      <c r="B7" s="159">
        <f>'Données projet'!D10</f>
        <v>0.82499999999999996</v>
      </c>
      <c r="C7" s="152">
        <f ca="1">IF(OR('Données projet'!B10="",'Données projet'!C10="",'Données projet'!C10=0%),0,Calculateur!AN3)</f>
        <v>456.86058467343139</v>
      </c>
      <c r="D7" s="152">
        <f>IF(OR('Données projet'!B10="",'Données projet'!C10="",'Données projet'!C10=0%),0,Calculateur!AO3)</f>
        <v>243.88495931574937</v>
      </c>
      <c r="E7" s="152">
        <f t="shared" ref="E7:E15" ca="1" si="0">MIN(C7,D7)</f>
        <v>243.88495931574937</v>
      </c>
      <c r="F7" s="152">
        <f t="shared" ref="F7:F15" ca="1" si="1">E7*B7</f>
        <v>201.20509143549322</v>
      </c>
      <c r="G7" s="152">
        <f ca="1">F7*(100%-'Données projet'!$C$24)*(100%-'Données projet'!$C$25)*(100%-'Données projet'!$C$26)*(100%-'Données projet'!$C$27)</f>
        <v>162.97612406274951</v>
      </c>
      <c r="H7" s="160">
        <f>IF(OR('Données projet'!B10="",'Données projet'!C10="",'Données projet'!C10=0%),0,AVERAGE(Calculateur!$AX$3:$AX$33)*B7)</f>
        <v>0</v>
      </c>
      <c r="I7" s="154">
        <f>H7*(100%-'Données projet'!$C$24)*(100%-'Données projet'!$C$25)*(100%-'Données projet'!$C$26)*(100%-'Données projet'!$C$27)</f>
        <v>0</v>
      </c>
      <c r="J7" s="155">
        <f>IF(OR('Données projet'!B10="",'Données projet'!C10="",'Données projet'!C10=0%),0,SUM(Calculateur!$AQ$3:$AQ$33)*VLOOKUP('Données projet'!$B$10,Paramètres!$A$1:$I$89,9,0)*B7)</f>
        <v>1.65</v>
      </c>
      <c r="K7" s="156">
        <f>J7*(100%-'Données projet'!$C$24)*(100%-'Données projet'!$C$25)*(100%-'Données projet'!$C$26)*(100%-'Données projet'!$C$27)</f>
        <v>1.3365</v>
      </c>
      <c r="L7" s="157">
        <f t="shared" ref="L7:L15" ca="1" si="2">G7+I7+K7</f>
        <v>164.31262406274951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58" t="str">
        <f>IF('Données projet'!$B$11="","",'Données projet'!$B$11)</f>
        <v>Chêne chevelu</v>
      </c>
      <c r="B8" s="159">
        <f>'Données projet'!D11</f>
        <v>0.55000000000000004</v>
      </c>
      <c r="C8" s="152">
        <f ca="1">IF(OR('Données projet'!B11="",'Données projet'!C11="",'Données projet'!C11=0%),0,Calculateur!BI3)</f>
        <v>518.47226207416952</v>
      </c>
      <c r="D8" s="152">
        <f>IF(OR('Données projet'!B11="",'Données projet'!C11="",'Données projet'!C11=0%),0,Calculateur!BJ3)</f>
        <v>314.6379787306804</v>
      </c>
      <c r="E8" s="152">
        <f t="shared" ca="1" si="0"/>
        <v>314.6379787306804</v>
      </c>
      <c r="F8" s="152">
        <f t="shared" ca="1" si="1"/>
        <v>173.05088830187424</v>
      </c>
      <c r="G8" s="152">
        <f ca="1">F8*(100%-'Données projet'!$C$24)*(100%-'Données projet'!$C$25)*(100%-'Données projet'!$C$26)*(100%-'Données projet'!$C$27)</f>
        <v>140.17121952451814</v>
      </c>
      <c r="H8" s="160">
        <f>IF(OR('Données projet'!B11="",'Données projet'!C11="",'Données projet'!C11=0%),0,AVERAGE(Calculateur!$BS$3:$BS$33)*B8)</f>
        <v>0</v>
      </c>
      <c r="I8" s="154">
        <f>H8*(100%-'Données projet'!$C$24)*(100%-'Données projet'!$C$25)*(100%-'Données projet'!$C$26)*(100%-'Données projet'!$C$27)</f>
        <v>0</v>
      </c>
      <c r="J8" s="155">
        <f>IF(OR('Données projet'!B11="",'Données projet'!C11="",'Données projet'!C11=0%),0,SUM(Calculateur!$BL$3:$BL$33)*VLOOKUP('Données projet'!$B$11,Paramètres!$A$1:$I$89,9,0)*B8)</f>
        <v>3.8782051282051286</v>
      </c>
      <c r="K8" s="156">
        <f>J8*(100%-'Données projet'!$C$24)*(100%-'Données projet'!$C$25)*(100%-'Données projet'!$C$26)*(100%-'Données projet'!$C$27)</f>
        <v>3.1413461538461545</v>
      </c>
      <c r="L8" s="157">
        <f t="shared" ca="1" si="2"/>
        <v>143.31256567836428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58" t="str">
        <f>IF('Données projet'!$B$12="","",'Données projet'!$B$12)</f>
        <v>Cormier</v>
      </c>
      <c r="B9" s="159">
        <f>'Données projet'!D12</f>
        <v>0.55000000000000004</v>
      </c>
      <c r="C9" s="152">
        <f ca="1">IF(OR('Données projet'!B12="",'Données projet'!C12="",'Données projet'!C12=0%),0,Calculateur!CD3)</f>
        <v>530.32456073177104</v>
      </c>
      <c r="D9" s="152">
        <f>IF(OR('Données projet'!B12="",'Données projet'!C12="",'Données projet'!C12=0%),0,Calculateur!CE3)</f>
        <v>279.81519428470625</v>
      </c>
      <c r="E9" s="152">
        <f t="shared" ca="1" si="0"/>
        <v>279.81519428470625</v>
      </c>
      <c r="F9" s="152">
        <f t="shared" ca="1" si="1"/>
        <v>153.89835685658846</v>
      </c>
      <c r="G9" s="152">
        <f ca="1">F9*(100%-'Données projet'!$C$24)*(100%-'Données projet'!$C$25)*(100%-'Données projet'!$C$26)*(100%-'Données projet'!$C$27)</f>
        <v>124.65766905383666</v>
      </c>
      <c r="H9" s="160">
        <f>IF(OR('Données projet'!B12="",'Données projet'!C12="",'Données projet'!C12=0%),0,AVERAGE(Calculateur!$CN$3:$CN$33)*B9)</f>
        <v>0</v>
      </c>
      <c r="I9" s="154">
        <f>H9*(100%-'Données projet'!$C$24)*(100%-'Données projet'!$C$25)*(100%-'Données projet'!$C$26)*(100%-'Données projet'!$C$27)</f>
        <v>0</v>
      </c>
      <c r="J9" s="155">
        <f>IF(OR('Données projet'!B12="",'Données projet'!C12="",'Données projet'!C12=0%),0,SUM(Calculateur!$CG$3:$CG$33)*VLOOKUP('Données projet'!$B$12,Paramètres!$A$1:$I$89,9,0)*B9)</f>
        <v>1.1000000000000001</v>
      </c>
      <c r="K9" s="156">
        <f>J9*(100%-'Données projet'!$C$24)*(100%-'Données projet'!$C$25)*(100%-'Données projet'!$C$26)*(100%-'Données projet'!$C$27)</f>
        <v>0.89100000000000013</v>
      </c>
      <c r="L9" s="157">
        <f t="shared" ca="1" si="2"/>
        <v>125.54866905383666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58" t="str">
        <f>IF('Données projet'!$B$13="","",'Données projet'!$B$13)</f>
        <v>Erable champêtre</v>
      </c>
      <c r="B10" s="159">
        <f>'Données projet'!D13</f>
        <v>0.55000000000000004</v>
      </c>
      <c r="C10" s="152">
        <f ca="1">IF(OR('Données projet'!B13="",'Données projet'!C13="",'Données projet'!C13=0%),0,Calculateur!CY3)</f>
        <v>355.03862261578701</v>
      </c>
      <c r="D10" s="152">
        <f>IF(OR('Données projet'!B13="",'Données projet'!C13="",'Données projet'!C13=0%),0,Calculateur!CZ3)</f>
        <v>382.84441399266029</v>
      </c>
      <c r="E10" s="152">
        <f t="shared" ca="1" si="0"/>
        <v>355.03862261578701</v>
      </c>
      <c r="F10" s="152">
        <f t="shared" ca="1" si="1"/>
        <v>195.27124243868286</v>
      </c>
      <c r="G10" s="152">
        <f ca="1">F10*(100%-'Données projet'!$C$24)*(100%-'Données projet'!$C$25)*(100%-'Données projet'!$C$26)*(100%-'Données projet'!$C$27)</f>
        <v>158.16970637533313</v>
      </c>
      <c r="H10" s="160">
        <f>IF(OR('Données projet'!B13="",'Données projet'!C13="",'Données projet'!C13=0%),0,AVERAGE(Calculateur!$DI$3:$DI$33)*B10)</f>
        <v>0</v>
      </c>
      <c r="I10" s="154">
        <f>H10*(100%-'Données projet'!$C$24)*(100%-'Données projet'!$C$25)*(100%-'Données projet'!$C$26)*(100%-'Données projet'!$C$27)</f>
        <v>0</v>
      </c>
      <c r="J10" s="155">
        <f>IF(OR('Données projet'!B13="",'Données projet'!C13="",'Données projet'!C13=0%),0,SUM(Calculateur!$DB$3:$DB$33)*VLOOKUP('Données projet'!$B$13,Paramètres!$A$1:$I$89,9,0)*B10)</f>
        <v>13.626250000000001</v>
      </c>
      <c r="K10" s="156">
        <f>J10*(100%-'Données projet'!$C$24)*(100%-'Données projet'!$C$25)*(100%-'Données projet'!$C$26)*(100%-'Données projet'!$C$27)</f>
        <v>11.037262500000001</v>
      </c>
      <c r="L10" s="157">
        <f t="shared" ca="1" si="2"/>
        <v>169.20696887533313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58" t="str">
        <f>IF('Données projet'!$B$14="","",'Données projet'!$B$14)</f>
        <v>Merisier</v>
      </c>
      <c r="B11" s="159">
        <f>'Données projet'!D14</f>
        <v>0.27500000000000002</v>
      </c>
      <c r="C11" s="152">
        <f ca="1">IF(OR('Données projet'!B14="",'Données projet'!C14="",'Données projet'!C14=0%),0,Calculateur!DT3)</f>
        <v>305.68891030516761</v>
      </c>
      <c r="D11" s="152">
        <f>IF(OR('Données projet'!B14="",'Données projet'!C14="",'Données projet'!C14=0%),0,Calculateur!DU3)</f>
        <v>296.00275062228275</v>
      </c>
      <c r="E11" s="152">
        <f t="shared" ca="1" si="0"/>
        <v>296.00275062228275</v>
      </c>
      <c r="F11" s="152">
        <f t="shared" ca="1" si="1"/>
        <v>81.400756421127767</v>
      </c>
      <c r="G11" s="152">
        <f ca="1">F11*(100%-'Données projet'!$C$24)*(100%-'Données projet'!$C$25)*(100%-'Données projet'!$C$26)*(100%-'Données projet'!$C$27)</f>
        <v>65.934612701113494</v>
      </c>
      <c r="H11" s="160">
        <f>IF(OR('Données projet'!B14="",'Données projet'!C14="",'Données projet'!C14=0%),0,AVERAGE(Calculateur!$ED$3:$ED$33)*B11)</f>
        <v>0</v>
      </c>
      <c r="I11" s="154">
        <f>H11*(100%-'Données projet'!$C$24)*(100%-'Données projet'!$C$25)*(100%-'Données projet'!$C$26)*(100%-'Données projet'!$C$27)</f>
        <v>0</v>
      </c>
      <c r="J11" s="155">
        <f>IF(OR('Données projet'!B14="",'Données projet'!C14="",'Données projet'!C14=0%),0,SUM(Calculateur!$DW$3:$DW$33)*VLOOKUP('Données projet'!$B$14,Paramètres!$A$1:$I$89,9,0)*B11)</f>
        <v>3.7812500000000004</v>
      </c>
      <c r="K11" s="156">
        <f>J11*(100%-'Données projet'!$C$24)*(100%-'Données projet'!$C$25)*(100%-'Données projet'!$C$26)*(100%-'Données projet'!$C$27)</f>
        <v>3.0628125000000006</v>
      </c>
      <c r="L11" s="157">
        <f t="shared" ca="1" si="2"/>
        <v>68.997425201113501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58" t="str">
        <f>IF('Données projet'!$B$15="","",'Données projet'!$B$15)</f>
        <v>Alisier torminal</v>
      </c>
      <c r="B12" s="159">
        <f>'Données projet'!D15</f>
        <v>0.27500000000000002</v>
      </c>
      <c r="C12" s="152">
        <f ca="1">IF(OR('Données projet'!B15="",'Données projet'!C15="",'Données projet'!C15=0%),0,Calculateur!EO3)</f>
        <v>483.60545605360528</v>
      </c>
      <c r="D12" s="152">
        <f>IF(OR('Données projet'!B15="",'Données projet'!C15="",'Données projet'!C15=0%),0,Calculateur!EP3)</f>
        <v>256.96685577560345</v>
      </c>
      <c r="E12" s="152">
        <f t="shared" ca="1" si="0"/>
        <v>256.96685577560345</v>
      </c>
      <c r="F12" s="152">
        <f t="shared" ca="1" si="1"/>
        <v>70.665885338290948</v>
      </c>
      <c r="G12" s="152">
        <f ca="1">F12*(100%-'Données projet'!$C$24)*(100%-'Données projet'!$C$25)*(100%-'Données projet'!$C$26)*(100%-'Données projet'!$C$27)</f>
        <v>57.239367124015672</v>
      </c>
      <c r="H12" s="160">
        <f>IF(OR('Données projet'!B15="",'Données projet'!C15="",'Données projet'!C15=0%),0,AVERAGE(Calculateur!$EY$3:$EY$33)*B12)</f>
        <v>0</v>
      </c>
      <c r="I12" s="154">
        <f>H12*(100%-'Données projet'!$C$24)*(100%-'Données projet'!$C$25)*(100%-'Données projet'!$C$26)*(100%-'Données projet'!$C$27)</f>
        <v>0</v>
      </c>
      <c r="J12" s="155">
        <f>IF(OR('Données projet'!B15="",'Données projet'!C15="",'Données projet'!C15=0%),0,SUM(Calculateur!$ER$3:$ER$33)*VLOOKUP('Données projet'!$B$15,Paramètres!$A$1:$I$89,9,0)*B12)</f>
        <v>0.55000000000000004</v>
      </c>
      <c r="K12" s="156">
        <f>J12*(100%-'Données projet'!$C$24)*(100%-'Données projet'!$C$25)*(100%-'Données projet'!$C$26)*(100%-'Données projet'!$C$27)</f>
        <v>0.44550000000000006</v>
      </c>
      <c r="L12" s="157">
        <f t="shared" ca="1" si="2"/>
        <v>57.684867124015675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58" t="str">
        <f>IF('Données projet'!$B$16="","",'Données projet'!$B$16)</f>
        <v/>
      </c>
      <c r="B13" s="159">
        <f>'Données projet'!D16</f>
        <v>0</v>
      </c>
      <c r="C13" s="152">
        <f>IF(OR('Données projet'!B16="",'Données projet'!C16="",'Données projet'!C16=0%),0,Calculateur!FJ3)</f>
        <v>0</v>
      </c>
      <c r="D13" s="152">
        <f>IF(OR('Données projet'!B16="",'Données projet'!C16="",'Données projet'!C16=0%),0,Calculateur!FK3)</f>
        <v>0</v>
      </c>
      <c r="E13" s="152">
        <f t="shared" si="0"/>
        <v>0</v>
      </c>
      <c r="F13" s="152">
        <f t="shared" si="1"/>
        <v>0</v>
      </c>
      <c r="G13" s="152">
        <f>F13*(100%-'Données projet'!$C$24)*(100%-'Données projet'!$C$25)*(100%-'Données projet'!$C$26)*(100%-'Données projet'!$C$27)</f>
        <v>0</v>
      </c>
      <c r="H13" s="160">
        <f>IF(OR('Données projet'!B16="",'Données projet'!C16="",'Données projet'!C16=0%),0,AVERAGE(Calculateur!$FT$3:$FT$33)*B13)</f>
        <v>0</v>
      </c>
      <c r="I13" s="154">
        <f>H13*(100%-'Données projet'!$C$24)*(100%-'Données projet'!$C$25)*(100%-'Données projet'!$C$26)*(100%-'Données projet'!$C$27)</f>
        <v>0</v>
      </c>
      <c r="J13" s="155">
        <f>IF(OR('Données projet'!C16="",'Données projet'!C16=0%),0,SUM(Calculateur!$FM$3:$FM$33)*VLOOKUP('Données projet'!$B$16,Paramètres!$A$1:$I$89,9,0)*B13)</f>
        <v>0</v>
      </c>
      <c r="K13" s="156">
        <f>J13*(100%-'Données projet'!$C$24)*(100%-'Données projet'!$C$25)*(100%-'Données projet'!$C$26)*(100%-'Données projet'!$C$27)</f>
        <v>0</v>
      </c>
      <c r="L13" s="157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58" t="str">
        <f>IF('Données projet'!$B$17="","",'Données projet'!$B$17)</f>
        <v/>
      </c>
      <c r="B14" s="159">
        <f>'Données projet'!D17</f>
        <v>0</v>
      </c>
      <c r="C14" s="152">
        <f>IF(OR('Données projet'!B17="",'Données projet'!C17="",'Données projet'!C17=0%),0,Calculateur!GE3)</f>
        <v>0</v>
      </c>
      <c r="D14" s="152">
        <f>IF(OR('Données projet'!B17="",'Données projet'!C17="",'Données projet'!C17=0%),0,Calculateur!GF3)</f>
        <v>0</v>
      </c>
      <c r="E14" s="152">
        <f t="shared" si="0"/>
        <v>0</v>
      </c>
      <c r="F14" s="152">
        <f t="shared" si="1"/>
        <v>0</v>
      </c>
      <c r="G14" s="152">
        <f>F14*(100%-'Données projet'!$C$24)*(100%-'Données projet'!$C$25)*(100%-'Données projet'!$C$26)*(100%-'Données projet'!$C$27)</f>
        <v>0</v>
      </c>
      <c r="H14" s="160">
        <f>IF(OR('Données projet'!B17="",'Données projet'!C17="",'Données projet'!C17=0%),0,AVERAGE(Calculateur!$GO$3:$GO$33)*B14)</f>
        <v>0</v>
      </c>
      <c r="I14" s="154">
        <f>H14*(100%-'Données projet'!$C$24)*(100%-'Données projet'!$C$25)*(100%-'Données projet'!$C$26)*(100%-'Données projet'!$C$27)</f>
        <v>0</v>
      </c>
      <c r="J14" s="155">
        <f>IF(OR('Données projet'!B17="",'Données projet'!C17="",'Données projet'!C17=0%),0,SUM(Calculateur!$GH$3:$GH$33)*VLOOKUP('Données projet'!$B$17,Paramètres!$A$1:$I$89,9,0)*B14)</f>
        <v>0</v>
      </c>
      <c r="K14" s="156">
        <f>J14*(100%-'Données projet'!$C$24)*(100%-'Données projet'!$C$25)*(100%-'Données projet'!$C$26)*(100%-'Données projet'!$C$27)</f>
        <v>0</v>
      </c>
      <c r="L14" s="157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1" t="str">
        <f>IF('Données projet'!B18="","",'Données projet'!B18)</f>
        <v/>
      </c>
      <c r="B15" s="162">
        <f>'Données projet'!D18</f>
        <v>0</v>
      </c>
      <c r="C15" s="163">
        <f>IF(OR('Données projet'!B18="",'Données projet'!C18="",'Données projet'!C18=0%),0,Calculateur!GZ3)</f>
        <v>0</v>
      </c>
      <c r="D15" s="163">
        <f>IF(OR('Données projet'!B18="",'Données projet'!C18="",'Données projet'!C18=0%),0,Calculateur!HA3)</f>
        <v>0</v>
      </c>
      <c r="E15" s="163">
        <f t="shared" si="0"/>
        <v>0</v>
      </c>
      <c r="F15" s="164">
        <f t="shared" si="1"/>
        <v>0</v>
      </c>
      <c r="G15" s="164">
        <f>F15*(100%-'Données projet'!$C$24)*(100%-'Données projet'!$C$25)*(100%-'Données projet'!$C$26)*(100%-'Données projet'!$C$27)</f>
        <v>0</v>
      </c>
      <c r="H15" s="165">
        <f>IF(OR('Données projet'!B18="",'Données projet'!C18="",'Données projet'!C18=0%),0,AVERAGE(Calculateur!$HJ$3:$HJ$33)*B15)</f>
        <v>0</v>
      </c>
      <c r="I15" s="166">
        <f>H15*(100%-'Données projet'!$C$24)*(100%-'Données projet'!$C$25)*(100%-'Données projet'!$C$26)*(100%-'Données projet'!$C$27)</f>
        <v>0</v>
      </c>
      <c r="J15" s="167">
        <f>IF(OR('Données projet'!B18="",'Données projet'!C18="",'Données projet'!C18=0%),0,SUM(Calculateur!$HC$3:$HC$33)*VLOOKUP('Données projet'!$B$18,Paramètres!$A$1:$I$89,9,0)*B15)</f>
        <v>0</v>
      </c>
      <c r="K15" s="168">
        <f>J15*(100%-'Données projet'!$C$24)*(100%-'Données projet'!$C$25)*(100%-'Données projet'!$C$26)*(100%-'Données projet'!$C$27)</f>
        <v>0</v>
      </c>
      <c r="L15" s="169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2"/>
      <c r="B16" s="229"/>
      <c r="C16" s="230"/>
      <c r="D16" s="25"/>
      <c r="E16" s="25"/>
      <c r="F16" s="170">
        <f t="shared" ref="F16:L16" ca="1" si="3">SUM(F6:F15)</f>
        <v>1462.376816682196</v>
      </c>
      <c r="G16" s="171">
        <f t="shared" ca="1" si="3"/>
        <v>1184.5252215125788</v>
      </c>
      <c r="H16" s="172">
        <f t="shared" si="3"/>
        <v>0</v>
      </c>
      <c r="I16" s="172">
        <f t="shared" si="3"/>
        <v>0</v>
      </c>
      <c r="J16" s="173">
        <f t="shared" si="3"/>
        <v>28.985705128205129</v>
      </c>
      <c r="K16" s="173">
        <f t="shared" si="3"/>
        <v>23.478421153846153</v>
      </c>
      <c r="L16" s="174">
        <f t="shared" ca="1" si="3"/>
        <v>1208.0036426664249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2"/>
      <c r="B17" s="229"/>
      <c r="C17" s="230"/>
      <c r="D17" s="227"/>
      <c r="E17" s="227"/>
      <c r="F17" s="315" t="s">
        <v>246</v>
      </c>
      <c r="G17" s="316"/>
      <c r="H17" s="316"/>
      <c r="I17" s="316"/>
      <c r="J17" s="316"/>
      <c r="K17" s="316"/>
      <c r="L17" s="316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2"/>
      <c r="B18" s="229"/>
      <c r="C18" s="230"/>
      <c r="D18" s="227"/>
      <c r="E18" s="227"/>
      <c r="F18" s="317"/>
      <c r="G18" s="317"/>
      <c r="H18" s="317"/>
      <c r="I18" s="317"/>
      <c r="J18" s="317"/>
      <c r="K18" s="317"/>
      <c r="L18" s="317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27"/>
      <c r="J19" s="227"/>
      <c r="K19" s="227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27"/>
      <c r="J20" s="227"/>
      <c r="K20" s="227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5" t="str">
        <f>A6</f>
        <v>Chêne pubescent</v>
      </c>
      <c r="B21" s="5"/>
      <c r="C21" s="5"/>
      <c r="D21" s="5"/>
      <c r="E21" s="5"/>
      <c r="F21" s="5"/>
      <c r="G21" s="5"/>
      <c r="H21" s="5"/>
      <c r="I21" s="227"/>
      <c r="J21" s="227"/>
      <c r="K21" s="227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27"/>
      <c r="J22" s="227"/>
      <c r="K22" s="227"/>
      <c r="L22" s="227"/>
      <c r="M22" s="227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27"/>
      <c r="J23" s="227"/>
      <c r="K23" s="227"/>
      <c r="L23" s="227"/>
      <c r="M23" s="227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27"/>
      <c r="J24" s="227"/>
      <c r="K24" s="227"/>
      <c r="L24" s="227"/>
      <c r="M24" s="227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27"/>
      <c r="J25" s="227"/>
      <c r="K25" s="227"/>
      <c r="L25" s="227"/>
      <c r="M25" s="227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27"/>
      <c r="J26" s="227"/>
      <c r="K26" s="227"/>
      <c r="L26" s="227"/>
      <c r="M26" s="227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27"/>
      <c r="J27" s="227"/>
      <c r="K27" s="227"/>
      <c r="L27" s="227"/>
      <c r="M27" s="227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27"/>
      <c r="J28" s="227"/>
      <c r="K28" s="227"/>
      <c r="L28" s="227"/>
      <c r="M28" s="227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27"/>
      <c r="J29" s="227"/>
      <c r="K29" s="227"/>
      <c r="L29" s="227"/>
      <c r="M29" s="227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27"/>
      <c r="J30" s="227"/>
      <c r="K30" s="227"/>
      <c r="L30" s="227"/>
      <c r="M30" s="227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27"/>
      <c r="J31" s="227"/>
      <c r="K31" s="227"/>
      <c r="L31" s="227"/>
      <c r="M31" s="227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27"/>
      <c r="J32" s="227"/>
      <c r="K32" s="227"/>
      <c r="L32" s="227"/>
      <c r="M32" s="227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27"/>
      <c r="J33" s="227"/>
      <c r="K33" s="227"/>
      <c r="L33" s="227"/>
      <c r="M33" s="227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27"/>
      <c r="J34" s="227"/>
      <c r="K34" s="227"/>
      <c r="L34" s="227"/>
      <c r="M34" s="227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27"/>
      <c r="J35" s="227"/>
      <c r="K35" s="227"/>
      <c r="L35" s="227"/>
      <c r="M35" s="227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27"/>
      <c r="J36" s="227"/>
      <c r="K36" s="227"/>
      <c r="L36" s="227"/>
      <c r="M36" s="227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27"/>
      <c r="J37" s="227"/>
      <c r="K37" s="227"/>
      <c r="L37" s="227"/>
      <c r="M37" s="227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27"/>
      <c r="J38" s="227"/>
      <c r="K38" s="227"/>
      <c r="L38" s="227"/>
      <c r="M38" s="227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5" t="str">
        <f>A7</f>
        <v>Chêne sessile</v>
      </c>
      <c r="B39" s="5"/>
      <c r="C39" s="5"/>
      <c r="D39" s="5"/>
      <c r="E39" s="5"/>
      <c r="F39" s="5"/>
      <c r="G39" s="5"/>
      <c r="H39" s="5"/>
      <c r="I39" s="227"/>
      <c r="J39" s="227"/>
      <c r="K39" s="227"/>
      <c r="L39" s="227"/>
      <c r="M39" s="227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27"/>
      <c r="J40" s="227"/>
      <c r="K40" s="227"/>
      <c r="L40" s="227"/>
      <c r="M40" s="227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27"/>
      <c r="J41" s="227"/>
      <c r="K41" s="227"/>
      <c r="L41" s="227"/>
      <c r="M41" s="227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27"/>
      <c r="J42" s="227"/>
      <c r="K42" s="227"/>
      <c r="L42" s="227"/>
      <c r="M42" s="227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27"/>
      <c r="J43" s="227"/>
      <c r="K43" s="227"/>
      <c r="L43" s="227"/>
      <c r="M43" s="227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27"/>
      <c r="J44" s="227"/>
      <c r="K44" s="227"/>
      <c r="L44" s="227"/>
      <c r="M44" s="227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27"/>
      <c r="J45" s="227"/>
      <c r="K45" s="227"/>
      <c r="L45" s="227"/>
      <c r="M45" s="227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27"/>
      <c r="J46" s="227"/>
      <c r="K46" s="227"/>
      <c r="L46" s="227"/>
      <c r="M46" s="227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27"/>
      <c r="J47" s="227"/>
      <c r="K47" s="227"/>
      <c r="L47" s="227"/>
      <c r="M47" s="227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27"/>
      <c r="J48" s="227"/>
      <c r="K48" s="227"/>
      <c r="L48" s="227"/>
      <c r="M48" s="227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27"/>
      <c r="J49" s="227"/>
      <c r="K49" s="227"/>
      <c r="L49" s="227"/>
      <c r="M49" s="227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27"/>
      <c r="J50" s="227"/>
      <c r="K50" s="227"/>
      <c r="L50" s="227"/>
      <c r="M50" s="227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27"/>
      <c r="J51" s="227"/>
      <c r="K51" s="227"/>
      <c r="L51" s="227"/>
      <c r="M51" s="227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27"/>
      <c r="J52" s="227"/>
      <c r="K52" s="227"/>
      <c r="L52" s="227"/>
      <c r="M52" s="227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27"/>
      <c r="J53" s="227"/>
      <c r="K53" s="227"/>
      <c r="L53" s="227"/>
      <c r="M53" s="227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27"/>
      <c r="J54" s="227"/>
      <c r="K54" s="227"/>
      <c r="L54" s="227"/>
      <c r="M54" s="227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27"/>
      <c r="J55" s="227"/>
      <c r="K55" s="227"/>
      <c r="L55" s="227"/>
      <c r="M55" s="227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27"/>
      <c r="J56" s="227"/>
      <c r="K56" s="227"/>
      <c r="L56" s="227"/>
      <c r="M56" s="227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5" t="str">
        <f>A8</f>
        <v>Chêne chevelu</v>
      </c>
      <c r="B57" s="5"/>
      <c r="C57" s="5"/>
      <c r="D57" s="5"/>
      <c r="E57" s="5"/>
      <c r="F57" s="5"/>
      <c r="G57" s="5"/>
      <c r="H57" s="5"/>
      <c r="I57" s="227"/>
      <c r="J57" s="227"/>
      <c r="K57" s="227"/>
      <c r="L57" s="227"/>
      <c r="M57" s="227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27"/>
      <c r="J58" s="227"/>
      <c r="K58" s="227"/>
      <c r="L58" s="227"/>
      <c r="M58" s="227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27"/>
      <c r="J59" s="227"/>
      <c r="K59" s="227"/>
      <c r="L59" s="227"/>
      <c r="M59" s="227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27"/>
      <c r="J60" s="227"/>
      <c r="K60" s="227"/>
      <c r="L60" s="227"/>
      <c r="M60" s="227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27"/>
      <c r="J61" s="227"/>
      <c r="K61" s="227"/>
      <c r="L61" s="227"/>
      <c r="M61" s="227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27"/>
      <c r="J62" s="227"/>
      <c r="K62" s="227"/>
      <c r="L62" s="227"/>
      <c r="M62" s="227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27"/>
      <c r="J63" s="227"/>
      <c r="K63" s="227"/>
      <c r="L63" s="227"/>
      <c r="M63" s="227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27"/>
      <c r="J64" s="227"/>
      <c r="K64" s="227"/>
      <c r="L64" s="227"/>
      <c r="M64" s="227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27"/>
      <c r="J65" s="227"/>
      <c r="K65" s="227"/>
      <c r="L65" s="227"/>
      <c r="M65" s="227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27"/>
      <c r="J66" s="227"/>
      <c r="K66" s="227"/>
      <c r="L66" s="227"/>
      <c r="M66" s="227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27"/>
      <c r="J67" s="227"/>
      <c r="K67" s="227"/>
      <c r="L67" s="227"/>
      <c r="M67" s="227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27"/>
      <c r="J68" s="227"/>
      <c r="K68" s="227"/>
      <c r="L68" s="227"/>
      <c r="M68" s="227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27"/>
      <c r="J69" s="227"/>
      <c r="K69" s="227"/>
      <c r="L69" s="227"/>
      <c r="M69" s="227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27"/>
      <c r="J70" s="227"/>
      <c r="K70" s="227"/>
      <c r="L70" s="227"/>
      <c r="M70" s="227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27"/>
      <c r="J71" s="227"/>
      <c r="K71" s="227"/>
      <c r="L71" s="227"/>
      <c r="M71" s="227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27"/>
      <c r="J72" s="227"/>
      <c r="K72" s="227"/>
      <c r="L72" s="227"/>
      <c r="M72" s="227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27"/>
      <c r="J73" s="227"/>
      <c r="K73" s="227"/>
      <c r="L73" s="227"/>
      <c r="M73" s="227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27"/>
      <c r="J74" s="227"/>
      <c r="K74" s="227"/>
      <c r="L74" s="227"/>
      <c r="M74" s="227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27"/>
      <c r="J75" s="227"/>
      <c r="K75" s="227"/>
      <c r="L75" s="227"/>
      <c r="M75" s="227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5" t="str">
        <f>A9</f>
        <v>Cormier</v>
      </c>
      <c r="B76" s="5"/>
      <c r="C76" s="5"/>
      <c r="D76" s="5"/>
      <c r="E76" s="5"/>
      <c r="F76" s="5"/>
      <c r="G76" s="5"/>
      <c r="H76" s="5"/>
      <c r="I76" s="227"/>
      <c r="J76" s="227"/>
      <c r="K76" s="227"/>
      <c r="L76" s="227"/>
      <c r="M76" s="227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27"/>
      <c r="J77" s="227"/>
      <c r="K77" s="227"/>
      <c r="L77" s="227"/>
      <c r="M77" s="227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27"/>
      <c r="J78" s="227"/>
      <c r="K78" s="227"/>
      <c r="L78" s="227"/>
      <c r="M78" s="227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27"/>
      <c r="J79" s="227"/>
      <c r="K79" s="227"/>
      <c r="L79" s="227"/>
      <c r="M79" s="227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27"/>
      <c r="J80" s="227"/>
      <c r="K80" s="227"/>
      <c r="L80" s="227"/>
      <c r="M80" s="227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27"/>
      <c r="J81" s="227"/>
      <c r="K81" s="227"/>
      <c r="L81" s="227"/>
      <c r="M81" s="227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27"/>
      <c r="J82" s="227"/>
      <c r="K82" s="227"/>
      <c r="L82" s="227"/>
      <c r="M82" s="227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27"/>
      <c r="J83" s="227"/>
      <c r="K83" s="227"/>
      <c r="L83" s="227"/>
      <c r="M83" s="227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27"/>
      <c r="J84" s="227"/>
      <c r="K84" s="227"/>
      <c r="L84" s="227"/>
      <c r="M84" s="227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27"/>
      <c r="J85" s="227"/>
      <c r="K85" s="227"/>
      <c r="L85" s="227"/>
      <c r="M85" s="227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27"/>
      <c r="J86" s="227"/>
      <c r="K86" s="227"/>
      <c r="L86" s="227"/>
      <c r="M86" s="227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27"/>
      <c r="J87" s="227"/>
      <c r="K87" s="227"/>
      <c r="L87" s="227"/>
      <c r="M87" s="227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27"/>
      <c r="J88" s="227"/>
      <c r="K88" s="227"/>
      <c r="L88" s="227"/>
      <c r="M88" s="227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27"/>
      <c r="J89" s="227"/>
      <c r="K89" s="227"/>
      <c r="L89" s="227"/>
      <c r="M89" s="227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27"/>
      <c r="J90" s="227"/>
      <c r="K90" s="227"/>
      <c r="L90" s="227"/>
      <c r="M90" s="227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27"/>
      <c r="J91" s="227"/>
      <c r="K91" s="227"/>
      <c r="L91" s="227"/>
      <c r="M91" s="227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27"/>
      <c r="J92" s="227"/>
      <c r="K92" s="227"/>
      <c r="L92" s="227"/>
      <c r="M92" s="227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27"/>
      <c r="J93" s="227"/>
      <c r="K93" s="227"/>
      <c r="L93" s="227"/>
      <c r="M93" s="227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5" t="str">
        <f>A10</f>
        <v>Erable champêtre</v>
      </c>
      <c r="B94" s="5"/>
      <c r="C94" s="5"/>
      <c r="D94" s="5"/>
      <c r="E94" s="5"/>
      <c r="F94" s="5"/>
      <c r="G94" s="5"/>
      <c r="H94" s="5"/>
      <c r="I94" s="227"/>
      <c r="J94" s="227"/>
      <c r="K94" s="227"/>
      <c r="L94" s="227"/>
      <c r="M94" s="227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27"/>
      <c r="J95" s="227"/>
      <c r="K95" s="227"/>
      <c r="L95" s="227"/>
      <c r="M95" s="227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27"/>
      <c r="J96" s="227"/>
      <c r="K96" s="227"/>
      <c r="L96" s="227"/>
      <c r="M96" s="227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27"/>
      <c r="J97" s="227"/>
      <c r="K97" s="227"/>
      <c r="L97" s="227"/>
      <c r="M97" s="227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27"/>
      <c r="J98" s="227"/>
      <c r="K98" s="227"/>
      <c r="L98" s="227"/>
      <c r="M98" s="227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27"/>
      <c r="J99" s="227"/>
      <c r="K99" s="227"/>
      <c r="L99" s="227"/>
      <c r="M99" s="227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27"/>
      <c r="J100" s="227"/>
      <c r="K100" s="227"/>
      <c r="L100" s="227"/>
      <c r="M100" s="227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27"/>
      <c r="J101" s="227"/>
      <c r="K101" s="227"/>
      <c r="L101" s="227"/>
      <c r="M101" s="227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27"/>
      <c r="J102" s="227"/>
      <c r="K102" s="227"/>
      <c r="L102" s="227"/>
      <c r="M102" s="227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27"/>
      <c r="J103" s="227"/>
      <c r="K103" s="227"/>
      <c r="L103" s="227"/>
      <c r="M103" s="227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27"/>
      <c r="J104" s="227"/>
      <c r="K104" s="227"/>
      <c r="L104" s="227"/>
      <c r="M104" s="227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27"/>
      <c r="J105" s="227"/>
      <c r="K105" s="227"/>
      <c r="L105" s="227"/>
      <c r="M105" s="227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27"/>
      <c r="J106" s="227"/>
      <c r="K106" s="227"/>
      <c r="L106" s="227"/>
      <c r="M106" s="227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27"/>
      <c r="J107" s="227"/>
      <c r="K107" s="227"/>
      <c r="L107" s="227"/>
      <c r="M107" s="227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27"/>
      <c r="J108" s="227"/>
      <c r="K108" s="227"/>
      <c r="L108" s="227"/>
      <c r="M108" s="227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27"/>
      <c r="J109" s="227"/>
      <c r="K109" s="227"/>
      <c r="L109" s="227"/>
      <c r="M109" s="227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27"/>
      <c r="J110" s="227"/>
      <c r="K110" s="227"/>
      <c r="L110" s="227"/>
      <c r="M110" s="227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27"/>
      <c r="J111" s="227"/>
      <c r="K111" s="227"/>
      <c r="L111" s="227"/>
      <c r="M111" s="227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5" t="str">
        <f>A11</f>
        <v>Merisier</v>
      </c>
      <c r="B112" s="5"/>
      <c r="C112" s="5"/>
      <c r="D112" s="5"/>
      <c r="E112" s="5"/>
      <c r="F112" s="5"/>
      <c r="G112" s="5"/>
      <c r="H112" s="5"/>
      <c r="I112" s="227"/>
      <c r="J112" s="227"/>
      <c r="K112" s="227"/>
      <c r="L112" s="227"/>
      <c r="M112" s="227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27"/>
      <c r="J113" s="227"/>
      <c r="K113" s="227"/>
      <c r="L113" s="227"/>
      <c r="M113" s="227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27"/>
      <c r="J114" s="227"/>
      <c r="K114" s="227"/>
      <c r="L114" s="227"/>
      <c r="M114" s="227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27"/>
      <c r="J115" s="227"/>
      <c r="K115" s="227"/>
      <c r="L115" s="227"/>
      <c r="M115" s="227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27"/>
      <c r="J116" s="227"/>
      <c r="K116" s="227"/>
      <c r="L116" s="227"/>
      <c r="M116" s="227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27"/>
      <c r="J117" s="227"/>
      <c r="K117" s="227"/>
      <c r="L117" s="227"/>
      <c r="M117" s="227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27"/>
      <c r="J118" s="227"/>
      <c r="K118" s="227"/>
      <c r="L118" s="227"/>
      <c r="M118" s="227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27"/>
      <c r="J119" s="227"/>
      <c r="K119" s="227"/>
      <c r="L119" s="227"/>
      <c r="M119" s="227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27"/>
      <c r="J120" s="227"/>
      <c r="K120" s="227"/>
      <c r="L120" s="227"/>
      <c r="M120" s="227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27"/>
      <c r="J121" s="227"/>
      <c r="K121" s="227"/>
      <c r="L121" s="227"/>
      <c r="M121" s="227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27"/>
      <c r="J122" s="227"/>
      <c r="K122" s="227"/>
      <c r="L122" s="227"/>
      <c r="M122" s="227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27"/>
      <c r="J123" s="227"/>
      <c r="K123" s="227"/>
      <c r="L123" s="227"/>
      <c r="M123" s="227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27"/>
      <c r="J124" s="227"/>
      <c r="K124" s="227"/>
      <c r="L124" s="227"/>
      <c r="M124" s="227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27"/>
      <c r="J125" s="227"/>
      <c r="K125" s="227"/>
      <c r="L125" s="227"/>
      <c r="M125" s="227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27"/>
      <c r="J126" s="227"/>
      <c r="K126" s="227"/>
      <c r="L126" s="227"/>
      <c r="M126" s="227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27"/>
      <c r="J127" s="227"/>
      <c r="K127" s="227"/>
      <c r="L127" s="227"/>
      <c r="M127" s="227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27"/>
      <c r="J128" s="227"/>
      <c r="K128" s="227"/>
      <c r="L128" s="227"/>
      <c r="M128" s="227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27"/>
      <c r="J129" s="227"/>
      <c r="K129" s="227"/>
      <c r="L129" s="227"/>
      <c r="M129" s="227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5" t="str">
        <f>A12</f>
        <v>Alisier torminal</v>
      </c>
      <c r="B130" s="5"/>
      <c r="C130" s="5"/>
      <c r="D130" s="5"/>
      <c r="E130" s="5"/>
      <c r="F130" s="5"/>
      <c r="G130" s="5"/>
      <c r="H130" s="5"/>
      <c r="I130" s="227"/>
      <c r="J130" s="227"/>
      <c r="K130" s="227"/>
      <c r="L130" s="227"/>
      <c r="M130" s="227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27"/>
      <c r="J131" s="227"/>
      <c r="K131" s="227"/>
      <c r="L131" s="227"/>
      <c r="M131" s="227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27"/>
      <c r="J132" s="227"/>
      <c r="K132" s="227"/>
      <c r="L132" s="227"/>
      <c r="M132" s="227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27"/>
      <c r="J133" s="227"/>
      <c r="K133" s="227"/>
      <c r="L133" s="227"/>
      <c r="M133" s="227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27"/>
      <c r="J134" s="227"/>
      <c r="K134" s="227"/>
      <c r="L134" s="227"/>
      <c r="M134" s="227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27"/>
      <c r="J135" s="227"/>
      <c r="K135" s="227"/>
      <c r="L135" s="227"/>
      <c r="M135" s="227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27"/>
      <c r="J136" s="227"/>
      <c r="K136" s="227"/>
      <c r="L136" s="227"/>
      <c r="M136" s="227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27"/>
      <c r="J137" s="227"/>
      <c r="K137" s="227"/>
      <c r="L137" s="227"/>
      <c r="M137" s="227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27"/>
      <c r="J138" s="227"/>
      <c r="K138" s="227"/>
      <c r="L138" s="227"/>
      <c r="M138" s="227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27"/>
      <c r="J139" s="227"/>
      <c r="K139" s="227"/>
      <c r="L139" s="227"/>
      <c r="M139" s="227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27"/>
      <c r="J140" s="227"/>
      <c r="K140" s="227"/>
      <c r="L140" s="227"/>
      <c r="M140" s="227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27"/>
      <c r="J141" s="227"/>
      <c r="K141" s="227"/>
      <c r="L141" s="227"/>
      <c r="M141" s="227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27"/>
      <c r="J142" s="227"/>
      <c r="K142" s="227"/>
      <c r="L142" s="227"/>
      <c r="M142" s="227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27"/>
      <c r="J143" s="227"/>
      <c r="K143" s="227"/>
      <c r="L143" s="227"/>
      <c r="M143" s="227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27"/>
      <c r="J144" s="227"/>
      <c r="K144" s="227"/>
      <c r="L144" s="227"/>
      <c r="M144" s="227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27"/>
      <c r="J145" s="227"/>
      <c r="K145" s="227"/>
      <c r="L145" s="227"/>
      <c r="M145" s="227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27"/>
      <c r="J146" s="227"/>
      <c r="K146" s="227"/>
      <c r="L146" s="227"/>
      <c r="M146" s="227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27"/>
      <c r="J147" s="227"/>
      <c r="K147" s="227"/>
      <c r="L147" s="227"/>
      <c r="M147" s="227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5" t="str">
        <f>A13</f>
        <v/>
      </c>
      <c r="B148" s="5"/>
      <c r="C148" s="5"/>
      <c r="D148" s="5"/>
      <c r="E148" s="5"/>
      <c r="F148" s="5"/>
      <c r="G148" s="5"/>
      <c r="H148" s="5"/>
      <c r="I148" s="227"/>
      <c r="J148" s="227"/>
      <c r="K148" s="227"/>
      <c r="L148" s="227"/>
      <c r="M148" s="227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27"/>
      <c r="J149" s="227"/>
      <c r="K149" s="227"/>
      <c r="L149" s="227"/>
      <c r="M149" s="227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27"/>
      <c r="J150" s="227"/>
      <c r="K150" s="227"/>
      <c r="L150" s="227"/>
      <c r="M150" s="227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27"/>
      <c r="J151" s="227"/>
      <c r="K151" s="227"/>
      <c r="L151" s="227"/>
      <c r="M151" s="227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27"/>
      <c r="J152" s="227"/>
      <c r="K152" s="227"/>
      <c r="L152" s="227"/>
      <c r="M152" s="227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27"/>
      <c r="J153" s="227"/>
      <c r="K153" s="227"/>
      <c r="L153" s="227"/>
      <c r="M153" s="227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27"/>
      <c r="J154" s="227"/>
      <c r="K154" s="227"/>
      <c r="L154" s="227"/>
      <c r="M154" s="227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27"/>
      <c r="J155" s="227"/>
      <c r="K155" s="227"/>
      <c r="L155" s="227"/>
      <c r="M155" s="227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27"/>
      <c r="J156" s="227"/>
      <c r="K156" s="227"/>
      <c r="L156" s="227"/>
      <c r="M156" s="227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27"/>
      <c r="J157" s="227"/>
      <c r="K157" s="227"/>
      <c r="L157" s="227"/>
      <c r="M157" s="227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27"/>
      <c r="J158" s="227"/>
      <c r="K158" s="227"/>
      <c r="L158" s="227"/>
      <c r="M158" s="227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27"/>
      <c r="J159" s="227"/>
      <c r="K159" s="227"/>
      <c r="L159" s="227"/>
      <c r="M159" s="227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27"/>
      <c r="J160" s="227"/>
      <c r="K160" s="227"/>
      <c r="L160" s="227"/>
      <c r="M160" s="227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27"/>
      <c r="J161" s="227"/>
      <c r="K161" s="227"/>
      <c r="L161" s="227"/>
      <c r="M161" s="227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27"/>
      <c r="J162" s="227"/>
      <c r="K162" s="227"/>
      <c r="L162" s="227"/>
      <c r="M162" s="227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27"/>
      <c r="J163" s="227"/>
      <c r="K163" s="227"/>
      <c r="L163" s="227"/>
      <c r="M163" s="227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27"/>
      <c r="J164" s="227"/>
      <c r="K164" s="227"/>
      <c r="L164" s="227"/>
      <c r="M164" s="227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27"/>
      <c r="J165" s="227"/>
      <c r="K165" s="227"/>
      <c r="L165" s="227"/>
      <c r="M165" s="227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5" t="str">
        <f>A14</f>
        <v/>
      </c>
      <c r="B166" s="5"/>
      <c r="C166" s="5"/>
      <c r="D166" s="5"/>
      <c r="E166" s="5"/>
      <c r="F166" s="5"/>
      <c r="G166" s="5"/>
      <c r="H166" s="5"/>
      <c r="I166" s="227"/>
      <c r="J166" s="227"/>
      <c r="K166" s="227"/>
      <c r="L166" s="227"/>
      <c r="M166" s="227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27"/>
      <c r="J167" s="227"/>
      <c r="K167" s="227"/>
      <c r="L167" s="227"/>
      <c r="M167" s="227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27"/>
      <c r="J168" s="227"/>
      <c r="K168" s="227"/>
      <c r="L168" s="227"/>
      <c r="M168" s="227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27"/>
      <c r="J169" s="227"/>
      <c r="K169" s="227"/>
      <c r="L169" s="227"/>
      <c r="M169" s="227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27"/>
      <c r="J170" s="227"/>
      <c r="K170" s="227"/>
      <c r="L170" s="227"/>
      <c r="M170" s="227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27"/>
      <c r="J171" s="227"/>
      <c r="K171" s="227"/>
      <c r="L171" s="227"/>
      <c r="M171" s="227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27"/>
      <c r="J172" s="227"/>
      <c r="K172" s="227"/>
      <c r="L172" s="227"/>
      <c r="M172" s="227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27"/>
      <c r="J173" s="227"/>
      <c r="K173" s="227"/>
      <c r="L173" s="227"/>
      <c r="M173" s="227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27"/>
      <c r="J174" s="227"/>
      <c r="K174" s="227"/>
      <c r="L174" s="227"/>
      <c r="M174" s="227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27"/>
      <c r="J175" s="227"/>
      <c r="K175" s="227"/>
      <c r="L175" s="227"/>
      <c r="M175" s="227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27"/>
      <c r="J176" s="227"/>
      <c r="K176" s="227"/>
      <c r="L176" s="227"/>
      <c r="M176" s="227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27"/>
      <c r="J177" s="227"/>
      <c r="K177" s="227"/>
      <c r="L177" s="227"/>
      <c r="M177" s="227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27"/>
      <c r="J178" s="227"/>
      <c r="K178" s="227"/>
      <c r="L178" s="227"/>
      <c r="M178" s="227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27"/>
      <c r="J179" s="227"/>
      <c r="K179" s="227"/>
      <c r="L179" s="227"/>
      <c r="M179" s="227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27"/>
      <c r="J180" s="227"/>
      <c r="K180" s="227"/>
      <c r="L180" s="227"/>
      <c r="M180" s="227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27"/>
      <c r="J181" s="227"/>
      <c r="K181" s="227"/>
      <c r="L181" s="227"/>
      <c r="M181" s="227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27"/>
      <c r="J182" s="227"/>
      <c r="K182" s="227"/>
      <c r="L182" s="227"/>
      <c r="M182" s="227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27"/>
      <c r="J183" s="227"/>
      <c r="K183" s="227"/>
      <c r="L183" s="227"/>
      <c r="M183" s="227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5" t="str">
        <f>A15</f>
        <v/>
      </c>
      <c r="B184" s="5"/>
      <c r="C184" s="5"/>
      <c r="D184" s="5"/>
      <c r="E184" s="5"/>
      <c r="F184" s="5"/>
      <c r="G184" s="5"/>
      <c r="H184" s="5"/>
      <c r="I184" s="227"/>
      <c r="J184" s="227"/>
      <c r="K184" s="227"/>
      <c r="L184" s="227"/>
      <c r="M184" s="227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27"/>
      <c r="J185" s="227"/>
      <c r="K185" s="227"/>
      <c r="L185" s="227"/>
      <c r="M185" s="227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27"/>
      <c r="J186" s="227"/>
      <c r="K186" s="227"/>
      <c r="L186" s="227"/>
      <c r="M186" s="227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27"/>
      <c r="J187" s="227"/>
      <c r="K187" s="227"/>
      <c r="L187" s="227"/>
      <c r="M187" s="227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27"/>
      <c r="J188" s="227"/>
      <c r="K188" s="227"/>
      <c r="L188" s="227"/>
      <c r="M188" s="227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27"/>
      <c r="J189" s="227"/>
      <c r="K189" s="227"/>
      <c r="L189" s="227"/>
      <c r="M189" s="227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27"/>
      <c r="J190" s="227"/>
      <c r="K190" s="227"/>
      <c r="L190" s="227"/>
      <c r="M190" s="227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27"/>
      <c r="J191" s="227"/>
      <c r="K191" s="227"/>
      <c r="L191" s="227"/>
      <c r="M191" s="227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27"/>
      <c r="J192" s="227"/>
      <c r="K192" s="227"/>
      <c r="L192" s="227"/>
      <c r="M192" s="227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27"/>
      <c r="J193" s="227"/>
      <c r="K193" s="227"/>
      <c r="L193" s="227"/>
      <c r="M193" s="227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27"/>
      <c r="J194" s="227"/>
      <c r="K194" s="227"/>
      <c r="L194" s="227"/>
      <c r="M194" s="227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27"/>
      <c r="J195" s="227"/>
      <c r="K195" s="227"/>
      <c r="L195" s="227"/>
      <c r="M195" s="227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27"/>
      <c r="J196" s="227"/>
      <c r="K196" s="227"/>
      <c r="L196" s="227"/>
      <c r="M196" s="227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27"/>
      <c r="J197" s="227"/>
      <c r="K197" s="227"/>
      <c r="L197" s="227"/>
      <c r="M197" s="227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27"/>
      <c r="J198" s="227"/>
      <c r="K198" s="227"/>
      <c r="L198" s="227"/>
      <c r="M198" s="227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27"/>
      <c r="J199" s="227"/>
      <c r="K199" s="227"/>
      <c r="L199" s="227"/>
      <c r="M199" s="227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27"/>
      <c r="J200" s="227"/>
      <c r="K200" s="227"/>
      <c r="L200" s="227"/>
      <c r="M200" s="227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27"/>
      <c r="J201" s="227"/>
      <c r="K201" s="227"/>
      <c r="L201" s="227"/>
      <c r="M201" s="227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27"/>
      <c r="J202" s="227"/>
      <c r="K202" s="227"/>
      <c r="L202" s="227"/>
      <c r="M202" s="227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68"/>
      <c r="J203" s="68"/>
      <c r="K203" s="68"/>
      <c r="L203" s="68"/>
      <c r="M203" s="227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68"/>
      <c r="J204" s="68"/>
      <c r="K204" s="68"/>
      <c r="L204" s="68"/>
      <c r="M204" s="68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68"/>
      <c r="J205" s="68"/>
      <c r="K205" s="68"/>
      <c r="L205" s="68"/>
      <c r="M205" s="68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68"/>
      <c r="J206" s="68"/>
      <c r="K206" s="68"/>
      <c r="L206" s="68"/>
      <c r="M206" s="68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68"/>
      <c r="J207" s="68"/>
      <c r="K207" s="68"/>
      <c r="L207" s="68"/>
      <c r="M207" s="68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68"/>
      <c r="J208" s="68"/>
      <c r="K208" s="68"/>
      <c r="L208" s="68"/>
      <c r="M208" s="68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68"/>
      <c r="J209" s="68"/>
      <c r="K209" s="68"/>
      <c r="L209" s="68"/>
      <c r="M209" s="68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68"/>
      <c r="J210" s="68"/>
      <c r="K210" s="68"/>
      <c r="L210" s="68"/>
      <c r="M210" s="68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68"/>
      <c r="J211" s="68"/>
      <c r="K211" s="68"/>
      <c r="L211" s="68"/>
      <c r="M211" s="68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68"/>
      <c r="J212" s="68"/>
      <c r="K212" s="68"/>
      <c r="L212" s="68"/>
      <c r="M212" s="68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68"/>
      <c r="J213" s="68"/>
      <c r="K213" s="68"/>
      <c r="L213" s="68"/>
      <c r="M213" s="68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68"/>
      <c r="J214" s="68"/>
      <c r="K214" s="68"/>
      <c r="L214" s="68"/>
      <c r="M214" s="68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68"/>
      <c r="J215" s="68"/>
      <c r="K215" s="68"/>
      <c r="L215" s="68"/>
      <c r="M215" s="68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68"/>
      <c r="J216" s="68"/>
      <c r="K216" s="68"/>
      <c r="L216" s="68"/>
      <c r="M216" s="68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68"/>
      <c r="J217" s="68"/>
      <c r="K217" s="68"/>
      <c r="L217" s="68"/>
      <c r="M217" s="68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68"/>
      <c r="J218" s="68"/>
      <c r="K218" s="68"/>
      <c r="L218" s="68"/>
      <c r="M218" s="68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68"/>
      <c r="J219" s="68"/>
      <c r="K219" s="68"/>
      <c r="L219" s="68"/>
      <c r="M219" s="68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68"/>
      <c r="J220" s="68"/>
      <c r="K220" s="68"/>
      <c r="L220" s="68"/>
      <c r="M220" s="68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68"/>
      <c r="J221" s="68"/>
      <c r="K221" s="68"/>
      <c r="L221" s="68"/>
      <c r="M221" s="68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68"/>
      <c r="J222" s="68"/>
      <c r="K222" s="68"/>
      <c r="L222" s="68"/>
      <c r="M222" s="68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68"/>
      <c r="J223" s="68"/>
      <c r="K223" s="68"/>
      <c r="L223" s="68"/>
      <c r="M223" s="68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68"/>
      <c r="J224" s="68"/>
      <c r="K224" s="68"/>
      <c r="L224" s="68"/>
      <c r="M224" s="68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68"/>
      <c r="J225" s="68"/>
      <c r="K225" s="68"/>
      <c r="L225" s="68"/>
      <c r="M225" s="68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68"/>
      <c r="J226" s="68"/>
      <c r="K226" s="68"/>
      <c r="L226" s="68"/>
      <c r="M226" s="68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68"/>
      <c r="J227" s="68"/>
      <c r="K227" s="68"/>
      <c r="L227" s="68"/>
      <c r="M227" s="68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68"/>
      <c r="J228" s="68"/>
      <c r="K228" s="68"/>
      <c r="L228" s="68"/>
      <c r="M228" s="68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68"/>
      <c r="J229" s="68"/>
      <c r="K229" s="68"/>
      <c r="L229" s="68"/>
      <c r="M229" s="68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68"/>
      <c r="J230" s="68"/>
      <c r="K230" s="68"/>
      <c r="L230" s="68"/>
      <c r="M230" s="68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68"/>
      <c r="J231" s="68"/>
      <c r="K231" s="68"/>
      <c r="L231" s="68"/>
      <c r="M231" s="68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68"/>
      <c r="J232" s="68"/>
      <c r="K232" s="68"/>
      <c r="L232" s="68"/>
      <c r="M232" s="68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68"/>
      <c r="J233" s="68"/>
      <c r="K233" s="68"/>
      <c r="L233" s="68"/>
      <c r="M233" s="68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68"/>
      <c r="J234" s="68"/>
      <c r="K234" s="68"/>
      <c r="L234" s="68"/>
      <c r="M234" s="68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68"/>
      <c r="J235" s="68"/>
      <c r="K235" s="68"/>
      <c r="L235" s="68"/>
      <c r="M235" s="68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68"/>
      <c r="J236" s="68"/>
      <c r="K236" s="68"/>
      <c r="L236" s="68"/>
      <c r="M236" s="68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68"/>
      <c r="J237" s="68"/>
      <c r="K237" s="68"/>
      <c r="L237" s="68"/>
      <c r="M237" s="68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68"/>
      <c r="J238" s="68"/>
      <c r="K238" s="68"/>
      <c r="L238" s="68"/>
      <c r="M238" s="68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68"/>
      <c r="J239" s="68"/>
      <c r="K239" s="68"/>
      <c r="L239" s="68"/>
      <c r="M239" s="68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68"/>
      <c r="J240" s="68"/>
      <c r="K240" s="68"/>
      <c r="L240" s="68"/>
      <c r="M240" s="68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68"/>
      <c r="J241" s="68"/>
      <c r="K241" s="68"/>
      <c r="L241" s="68"/>
      <c r="M241" s="68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68"/>
      <c r="J242" s="68"/>
      <c r="K242" s="68"/>
      <c r="L242" s="68"/>
      <c r="M242" s="68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68"/>
      <c r="J243" s="68"/>
      <c r="K243" s="68"/>
      <c r="L243" s="68"/>
      <c r="M243" s="68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68"/>
      <c r="J244" s="68"/>
      <c r="K244" s="68"/>
      <c r="L244" s="68"/>
      <c r="M244" s="68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68"/>
      <c r="J245" s="68"/>
      <c r="K245" s="68"/>
      <c r="L245" s="68"/>
      <c r="M245" s="68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68"/>
      <c r="J246" s="68"/>
      <c r="K246" s="68"/>
      <c r="L246" s="68"/>
      <c r="M246" s="68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68"/>
      <c r="J247" s="68"/>
      <c r="K247" s="68"/>
      <c r="L247" s="68"/>
      <c r="M247" s="68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68"/>
      <c r="J248" s="68"/>
      <c r="K248" s="68"/>
      <c r="L248" s="68"/>
      <c r="M248" s="68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68"/>
      <c r="J249" s="68"/>
      <c r="K249" s="68"/>
      <c r="L249" s="68"/>
      <c r="M249" s="68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68"/>
      <c r="J250" s="68"/>
      <c r="K250" s="68"/>
      <c r="L250" s="68"/>
      <c r="M250" s="68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68"/>
      <c r="J251" s="68"/>
      <c r="K251" s="68"/>
      <c r="L251" s="68"/>
      <c r="M251" s="68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68"/>
      <c r="J252" s="68"/>
      <c r="K252" s="68"/>
      <c r="L252" s="68"/>
      <c r="M252" s="68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68"/>
      <c r="J253" s="68"/>
      <c r="K253" s="68"/>
      <c r="L253" s="68"/>
      <c r="M253" s="68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68"/>
      <c r="J254" s="68"/>
      <c r="K254" s="68"/>
      <c r="L254" s="68"/>
      <c r="M254" s="68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68"/>
      <c r="J255" s="68"/>
      <c r="K255" s="68"/>
      <c r="L255" s="68"/>
      <c r="M255" s="68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68"/>
      <c r="J256" s="68"/>
      <c r="K256" s="68"/>
      <c r="L256" s="68"/>
      <c r="M256" s="68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68"/>
      <c r="J257" s="68"/>
      <c r="K257" s="68"/>
      <c r="L257" s="68"/>
      <c r="M257" s="68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68"/>
      <c r="J258" s="68"/>
      <c r="K258" s="68"/>
      <c r="L258" s="68"/>
      <c r="M258" s="68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68"/>
      <c r="J259" s="68"/>
      <c r="K259" s="68"/>
      <c r="L259" s="68"/>
      <c r="M259" s="68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68"/>
      <c r="J260" s="68"/>
      <c r="K260" s="68"/>
      <c r="L260" s="68"/>
      <c r="M260" s="68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68"/>
      <c r="J261" s="68"/>
      <c r="K261" s="68"/>
      <c r="L261" s="68"/>
      <c r="M261" s="68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68"/>
      <c r="J262" s="68"/>
      <c r="K262" s="68"/>
      <c r="L262" s="68"/>
      <c r="M262" s="68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68"/>
      <c r="J263" s="68"/>
      <c r="K263" s="68"/>
      <c r="L263" s="68"/>
      <c r="M263" s="68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68"/>
      <c r="J264" s="68"/>
      <c r="K264" s="68"/>
      <c r="L264" s="68"/>
      <c r="M264" s="68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68"/>
      <c r="J265" s="68"/>
      <c r="K265" s="68"/>
      <c r="L265" s="68"/>
      <c r="M265" s="68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68"/>
      <c r="J266" s="68"/>
      <c r="K266" s="68"/>
      <c r="L266" s="68"/>
      <c r="M266" s="68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68"/>
      <c r="J267" s="68"/>
      <c r="K267" s="68"/>
      <c r="L267" s="68"/>
      <c r="M267" s="68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68"/>
      <c r="J268" s="68"/>
      <c r="K268" s="68"/>
      <c r="L268" s="68"/>
      <c r="M268" s="68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68"/>
      <c r="J269" s="68"/>
      <c r="K269" s="68"/>
      <c r="L269" s="68"/>
      <c r="M269" s="68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68"/>
      <c r="J270" s="68"/>
      <c r="K270" s="68"/>
      <c r="L270" s="68"/>
      <c r="M270" s="68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68"/>
      <c r="J271" s="68"/>
      <c r="K271" s="68"/>
      <c r="L271" s="68"/>
      <c r="M271" s="68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68"/>
      <c r="J272" s="68"/>
      <c r="K272" s="68"/>
      <c r="L272" s="68"/>
      <c r="M272" s="68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68"/>
      <c r="J273" s="68"/>
      <c r="K273" s="68"/>
      <c r="L273" s="68"/>
      <c r="M273" s="68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68"/>
      <c r="J274" s="68"/>
      <c r="K274" s="68"/>
      <c r="L274" s="68"/>
      <c r="M274" s="68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68"/>
      <c r="J275" s="68"/>
      <c r="K275" s="68"/>
      <c r="L275" s="68"/>
      <c r="M275" s="68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68"/>
      <c r="J276" s="68"/>
      <c r="K276" s="68"/>
      <c r="L276" s="68"/>
      <c r="M276" s="68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68"/>
      <c r="J277" s="68"/>
      <c r="K277" s="68"/>
      <c r="L277" s="68"/>
      <c r="M277" s="68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68"/>
      <c r="J278" s="68"/>
      <c r="K278" s="68"/>
      <c r="L278" s="68"/>
      <c r="M278" s="68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68"/>
      <c r="J279" s="68"/>
      <c r="K279" s="68"/>
      <c r="L279" s="68"/>
      <c r="M279" s="68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68"/>
      <c r="J280" s="68"/>
      <c r="K280" s="68"/>
      <c r="L280" s="68"/>
      <c r="M280" s="68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68"/>
      <c r="J281" s="68"/>
      <c r="K281" s="68"/>
      <c r="L281" s="68"/>
      <c r="M281" s="68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68"/>
      <c r="J282" s="68"/>
      <c r="K282" s="68"/>
      <c r="L282" s="68"/>
      <c r="M282" s="68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68"/>
      <c r="J283" s="68"/>
      <c r="K283" s="68"/>
      <c r="L283" s="68"/>
      <c r="M283" s="68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68"/>
      <c r="J284" s="68"/>
      <c r="K284" s="68"/>
      <c r="L284" s="68"/>
      <c r="M284" s="68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68"/>
      <c r="J285" s="68"/>
      <c r="K285" s="68"/>
      <c r="L285" s="68"/>
      <c r="M285" s="68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68"/>
      <c r="J286" s="68"/>
      <c r="K286" s="68"/>
      <c r="L286" s="68"/>
      <c r="M286" s="68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68"/>
      <c r="J287" s="68"/>
      <c r="K287" s="68"/>
      <c r="L287" s="68"/>
      <c r="M287" s="68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68"/>
      <c r="J288" s="68"/>
      <c r="K288" s="68"/>
      <c r="L288" s="68"/>
      <c r="M288" s="68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68"/>
      <c r="J289" s="68"/>
      <c r="K289" s="68"/>
      <c r="L289" s="68"/>
      <c r="M289" s="68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68"/>
      <c r="J290" s="68"/>
      <c r="K290" s="68"/>
      <c r="L290" s="68"/>
      <c r="M290" s="68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68"/>
      <c r="J291" s="68"/>
      <c r="K291" s="68"/>
      <c r="L291" s="68"/>
      <c r="M291" s="68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68"/>
      <c r="J292" s="68"/>
      <c r="K292" s="68"/>
      <c r="L292" s="68"/>
      <c r="M292" s="68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68"/>
      <c r="J293" s="68"/>
      <c r="K293" s="68"/>
      <c r="L293" s="68"/>
      <c r="M293" s="68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68"/>
      <c r="J294" s="68"/>
      <c r="K294" s="68"/>
      <c r="L294" s="68"/>
      <c r="M294" s="68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68"/>
      <c r="J295" s="68"/>
      <c r="K295" s="68"/>
      <c r="L295" s="68"/>
      <c r="M295" s="68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68"/>
      <c r="J296" s="68"/>
      <c r="K296" s="68"/>
      <c r="L296" s="68"/>
      <c r="M296" s="68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68"/>
      <c r="J297" s="68"/>
      <c r="K297" s="68"/>
      <c r="L297" s="68"/>
      <c r="M297" s="68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68"/>
      <c r="J298" s="68"/>
      <c r="K298" s="68"/>
      <c r="L298" s="68"/>
      <c r="M298" s="68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68"/>
      <c r="J299" s="68"/>
      <c r="K299" s="68"/>
      <c r="L299" s="68"/>
      <c r="M299" s="68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68"/>
      <c r="J300" s="68"/>
      <c r="K300" s="68"/>
      <c r="L300" s="68"/>
      <c r="M300" s="68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68"/>
      <c r="J301" s="68"/>
      <c r="K301" s="68"/>
      <c r="L301" s="68"/>
      <c r="M301" s="68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68"/>
      <c r="J302" s="68"/>
      <c r="K302" s="68"/>
      <c r="L302" s="68"/>
      <c r="M302" s="68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68"/>
      <c r="J303" s="68"/>
      <c r="K303" s="68"/>
      <c r="L303" s="68"/>
      <c r="M303" s="68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68"/>
      <c r="J304" s="68"/>
      <c r="K304" s="68"/>
      <c r="L304" s="68"/>
      <c r="M304" s="68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68"/>
      <c r="J305" s="68"/>
      <c r="K305" s="68"/>
      <c r="L305" s="68"/>
      <c r="M305" s="68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68"/>
      <c r="J306" s="68"/>
      <c r="K306" s="68"/>
      <c r="L306" s="68"/>
      <c r="M306" s="68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68"/>
      <c r="J307" s="68"/>
      <c r="K307" s="68"/>
      <c r="L307" s="68"/>
      <c r="M307" s="68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68"/>
      <c r="J308" s="68"/>
      <c r="K308" s="68"/>
      <c r="L308" s="68"/>
      <c r="M308" s="68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68"/>
      <c r="J309" s="68"/>
      <c r="K309" s="68"/>
      <c r="L309" s="68"/>
      <c r="M309" s="68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68"/>
      <c r="J310" s="68"/>
      <c r="K310" s="68"/>
      <c r="L310" s="68"/>
      <c r="M310" s="68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68"/>
      <c r="J311" s="68"/>
      <c r="K311" s="68"/>
      <c r="L311" s="68"/>
      <c r="M311" s="68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68"/>
      <c r="J312" s="68"/>
      <c r="K312" s="68"/>
      <c r="L312" s="68"/>
      <c r="M312" s="68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68"/>
      <c r="J313" s="68"/>
      <c r="K313" s="68"/>
      <c r="L313" s="68"/>
      <c r="M313" s="68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68"/>
      <c r="J314" s="68"/>
      <c r="K314" s="68"/>
      <c r="L314" s="68"/>
      <c r="M314" s="68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68"/>
      <c r="J315" s="68"/>
      <c r="K315" s="68"/>
      <c r="L315" s="68"/>
      <c r="M315" s="68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68"/>
      <c r="J316" s="68"/>
      <c r="K316" s="68"/>
      <c r="L316" s="68"/>
      <c r="M316" s="68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68"/>
      <c r="J317" s="68"/>
      <c r="K317" s="68"/>
      <c r="L317" s="68"/>
      <c r="M317" s="68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68"/>
      <c r="J318" s="68"/>
      <c r="K318" s="68"/>
      <c r="L318" s="68"/>
      <c r="M318" s="68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68"/>
      <c r="J319" s="68"/>
      <c r="K319" s="68"/>
      <c r="L319" s="68"/>
      <c r="M319" s="68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68"/>
      <c r="J320" s="68"/>
      <c r="K320" s="68"/>
      <c r="L320" s="68"/>
      <c r="M320" s="68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68"/>
      <c r="J321" s="68"/>
      <c r="K321" s="68"/>
      <c r="L321" s="68"/>
      <c r="M321" s="68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68"/>
      <c r="J322" s="68"/>
      <c r="K322" s="68"/>
      <c r="L322" s="68"/>
      <c r="M322" s="68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68"/>
      <c r="J323" s="68"/>
      <c r="K323" s="68"/>
      <c r="L323" s="68"/>
      <c r="M323" s="68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68"/>
      <c r="J324" s="68"/>
      <c r="K324" s="68"/>
      <c r="L324" s="68"/>
      <c r="M324" s="68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68"/>
      <c r="J325" s="68"/>
      <c r="K325" s="68"/>
      <c r="L325" s="68"/>
      <c r="M325" s="68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68"/>
      <c r="J326" s="68"/>
      <c r="K326" s="68"/>
      <c r="L326" s="68"/>
      <c r="M326" s="68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68"/>
      <c r="J327" s="68"/>
      <c r="K327" s="68"/>
      <c r="L327" s="68"/>
      <c r="M327" s="68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68"/>
      <c r="J328" s="68"/>
      <c r="K328" s="68"/>
      <c r="L328" s="68"/>
      <c r="M328" s="68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68"/>
      <c r="J329" s="68"/>
      <c r="K329" s="68"/>
      <c r="L329" s="68"/>
      <c r="M329" s="68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68"/>
      <c r="J330" s="68"/>
      <c r="K330" s="68"/>
      <c r="L330" s="68"/>
      <c r="M330" s="68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68"/>
      <c r="J331" s="68"/>
      <c r="K331" s="68"/>
      <c r="L331" s="68"/>
      <c r="M331" s="68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68"/>
      <c r="J332" s="68"/>
      <c r="K332" s="68"/>
      <c r="L332" s="68"/>
      <c r="M332" s="68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68"/>
      <c r="J333" s="68"/>
      <c r="K333" s="68"/>
      <c r="L333" s="68"/>
      <c r="M333" s="68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68"/>
      <c r="J334" s="68"/>
      <c r="K334" s="68"/>
      <c r="L334" s="68"/>
      <c r="M334" s="68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68"/>
      <c r="J335" s="68"/>
      <c r="K335" s="68"/>
      <c r="L335" s="68"/>
      <c r="M335" s="68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68"/>
      <c r="J336" s="68"/>
      <c r="K336" s="68"/>
      <c r="L336" s="68"/>
      <c r="M336" s="68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68"/>
      <c r="J337" s="68"/>
      <c r="K337" s="68"/>
      <c r="L337" s="68"/>
      <c r="M337" s="68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68"/>
      <c r="J338" s="68"/>
      <c r="K338" s="68"/>
      <c r="L338" s="68"/>
      <c r="M338" s="68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68"/>
      <c r="J339" s="68"/>
      <c r="K339" s="68"/>
      <c r="L339" s="68"/>
      <c r="M339" s="68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68"/>
      <c r="J340" s="68"/>
      <c r="K340" s="68"/>
      <c r="L340" s="68"/>
      <c r="M340" s="68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68"/>
      <c r="J341" s="68"/>
      <c r="K341" s="68"/>
      <c r="L341" s="68"/>
      <c r="M341" s="68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68"/>
      <c r="J342" s="68"/>
      <c r="K342" s="68"/>
      <c r="L342" s="68"/>
      <c r="M342" s="68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68"/>
      <c r="J343" s="68"/>
      <c r="K343" s="68"/>
      <c r="L343" s="68"/>
      <c r="M343" s="68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68"/>
      <c r="J344" s="68"/>
      <c r="K344" s="68"/>
      <c r="L344" s="68"/>
      <c r="M344" s="68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68"/>
      <c r="J345" s="68"/>
      <c r="K345" s="68"/>
      <c r="L345" s="68"/>
      <c r="M345" s="68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68"/>
      <c r="J346" s="68"/>
      <c r="K346" s="68"/>
      <c r="L346" s="68"/>
      <c r="M346" s="68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68"/>
      <c r="J347" s="68"/>
      <c r="K347" s="68"/>
      <c r="L347" s="68"/>
      <c r="M347" s="68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68"/>
      <c r="J348" s="68"/>
      <c r="K348" s="68"/>
      <c r="L348" s="68"/>
      <c r="M348" s="68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68"/>
      <c r="J349" s="68"/>
      <c r="K349" s="68"/>
      <c r="L349" s="68"/>
      <c r="M349" s="68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68"/>
      <c r="J350" s="68"/>
      <c r="K350" s="68"/>
      <c r="L350" s="68"/>
      <c r="M350" s="68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68"/>
      <c r="J351" s="68"/>
      <c r="K351" s="68"/>
      <c r="L351" s="68"/>
      <c r="M351" s="68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68"/>
      <c r="J352" s="68"/>
      <c r="K352" s="68"/>
      <c r="L352" s="68"/>
      <c r="M352" s="68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68"/>
      <c r="J353" s="68"/>
      <c r="K353" s="68"/>
      <c r="L353" s="68"/>
      <c r="M353" s="68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68"/>
      <c r="J354" s="68"/>
      <c r="K354" s="68"/>
      <c r="L354" s="68"/>
      <c r="M354" s="68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68"/>
      <c r="J355" s="68"/>
      <c r="K355" s="68"/>
      <c r="L355" s="68"/>
      <c r="M355" s="68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68"/>
      <c r="J356" s="68"/>
      <c r="K356" s="68"/>
      <c r="L356" s="68"/>
      <c r="M356" s="68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R9" zoomScale="80" zoomScaleNormal="80" workbookViewId="0">
      <selection activeCell="I21" sqref="I2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68"/>
      <c r="G1" s="68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3" t="s">
        <v>272</v>
      </c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198" customFormat="1" x14ac:dyDescent="0.25">
      <c r="A3" s="95"/>
      <c r="B3" s="95"/>
      <c r="C3" s="95"/>
      <c r="D3" s="95"/>
      <c r="E3" s="95"/>
      <c r="F3" s="176"/>
      <c r="G3" s="176"/>
      <c r="H3" s="177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</row>
    <row r="4" spans="1:42" s="198" customFormat="1" x14ac:dyDescent="0.25">
      <c r="A4" s="95"/>
      <c r="B4" s="95"/>
      <c r="C4" s="95"/>
      <c r="D4" s="95"/>
      <c r="E4" s="95"/>
      <c r="G4" s="176"/>
      <c r="H4" s="335" t="s">
        <v>315</v>
      </c>
      <c r="I4" s="335"/>
      <c r="K4" s="332" t="s">
        <v>253</v>
      </c>
      <c r="L4" s="333"/>
      <c r="M4" s="264">
        <v>4.4999999999999998E-2</v>
      </c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</row>
    <row r="5" spans="1:42" s="198" customFormat="1" x14ac:dyDescent="0.25">
      <c r="A5" s="95"/>
      <c r="B5" s="95"/>
      <c r="C5" s="95"/>
      <c r="D5" s="95"/>
      <c r="E5" s="95"/>
      <c r="G5" s="176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</row>
    <row r="6" spans="1:42" s="198" customFormat="1" ht="15.75" thickBot="1" x14ac:dyDescent="0.3">
      <c r="A6" s="95"/>
      <c r="B6" s="95"/>
      <c r="C6" s="95"/>
      <c r="D6" s="95"/>
      <c r="E6" s="95"/>
      <c r="F6" s="225"/>
      <c r="G6" s="176"/>
      <c r="H6" s="178"/>
      <c r="I6" s="178"/>
      <c r="J6" s="178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</row>
    <row r="7" spans="1:42" s="198" customFormat="1" ht="27.75" customHeight="1" thickBot="1" x14ac:dyDescent="0.45">
      <c r="A7" s="271"/>
      <c r="B7" s="272"/>
      <c r="C7" s="272"/>
      <c r="D7" s="272"/>
      <c r="E7" s="273"/>
      <c r="F7" s="273" t="s">
        <v>192</v>
      </c>
      <c r="G7" s="274"/>
      <c r="H7" s="272"/>
      <c r="I7" s="272"/>
      <c r="J7" s="275"/>
      <c r="K7" s="269"/>
      <c r="L7" s="270"/>
      <c r="M7" s="270"/>
      <c r="N7" s="276" t="s">
        <v>191</v>
      </c>
      <c r="O7" s="276"/>
      <c r="P7" s="277"/>
      <c r="Q7" s="278"/>
      <c r="R7" s="324" t="s">
        <v>310</v>
      </c>
      <c r="S7" s="325"/>
      <c r="T7" s="325"/>
      <c r="U7" s="325"/>
      <c r="V7" s="326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</row>
    <row r="8" spans="1:42" x14ac:dyDescent="0.25">
      <c r="A8" s="25"/>
      <c r="C8" s="25"/>
      <c r="D8" s="25"/>
      <c r="E8" s="25"/>
      <c r="F8" s="217"/>
      <c r="G8" s="217"/>
      <c r="H8" s="5"/>
      <c r="I8" s="5"/>
      <c r="J8" s="210"/>
      <c r="K8" s="221"/>
      <c r="L8" s="25"/>
      <c r="M8" s="25"/>
      <c r="N8" s="25"/>
      <c r="O8" s="25"/>
      <c r="P8" s="25"/>
      <c r="Q8" s="261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56" t="s">
        <v>311</v>
      </c>
      <c r="C9" s="25"/>
      <c r="D9" s="25"/>
      <c r="E9" s="25"/>
      <c r="F9" s="257"/>
      <c r="G9" s="256" t="s">
        <v>314</v>
      </c>
      <c r="J9" s="210"/>
      <c r="K9" s="221"/>
      <c r="O9" s="25"/>
      <c r="P9" s="25"/>
      <c r="Q9" s="261"/>
      <c r="R9" s="25"/>
      <c r="S9" s="5"/>
      <c r="T9" s="181" t="s">
        <v>262</v>
      </c>
      <c r="U9" s="184" t="s">
        <v>249</v>
      </c>
      <c r="V9" s="181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56" t="s">
        <v>317</v>
      </c>
      <c r="C10" s="25"/>
      <c r="D10" s="25"/>
      <c r="E10" s="25"/>
      <c r="F10" s="257"/>
      <c r="G10" s="256" t="s">
        <v>316</v>
      </c>
      <c r="J10" s="210"/>
      <c r="K10" s="221"/>
      <c r="O10" s="25"/>
      <c r="P10" s="25"/>
      <c r="Q10" s="261"/>
      <c r="R10" s="25"/>
      <c r="S10" s="181" t="str">
        <f>B14</f>
        <v>Chêne pubescent</v>
      </c>
      <c r="T10" s="18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629.39940835643677</v>
      </c>
      <c r="U10" s="186">
        <f>'Données projet'!D9</f>
        <v>2.2000000000000002</v>
      </c>
      <c r="V10" s="185">
        <f>U10*T10</f>
        <v>1384.678698384161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56" t="s">
        <v>312</v>
      </c>
      <c r="B11" s="25"/>
      <c r="C11" s="25"/>
      <c r="D11" s="25"/>
      <c r="E11" s="25"/>
      <c r="F11" s="257"/>
      <c r="G11" s="256" t="s">
        <v>313</v>
      </c>
      <c r="J11" s="210"/>
      <c r="K11" s="221"/>
      <c r="M11" s="5"/>
      <c r="N11" s="5"/>
      <c r="O11" s="25"/>
      <c r="P11" s="25"/>
      <c r="Q11" s="261"/>
      <c r="R11" s="25"/>
      <c r="S11" s="181" t="str">
        <f>B45</f>
        <v>Chêne sessile</v>
      </c>
      <c r="T11" s="26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602.78096062220231</v>
      </c>
      <c r="U11" s="186">
        <f>'Données projet'!D10</f>
        <v>0.82499999999999996</v>
      </c>
      <c r="V11" s="185">
        <f t="shared" ref="V11" si="0">U11*T11</f>
        <v>497.29429251331686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57"/>
      <c r="G12" s="1"/>
      <c r="J12" s="210"/>
      <c r="K12" s="221"/>
      <c r="L12" s="213"/>
      <c r="M12" s="25"/>
      <c r="N12" s="25"/>
      <c r="O12" s="25"/>
      <c r="P12" s="25"/>
      <c r="Q12" s="261"/>
      <c r="R12" s="25"/>
      <c r="S12" s="181" t="str">
        <f>B76</f>
        <v>Chêne chevelu</v>
      </c>
      <c r="T12" s="26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86">
        <f>'Données projet'!D11</f>
        <v>0.55000000000000004</v>
      </c>
      <c r="V12" s="185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57"/>
      <c r="J13" s="25"/>
      <c r="K13" s="221"/>
      <c r="L13" s="180" t="s">
        <v>257</v>
      </c>
      <c r="M13" s="25"/>
      <c r="N13" s="25"/>
      <c r="O13" s="25"/>
      <c r="P13" s="25"/>
      <c r="Q13" s="261"/>
      <c r="R13" s="25"/>
      <c r="S13" s="181" t="str">
        <f>B107</f>
        <v>Cormier</v>
      </c>
      <c r="T13" s="26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629.39940835643677</v>
      </c>
      <c r="U13" s="186">
        <f>'Données projet'!D12</f>
        <v>0.55000000000000004</v>
      </c>
      <c r="V13" s="185">
        <f t="shared" si="1"/>
        <v>346.16967459604024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2" t="str">
        <f>IF('Données projet'!$B$9="","",'Données projet'!$B$9)</f>
        <v>Chêne pubescent</v>
      </c>
      <c r="C14" s="5"/>
      <c r="D14" s="5"/>
      <c r="E14" s="5"/>
      <c r="F14" s="257"/>
      <c r="G14" s="217"/>
      <c r="H14" s="181" t="s">
        <v>178</v>
      </c>
      <c r="I14" s="181" t="s">
        <v>290</v>
      </c>
      <c r="J14" s="211"/>
      <c r="K14" s="179"/>
      <c r="L14" s="213"/>
      <c r="M14" s="25"/>
      <c r="N14" s="25"/>
      <c r="O14" s="5"/>
      <c r="P14" s="5"/>
      <c r="Q14" s="262"/>
      <c r="R14" s="5"/>
      <c r="S14" s="181" t="str">
        <f>B138</f>
        <v>Erable champêtre</v>
      </c>
      <c r="T14" s="26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1070.3571993170176</v>
      </c>
      <c r="U14" s="186">
        <f>'Données projet'!D13</f>
        <v>0.55000000000000004</v>
      </c>
      <c r="V14" s="185">
        <f t="shared" si="1"/>
        <v>588.6964596243597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57"/>
      <c r="G15" s="336" t="s">
        <v>318</v>
      </c>
      <c r="H15" s="199">
        <v>0</v>
      </c>
      <c r="I15" s="200">
        <v>0</v>
      </c>
      <c r="J15" s="212"/>
      <c r="K15" s="221"/>
      <c r="L15" s="213"/>
      <c r="M15" s="25"/>
      <c r="N15" s="25"/>
      <c r="O15" s="25"/>
      <c r="P15" s="25"/>
      <c r="Q15" s="261"/>
      <c r="R15" s="25"/>
      <c r="S15" s="181" t="str">
        <f>B169</f>
        <v>Merisier</v>
      </c>
      <c r="T15" s="26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3965.312637620189</v>
      </c>
      <c r="U15" s="186">
        <f>'Données projet'!D14</f>
        <v>0.27500000000000002</v>
      </c>
      <c r="V15" s="185">
        <f t="shared" si="1"/>
        <v>1090.460975345552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3" t="s">
        <v>180</v>
      </c>
      <c r="B16" s="51" t="s">
        <v>256</v>
      </c>
      <c r="C16" s="51" t="s">
        <v>255</v>
      </c>
      <c r="D16" s="253" t="s">
        <v>252</v>
      </c>
      <c r="E16" s="253" t="s">
        <v>320</v>
      </c>
      <c r="F16" s="257"/>
      <c r="G16" s="336"/>
      <c r="H16" s="199"/>
      <c r="I16" s="200"/>
      <c r="J16" s="212"/>
      <c r="K16" s="221"/>
      <c r="L16" s="332" t="s">
        <v>254</v>
      </c>
      <c r="M16" s="333"/>
      <c r="N16" s="2"/>
      <c r="O16" s="25"/>
      <c r="P16" s="25"/>
      <c r="Q16" s="261"/>
      <c r="R16" s="25"/>
      <c r="S16" s="181" t="str">
        <f>B200</f>
        <v>Alisier torminal</v>
      </c>
      <c r="T16" s="26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629.39940835643677</v>
      </c>
      <c r="U16" s="186">
        <f>'Données projet'!D15</f>
        <v>0.27500000000000002</v>
      </c>
      <c r="V16" s="185">
        <f t="shared" si="1"/>
        <v>173.08483729802012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06">
        <v>0</v>
      </c>
      <c r="B17" s="209" t="s">
        <v>132</v>
      </c>
      <c r="C17" s="208" t="s">
        <v>132</v>
      </c>
      <c r="D17" s="207" t="s">
        <v>132</v>
      </c>
      <c r="E17" s="202"/>
      <c r="F17" s="257"/>
      <c r="G17" s="336"/>
      <c r="J17" s="212"/>
      <c r="K17" s="221"/>
      <c r="L17" s="290" t="s">
        <v>289</v>
      </c>
      <c r="M17" s="292"/>
      <c r="N17" s="183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1"/>
      <c r="R17" s="25"/>
      <c r="S17" s="181" t="str">
        <f>B231</f>
        <v/>
      </c>
      <c r="T17" s="26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6">
        <f>'Données projet'!D16</f>
        <v>0</v>
      </c>
      <c r="V17" s="185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06">
        <v>1</v>
      </c>
      <c r="B18" s="209" t="s">
        <v>132</v>
      </c>
      <c r="C18" s="208" t="s">
        <v>132</v>
      </c>
      <c r="D18" s="207" t="s">
        <v>132</v>
      </c>
      <c r="E18" s="202"/>
      <c r="F18" s="257"/>
      <c r="G18" s="336"/>
      <c r="J18" s="212"/>
      <c r="K18" s="221"/>
      <c r="L18" s="290" t="s">
        <v>255</v>
      </c>
      <c r="M18" s="292"/>
      <c r="N18" s="201"/>
      <c r="O18" s="25"/>
      <c r="P18" s="25"/>
      <c r="Q18" s="261"/>
      <c r="R18" s="25"/>
      <c r="S18" s="181" t="str">
        <f>B262</f>
        <v/>
      </c>
      <c r="T18" s="26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6">
        <f>'Données projet'!D17</f>
        <v>0</v>
      </c>
      <c r="V18" s="185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06">
        <v>2</v>
      </c>
      <c r="B19" s="209" t="s">
        <v>132</v>
      </c>
      <c r="C19" s="208" t="s">
        <v>132</v>
      </c>
      <c r="D19" s="207" t="s">
        <v>132</v>
      </c>
      <c r="E19" s="202"/>
      <c r="F19" s="257"/>
      <c r="G19" s="336"/>
      <c r="H19" s="228" t="s">
        <v>178</v>
      </c>
      <c r="I19" s="228" t="s">
        <v>287</v>
      </c>
      <c r="J19" s="256"/>
      <c r="K19" s="179"/>
      <c r="L19" s="332" t="s">
        <v>288</v>
      </c>
      <c r="M19" s="333"/>
      <c r="N19" s="187">
        <f>N17*N18</f>
        <v>0</v>
      </c>
      <c r="O19" s="25"/>
      <c r="P19" s="5"/>
      <c r="Q19" s="262"/>
      <c r="R19" s="5"/>
      <c r="S19" s="181" t="str">
        <f>B293</f>
        <v/>
      </c>
      <c r="T19" s="26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6">
        <f>'Données projet'!D18</f>
        <v>0</v>
      </c>
      <c r="V19" s="185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06">
        <v>3</v>
      </c>
      <c r="B20" s="209" t="s">
        <v>132</v>
      </c>
      <c r="C20" s="208" t="s">
        <v>132</v>
      </c>
      <c r="D20" s="207" t="s">
        <v>132</v>
      </c>
      <c r="E20" s="202"/>
      <c r="F20" s="257"/>
      <c r="G20" s="336"/>
      <c r="H20" s="199">
        <v>0</v>
      </c>
      <c r="I20" s="200">
        <v>8000</v>
      </c>
      <c r="J20" s="5"/>
      <c r="K20" s="179"/>
      <c r="O20" s="25"/>
      <c r="P20" s="5"/>
      <c r="Q20" s="262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06">
        <v>4</v>
      </c>
      <c r="B21" s="209" t="s">
        <v>132</v>
      </c>
      <c r="C21" s="208" t="s">
        <v>132</v>
      </c>
      <c r="D21" s="207" t="s">
        <v>132</v>
      </c>
      <c r="E21" s="202"/>
      <c r="F21" s="257"/>
      <c r="H21" s="199"/>
      <c r="I21" s="200"/>
      <c r="K21" s="179"/>
      <c r="O21" s="25"/>
      <c r="P21" s="5"/>
      <c r="Q21" s="262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06">
        <v>5</v>
      </c>
      <c r="B22" s="209" t="s">
        <v>132</v>
      </c>
      <c r="C22" s="208" t="s">
        <v>132</v>
      </c>
      <c r="D22" s="207" t="s">
        <v>132</v>
      </c>
      <c r="E22" s="202"/>
      <c r="F22" s="257"/>
      <c r="H22" s="199"/>
      <c r="I22" s="200"/>
      <c r="K22" s="179"/>
      <c r="O22" s="25"/>
      <c r="P22" s="5"/>
      <c r="Q22" s="262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88">
        <f>'Données projet'!A36</f>
        <v>20</v>
      </c>
      <c r="B23" s="189">
        <f>'Données projet'!D36</f>
        <v>0</v>
      </c>
      <c r="C23" s="202"/>
      <c r="D23" s="190">
        <f>B23*C23</f>
        <v>0</v>
      </c>
      <c r="E23" s="202"/>
      <c r="F23" s="257"/>
      <c r="H23" s="199"/>
      <c r="I23" s="200"/>
      <c r="K23" s="221"/>
      <c r="L23" s="334" t="s">
        <v>260</v>
      </c>
      <c r="M23" s="334"/>
      <c r="N23" s="334"/>
      <c r="O23" s="25"/>
      <c r="P23" s="25"/>
      <c r="Q23" s="261"/>
      <c r="R23" s="25"/>
      <c r="S23" s="181" t="s">
        <v>264</v>
      </c>
      <c r="T23" s="32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-39919.615062238547</v>
      </c>
      <c r="U23" s="329"/>
      <c r="V23" s="32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88">
        <f>'Données projet'!A37</f>
        <v>25</v>
      </c>
      <c r="B24" s="189">
        <f>'Données projet'!D37</f>
        <v>8</v>
      </c>
      <c r="C24" s="202">
        <v>10</v>
      </c>
      <c r="D24" s="190">
        <f t="shared" ref="D24:D42" si="2">B24*C24</f>
        <v>80</v>
      </c>
      <c r="E24" s="202"/>
      <c r="F24" s="260"/>
      <c r="H24" s="199"/>
      <c r="I24" s="200"/>
      <c r="K24" s="221"/>
      <c r="O24" s="25"/>
      <c r="P24" s="25"/>
      <c r="Q24" s="261"/>
      <c r="R24" s="25"/>
      <c r="S24" s="181" t="s">
        <v>261</v>
      </c>
      <c r="T24" s="330">
        <f ca="1">'Scénario référence'!$B$8*$M$30*'Données projet'!$C$5+('Scénario référence'!B9+'Scénario référence'!B10+'Scénario référence'!F8+'Scénario référence'!F9)*$N$19/(1+M4)^N16*'Données projet'!$C$5</f>
        <v>19497.4620755205</v>
      </c>
      <c r="U24" s="330"/>
      <c r="V24" s="33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88">
        <f>'Données projet'!A38</f>
        <v>30</v>
      </c>
      <c r="B25" s="189">
        <f>'Données projet'!D38</f>
        <v>0</v>
      </c>
      <c r="C25" s="200"/>
      <c r="D25" s="190">
        <f t="shared" si="2"/>
        <v>0</v>
      </c>
      <c r="E25" s="202"/>
      <c r="F25" s="260"/>
      <c r="G25" s="1"/>
      <c r="H25" s="199"/>
      <c r="I25" s="200"/>
      <c r="K25" s="221"/>
      <c r="L25" s="267" t="s">
        <v>285</v>
      </c>
      <c r="M25" s="267"/>
      <c r="N25" s="267"/>
      <c r="O25" s="267"/>
      <c r="P25" s="201">
        <v>160</v>
      </c>
      <c r="Q25" s="261"/>
      <c r="R25" s="25"/>
      <c r="S25" s="194" t="s">
        <v>266</v>
      </c>
      <c r="T25" s="331">
        <f ca="1">T23-T24</f>
        <v>-59417.077137759043</v>
      </c>
      <c r="U25" s="331"/>
      <c r="V25" s="33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88">
        <f>'Données projet'!A39</f>
        <v>35</v>
      </c>
      <c r="B26" s="189">
        <f>'Données projet'!D39</f>
        <v>42</v>
      </c>
      <c r="C26" s="200">
        <v>10</v>
      </c>
      <c r="D26" s="190">
        <f t="shared" si="2"/>
        <v>420</v>
      </c>
      <c r="E26" s="202"/>
      <c r="F26" s="260"/>
      <c r="G26" s="255"/>
      <c r="H26" s="199"/>
      <c r="I26" s="200"/>
      <c r="K26" s="221"/>
      <c r="L26" s="318" t="s">
        <v>258</v>
      </c>
      <c r="M26" s="319"/>
      <c r="N26" s="319"/>
      <c r="O26" s="319"/>
      <c r="P26" s="320"/>
      <c r="Q26" s="261"/>
      <c r="R26" s="25"/>
      <c r="S26" s="194" t="s">
        <v>265</v>
      </c>
      <c r="T26" s="328" t="str">
        <f ca="1">IF(T25&lt;0,"Votre projet est additionnel","Votre projet n'est pas additionnel")</f>
        <v>Votre projet est additionnel</v>
      </c>
      <c r="U26" s="328"/>
      <c r="V26" s="32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88">
        <f>'Données projet'!A40</f>
        <v>40</v>
      </c>
      <c r="B27" s="189">
        <f>'Données projet'!D40</f>
        <v>0</v>
      </c>
      <c r="C27" s="200"/>
      <c r="D27" s="190">
        <f t="shared" si="2"/>
        <v>0</v>
      </c>
      <c r="E27" s="202"/>
      <c r="F27" s="260"/>
      <c r="G27" s="255"/>
      <c r="H27" s="199"/>
      <c r="I27" s="200"/>
      <c r="K27" s="221"/>
      <c r="L27" s="321"/>
      <c r="M27" s="322"/>
      <c r="N27" s="322"/>
      <c r="O27" s="322"/>
      <c r="P27" s="323"/>
      <c r="Q27" s="261"/>
      <c r="R27" s="25"/>
      <c r="S27" s="327" t="s">
        <v>267</v>
      </c>
      <c r="T27" s="327"/>
      <c r="U27" s="327"/>
      <c r="V27" s="32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88">
        <f>'Données projet'!A41</f>
        <v>45</v>
      </c>
      <c r="B28" s="189">
        <f>'Données projet'!D41</f>
        <v>42</v>
      </c>
      <c r="C28" s="200">
        <v>15</v>
      </c>
      <c r="D28" s="190">
        <f t="shared" si="2"/>
        <v>630</v>
      </c>
      <c r="E28" s="202"/>
      <c r="F28" s="260"/>
      <c r="G28" s="218"/>
      <c r="H28" s="199"/>
      <c r="I28" s="200"/>
      <c r="K28" s="221"/>
      <c r="Q28" s="261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88">
        <f>'Données projet'!A42</f>
        <v>50</v>
      </c>
      <c r="B29" s="189">
        <f>'Données projet'!D42</f>
        <v>0</v>
      </c>
      <c r="C29" s="200"/>
      <c r="D29" s="190">
        <f t="shared" si="2"/>
        <v>0</v>
      </c>
      <c r="E29" s="202"/>
      <c r="F29" s="260"/>
      <c r="G29" s="214"/>
      <c r="H29" s="199"/>
      <c r="I29" s="200"/>
      <c r="K29" s="221"/>
      <c r="O29" s="25"/>
      <c r="P29" s="25"/>
      <c r="Q29" s="261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88">
        <f>'Données projet'!A43</f>
        <v>55</v>
      </c>
      <c r="B30" s="189">
        <f>'Données projet'!D43</f>
        <v>42</v>
      </c>
      <c r="C30" s="200">
        <v>20</v>
      </c>
      <c r="D30" s="190">
        <f t="shared" si="2"/>
        <v>840</v>
      </c>
      <c r="E30" s="202"/>
      <c r="F30" s="260"/>
      <c r="G30" s="214"/>
      <c r="H30" s="199"/>
      <c r="I30" s="200"/>
      <c r="K30" s="191"/>
      <c r="L30" s="181" t="s">
        <v>259</v>
      </c>
      <c r="M30" s="192">
        <f ca="1">SUM(OFFSET($P$33,0,0,MIN('Données projet'!$E$9:$E$18)+1,1))</f>
        <v>3544.9931046400911</v>
      </c>
      <c r="O30" s="5"/>
      <c r="P30" s="5"/>
      <c r="Q30" s="262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88">
        <f>'Données projet'!A44</f>
        <v>60</v>
      </c>
      <c r="B31" s="189">
        <f>'Données projet'!D44</f>
        <v>0</v>
      </c>
      <c r="C31" s="200"/>
      <c r="D31" s="190">
        <f t="shared" si="2"/>
        <v>0</v>
      </c>
      <c r="E31" s="202"/>
      <c r="F31" s="260"/>
      <c r="G31" s="214"/>
      <c r="H31" s="199"/>
      <c r="I31" s="200"/>
      <c r="K31" s="179"/>
      <c r="Q31" s="261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88">
        <f>'Données projet'!A45</f>
        <v>65</v>
      </c>
      <c r="B32" s="189">
        <f>'Données projet'!D45</f>
        <v>42</v>
      </c>
      <c r="C32" s="200">
        <v>30</v>
      </c>
      <c r="D32" s="190">
        <f t="shared" si="2"/>
        <v>1260</v>
      </c>
      <c r="E32" s="202"/>
      <c r="F32" s="260"/>
      <c r="G32" s="214"/>
      <c r="H32" s="199"/>
      <c r="I32" s="200"/>
      <c r="K32" s="179"/>
      <c r="N32" s="5"/>
      <c r="O32" s="266" t="s">
        <v>178</v>
      </c>
      <c r="P32" s="266" t="s">
        <v>252</v>
      </c>
      <c r="Q32" s="261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88">
        <f>'Données projet'!A46</f>
        <v>70</v>
      </c>
      <c r="B33" s="189">
        <f>'Données projet'!D46</f>
        <v>0</v>
      </c>
      <c r="C33" s="200"/>
      <c r="D33" s="190">
        <f t="shared" si="2"/>
        <v>0</v>
      </c>
      <c r="E33" s="202"/>
      <c r="F33" s="260"/>
      <c r="G33" s="214"/>
      <c r="H33" s="199"/>
      <c r="I33" s="200"/>
      <c r="K33" s="179"/>
      <c r="L33" s="5"/>
      <c r="M33" s="5"/>
      <c r="N33" s="5"/>
      <c r="O33" s="203">
        <v>0</v>
      </c>
      <c r="P33" s="193">
        <f t="shared" ref="P33:P64" si="3">$P$25/(1+$M$4)^O33</f>
        <v>160</v>
      </c>
      <c r="Q33" s="261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88">
        <f>'Données projet'!A47</f>
        <v>75</v>
      </c>
      <c r="B34" s="189">
        <f>'Données projet'!D47</f>
        <v>42</v>
      </c>
      <c r="C34" s="200">
        <v>40</v>
      </c>
      <c r="D34" s="190">
        <f t="shared" si="2"/>
        <v>1680</v>
      </c>
      <c r="E34" s="202"/>
      <c r="F34" s="260"/>
      <c r="G34" s="214"/>
      <c r="H34" s="199"/>
      <c r="I34" s="200"/>
      <c r="K34" s="179"/>
      <c r="L34" s="279"/>
      <c r="M34" s="279"/>
      <c r="N34" s="280"/>
      <c r="O34" s="203">
        <f>IF(O33+1&lt;=MIN('Données projet'!$E$9:$E$18),O33+1,"STOP")</f>
        <v>1</v>
      </c>
      <c r="P34" s="193">
        <f t="shared" si="3"/>
        <v>153.11004784688996</v>
      </c>
      <c r="Q34" s="261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88">
        <f>'Données projet'!A48</f>
        <v>80</v>
      </c>
      <c r="B35" s="189">
        <f>'Données projet'!D48</f>
        <v>0</v>
      </c>
      <c r="C35" s="200"/>
      <c r="D35" s="190">
        <f t="shared" si="2"/>
        <v>0</v>
      </c>
      <c r="E35" s="202"/>
      <c r="F35" s="260"/>
      <c r="G35" s="214"/>
      <c r="H35" s="199"/>
      <c r="I35" s="200"/>
      <c r="K35" s="179"/>
      <c r="L35" s="279"/>
      <c r="M35" s="279"/>
      <c r="N35" s="280"/>
      <c r="O35" s="203">
        <f>IF(O34+1&lt;=MIN('Données projet'!$E$9:$E$18),O34+1,"STOP")</f>
        <v>2</v>
      </c>
      <c r="P35" s="193">
        <f t="shared" si="3"/>
        <v>146.51679219798083</v>
      </c>
      <c r="Q35" s="261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88">
        <f>'Données projet'!A49</f>
        <v>85</v>
      </c>
      <c r="B36" s="189">
        <f>'Données projet'!D49</f>
        <v>42</v>
      </c>
      <c r="C36" s="200">
        <v>50</v>
      </c>
      <c r="D36" s="190">
        <f t="shared" si="2"/>
        <v>2100</v>
      </c>
      <c r="E36" s="202"/>
      <c r="F36" s="260"/>
      <c r="G36" s="214"/>
      <c r="H36" s="199"/>
      <c r="I36" s="200"/>
      <c r="K36" s="179"/>
      <c r="L36" s="25"/>
      <c r="M36" s="25"/>
      <c r="N36" s="25"/>
      <c r="O36" s="203">
        <f>IF(O35+1&lt;=MIN('Données projet'!$E$9:$E$18),O35+1,"STOP")</f>
        <v>3</v>
      </c>
      <c r="P36" s="193">
        <f t="shared" si="3"/>
        <v>140.2074566487855</v>
      </c>
      <c r="Q36" s="261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88">
        <f>'Données projet'!A50</f>
        <v>95</v>
      </c>
      <c r="B37" s="189">
        <f>'Données projet'!D50</f>
        <v>42</v>
      </c>
      <c r="C37" s="202">
        <v>60</v>
      </c>
      <c r="D37" s="190">
        <f t="shared" si="2"/>
        <v>2520</v>
      </c>
      <c r="E37" s="202"/>
      <c r="F37" s="260"/>
      <c r="G37" s="214"/>
      <c r="H37" s="199"/>
      <c r="I37" s="200"/>
      <c r="K37" s="179"/>
      <c r="L37" s="25"/>
      <c r="M37" s="25"/>
      <c r="N37" s="25"/>
      <c r="O37" s="203">
        <f>IF(O36+1&lt;=MIN('Données projet'!$E$9:$E$18),O36+1,"STOP")</f>
        <v>4</v>
      </c>
      <c r="P37" s="193">
        <f t="shared" si="3"/>
        <v>134.16981497491437</v>
      </c>
      <c r="Q37" s="261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88">
        <f>'Données projet'!A51</f>
        <v>105</v>
      </c>
      <c r="B38" s="189">
        <f>'Données projet'!D51</f>
        <v>41</v>
      </c>
      <c r="C38" s="202">
        <v>70</v>
      </c>
      <c r="D38" s="190">
        <f t="shared" si="2"/>
        <v>2870</v>
      </c>
      <c r="E38" s="202"/>
      <c r="F38" s="260"/>
      <c r="G38" s="214"/>
      <c r="H38" s="199"/>
      <c r="I38" s="200"/>
      <c r="K38" s="179"/>
      <c r="L38" s="25"/>
      <c r="M38" s="25"/>
      <c r="N38" s="25"/>
      <c r="O38" s="203">
        <f>IF(O37+1&lt;=MIN('Données projet'!$E$9:$E$18),O37+1,"STOP")</f>
        <v>5</v>
      </c>
      <c r="P38" s="193">
        <f t="shared" si="3"/>
        <v>128.39216744010946</v>
      </c>
      <c r="Q38" s="261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88">
        <f>'Données projet'!A52</f>
        <v>115</v>
      </c>
      <c r="B39" s="189">
        <f>'Données projet'!D52</f>
        <v>37</v>
      </c>
      <c r="C39" s="202">
        <v>80</v>
      </c>
      <c r="D39" s="190">
        <f t="shared" si="2"/>
        <v>2960</v>
      </c>
      <c r="E39" s="202"/>
      <c r="F39" s="260"/>
      <c r="G39" s="214"/>
      <c r="H39" s="199"/>
      <c r="I39" s="200"/>
      <c r="K39" s="221"/>
      <c r="L39" s="25"/>
      <c r="M39" s="25"/>
      <c r="N39" s="25"/>
      <c r="O39" s="203">
        <f>IF(O38+1&lt;=MIN('Données projet'!$E$9:$E$18),O38+1,"STOP")</f>
        <v>6</v>
      </c>
      <c r="P39" s="193">
        <f t="shared" si="3"/>
        <v>122.86331812450669</v>
      </c>
      <c r="Q39" s="261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88">
        <f>'Données projet'!A53</f>
        <v>125</v>
      </c>
      <c r="B40" s="189">
        <f>'Données projet'!D53</f>
        <v>33</v>
      </c>
      <c r="C40" s="202">
        <v>90</v>
      </c>
      <c r="D40" s="190">
        <f t="shared" si="2"/>
        <v>2970</v>
      </c>
      <c r="E40" s="202"/>
      <c r="F40" s="260"/>
      <c r="G40" s="214"/>
      <c r="H40" s="199"/>
      <c r="I40" s="200"/>
      <c r="K40" s="221"/>
      <c r="L40" s="25"/>
      <c r="M40" s="25"/>
      <c r="N40" s="25"/>
      <c r="O40" s="203">
        <f>IF(O39+1&lt;=MIN('Données projet'!$E$9:$E$18),O39+1,"STOP")</f>
        <v>7</v>
      </c>
      <c r="P40" s="193">
        <f t="shared" si="3"/>
        <v>117.57255322919299</v>
      </c>
      <c r="Q40" s="261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88">
        <f>'Données projet'!A54</f>
        <v>135</v>
      </c>
      <c r="B41" s="189">
        <f>'Données projet'!D54</f>
        <v>29</v>
      </c>
      <c r="C41" s="202">
        <v>100</v>
      </c>
      <c r="D41" s="190">
        <f t="shared" si="2"/>
        <v>2900</v>
      </c>
      <c r="E41" s="202"/>
      <c r="F41" s="260"/>
      <c r="G41" s="214"/>
      <c r="H41" s="199"/>
      <c r="I41" s="200"/>
      <c r="K41" s="221"/>
      <c r="L41" s="25"/>
      <c r="M41" s="25"/>
      <c r="N41" s="25"/>
      <c r="O41" s="203">
        <f>IF(O40+1&lt;=MIN('Données projet'!$E$9:$E$18),O40+1,"STOP")</f>
        <v>8</v>
      </c>
      <c r="P41" s="193">
        <f t="shared" si="3"/>
        <v>112.50962031501726</v>
      </c>
      <c r="Q41" s="261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88">
        <f>'Données projet'!A55</f>
        <v>150</v>
      </c>
      <c r="B42" s="189">
        <f>'Données projet'!D55</f>
        <v>306</v>
      </c>
      <c r="C42" s="202">
        <v>150</v>
      </c>
      <c r="D42" s="190">
        <f t="shared" si="2"/>
        <v>45900</v>
      </c>
      <c r="E42" s="202"/>
      <c r="F42" s="260"/>
      <c r="G42" s="214"/>
      <c r="H42" s="199"/>
      <c r="I42" s="200"/>
      <c r="K42" s="221"/>
      <c r="L42" s="25"/>
      <c r="M42" s="25"/>
      <c r="N42" s="25"/>
      <c r="O42" s="203">
        <f>IF(O41+1&lt;=MIN('Données projet'!$E$9:$E$18),O41+1,"STOP")</f>
        <v>9</v>
      </c>
      <c r="P42" s="193">
        <f t="shared" si="3"/>
        <v>107.66470843542322</v>
      </c>
      <c r="Q42" s="261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5"/>
      <c r="B43" s="195"/>
      <c r="C43" s="195"/>
      <c r="D43" s="252"/>
      <c r="E43" s="252"/>
      <c r="F43" s="265"/>
      <c r="G43" s="214"/>
      <c r="H43" s="199"/>
      <c r="I43" s="200"/>
      <c r="K43" s="221"/>
      <c r="L43" s="25"/>
      <c r="M43" s="25"/>
      <c r="N43" s="25"/>
      <c r="O43" s="203">
        <f>IF(O42+1&lt;=MIN('Données projet'!$E$9:$E$18),O42+1,"STOP")</f>
        <v>10</v>
      </c>
      <c r="P43" s="193">
        <f t="shared" si="3"/>
        <v>103.02842912480692</v>
      </c>
      <c r="Q43" s="262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57"/>
      <c r="G44" s="214"/>
      <c r="H44" s="199"/>
      <c r="I44" s="200"/>
      <c r="K44" s="221"/>
      <c r="L44" s="25"/>
      <c r="M44" s="25"/>
      <c r="N44" s="25"/>
      <c r="O44" s="203">
        <f>IF(O43+1&lt;=MIN('Données projet'!$E$9:$E$18),O43+1,"STOP")</f>
        <v>11</v>
      </c>
      <c r="P44" s="193">
        <f t="shared" si="3"/>
        <v>98.59179820555687</v>
      </c>
      <c r="Q44" s="262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2" t="str">
        <f>IF('Données projet'!$B$10="","",'Données projet'!$B$10)</f>
        <v>Chêne sessile</v>
      </c>
      <c r="C45" s="5"/>
      <c r="D45" s="5"/>
      <c r="E45" s="5"/>
      <c r="F45" s="257"/>
      <c r="G45" s="214"/>
      <c r="H45" s="199"/>
      <c r="I45" s="200"/>
      <c r="J45" s="25"/>
      <c r="K45" s="221"/>
      <c r="L45" s="25"/>
      <c r="M45" s="25"/>
      <c r="N45" s="25"/>
      <c r="O45" s="203">
        <f>IF(O44+1&lt;=MIN('Données projet'!$E$9:$E$18),O44+1,"STOP")</f>
        <v>12</v>
      </c>
      <c r="P45" s="193">
        <f t="shared" si="3"/>
        <v>94.346218378523332</v>
      </c>
      <c r="Q45" s="262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57"/>
      <c r="G46" s="214"/>
      <c r="H46" s="199"/>
      <c r="I46" s="200"/>
      <c r="J46" s="25"/>
      <c r="K46" s="221"/>
      <c r="L46" s="216"/>
      <c r="M46" s="216"/>
      <c r="N46" s="216"/>
      <c r="O46" s="203">
        <f>IF(O45+1&lt;=MIN('Données projet'!$E$9:$E$18),O45+1,"STOP")</f>
        <v>13</v>
      </c>
      <c r="P46" s="196">
        <f t="shared" si="3"/>
        <v>90.283462563180223</v>
      </c>
      <c r="Q46" s="262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3" t="s">
        <v>180</v>
      </c>
      <c r="B47" s="51" t="s">
        <v>256</v>
      </c>
      <c r="C47" s="51" t="s">
        <v>255</v>
      </c>
      <c r="D47" s="253" t="s">
        <v>252</v>
      </c>
      <c r="E47" s="253" t="s">
        <v>320</v>
      </c>
      <c r="F47" s="258"/>
      <c r="G47" s="214"/>
      <c r="H47" s="199"/>
      <c r="I47" s="200"/>
      <c r="J47" s="25"/>
      <c r="K47" s="221"/>
      <c r="L47" s="5"/>
      <c r="M47" s="5"/>
      <c r="N47" s="5"/>
      <c r="O47" s="203">
        <f>IF(O46+1&lt;=MIN('Données projet'!$E$9:$E$18),O46+1,"STOP")</f>
        <v>14</v>
      </c>
      <c r="P47" s="193">
        <f t="shared" si="3"/>
        <v>86.395657955196413</v>
      </c>
      <c r="Q47" s="262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06">
        <v>0</v>
      </c>
      <c r="B48" s="209" t="s">
        <v>132</v>
      </c>
      <c r="C48" s="208" t="s">
        <v>132</v>
      </c>
      <c r="D48" s="207" t="s">
        <v>132</v>
      </c>
      <c r="E48" s="202"/>
      <c r="F48" s="258"/>
      <c r="G48" s="214"/>
      <c r="H48" s="199"/>
      <c r="I48" s="200"/>
      <c r="J48" s="25"/>
      <c r="K48" s="221"/>
      <c r="L48" s="5"/>
      <c r="M48" s="5"/>
      <c r="N48" s="5"/>
      <c r="O48" s="203">
        <f>IF(O47+1&lt;=MIN('Données projet'!$E$9:$E$18),O47+1,"STOP")</f>
        <v>15</v>
      </c>
      <c r="P48" s="193">
        <f t="shared" si="3"/>
        <v>82.675270770522872</v>
      </c>
      <c r="Q48" s="262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4" customFormat="1" ht="17.25" customHeight="1" x14ac:dyDescent="0.25">
      <c r="A49" s="206">
        <v>1</v>
      </c>
      <c r="B49" s="209" t="s">
        <v>132</v>
      </c>
      <c r="C49" s="208" t="s">
        <v>132</v>
      </c>
      <c r="D49" s="207" t="s">
        <v>132</v>
      </c>
      <c r="E49" s="202"/>
      <c r="F49" s="258"/>
      <c r="G49" s="215"/>
      <c r="H49" s="199"/>
      <c r="I49" s="200"/>
      <c r="J49" s="216"/>
      <c r="K49" s="223"/>
      <c r="L49" s="5"/>
      <c r="M49" s="5"/>
      <c r="N49" s="5"/>
      <c r="O49" s="203">
        <f>IF(O48+1&lt;=MIN('Données projet'!$E$9:$E$18),O48+1,"STOP")</f>
        <v>16</v>
      </c>
      <c r="P49" s="193">
        <f t="shared" si="3"/>
        <v>79.115091646433399</v>
      </c>
      <c r="Q49" s="263"/>
      <c r="R49" s="195"/>
      <c r="S49" s="195"/>
      <c r="T49" s="195"/>
      <c r="U49" s="195"/>
      <c r="V49" s="195"/>
      <c r="W49" s="195"/>
      <c r="X49" s="195"/>
      <c r="Y49" s="195"/>
      <c r="Z49" s="195"/>
      <c r="AA49" s="195"/>
      <c r="AB49" s="195"/>
      <c r="AC49" s="195"/>
      <c r="AD49" s="195"/>
      <c r="AE49" s="195"/>
      <c r="AF49" s="195"/>
      <c r="AG49" s="195"/>
      <c r="AH49" s="195"/>
      <c r="AI49" s="195"/>
      <c r="AJ49" s="195"/>
      <c r="AK49" s="195"/>
      <c r="AL49" s="195"/>
      <c r="AM49" s="195"/>
      <c r="AN49" s="195"/>
      <c r="AO49" s="195"/>
      <c r="AP49" s="195"/>
      <c r="AQ49" s="195"/>
      <c r="AR49" s="195"/>
      <c r="AS49" s="195"/>
      <c r="AT49" s="195"/>
      <c r="AU49" s="195"/>
      <c r="AV49" s="195"/>
      <c r="AW49" s="195"/>
      <c r="AX49" s="195"/>
      <c r="AY49" s="195"/>
      <c r="AZ49" s="195"/>
      <c r="BA49" s="195"/>
      <c r="BB49" s="195"/>
      <c r="BC49" s="195"/>
      <c r="BD49" s="195"/>
    </row>
    <row r="50" spans="1:56" x14ac:dyDescent="0.25">
      <c r="A50" s="206">
        <v>2</v>
      </c>
      <c r="B50" s="209" t="s">
        <v>132</v>
      </c>
      <c r="C50" s="208" t="s">
        <v>132</v>
      </c>
      <c r="D50" s="207" t="s">
        <v>132</v>
      </c>
      <c r="E50" s="202"/>
      <c r="F50" s="258"/>
      <c r="G50" s="217"/>
      <c r="H50" s="199"/>
      <c r="I50" s="200"/>
      <c r="J50" s="25"/>
      <c r="K50" s="179"/>
      <c r="L50" s="5"/>
      <c r="M50" s="5"/>
      <c r="N50" s="5"/>
      <c r="O50" s="203">
        <f>IF(O49+1&lt;=MIN('Données projet'!$E$9:$E$18),O49+1,"STOP")</f>
        <v>17</v>
      </c>
      <c r="P50" s="193">
        <f t="shared" si="3"/>
        <v>75.708221671228131</v>
      </c>
      <c r="Q50" s="262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06">
        <v>3</v>
      </c>
      <c r="B51" s="209" t="s">
        <v>132</v>
      </c>
      <c r="C51" s="208" t="s">
        <v>132</v>
      </c>
      <c r="D51" s="207" t="s">
        <v>132</v>
      </c>
      <c r="E51" s="202"/>
      <c r="F51" s="258"/>
      <c r="G51" s="217"/>
      <c r="H51" s="199"/>
      <c r="I51" s="200"/>
      <c r="J51" s="25"/>
      <c r="K51" s="179"/>
      <c r="L51" s="5"/>
      <c r="M51" s="5"/>
      <c r="N51" s="5"/>
      <c r="O51" s="203">
        <f>IF(O50+1&lt;=MIN('Données projet'!$E$9:$E$18),O50+1,"STOP")</f>
        <v>18</v>
      </c>
      <c r="P51" s="193">
        <f t="shared" si="3"/>
        <v>72.448059015529324</v>
      </c>
      <c r="Q51" s="262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06">
        <v>4</v>
      </c>
      <c r="B52" s="209" t="s">
        <v>132</v>
      </c>
      <c r="C52" s="208" t="s">
        <v>132</v>
      </c>
      <c r="D52" s="207" t="s">
        <v>132</v>
      </c>
      <c r="E52" s="202"/>
      <c r="F52" s="258"/>
      <c r="G52" s="217"/>
      <c r="H52" s="199"/>
      <c r="I52" s="200"/>
      <c r="J52" s="25"/>
      <c r="K52" s="179"/>
      <c r="L52" s="5"/>
      <c r="M52" s="5"/>
      <c r="N52" s="5"/>
      <c r="O52" s="203">
        <f>IF(O51+1&lt;=MIN('Données projet'!$E$9:$E$18),O51+1,"STOP")</f>
        <v>19</v>
      </c>
      <c r="P52" s="193">
        <f t="shared" si="3"/>
        <v>69.328286139262516</v>
      </c>
      <c r="Q52" s="262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06">
        <v>5</v>
      </c>
      <c r="B53" s="209" t="s">
        <v>132</v>
      </c>
      <c r="C53" s="208" t="s">
        <v>132</v>
      </c>
      <c r="D53" s="207" t="s">
        <v>132</v>
      </c>
      <c r="E53" s="202"/>
      <c r="F53" s="258"/>
      <c r="G53" s="218"/>
      <c r="H53" s="199"/>
      <c r="I53" s="200"/>
      <c r="J53" s="25"/>
      <c r="K53" s="179"/>
      <c r="L53" s="5"/>
      <c r="M53" s="5"/>
      <c r="N53" s="5"/>
      <c r="O53" s="203">
        <f>IF(O52+1&lt;=MIN('Données projet'!$E$9:$E$18),O52+1,"STOP")</f>
        <v>20</v>
      </c>
      <c r="P53" s="193">
        <f t="shared" si="3"/>
        <v>66.342857549533534</v>
      </c>
      <c r="Q53" s="262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88">
        <f>'Données projet'!A62</f>
        <v>20</v>
      </c>
      <c r="B54" s="189">
        <f>'Données projet'!D62</f>
        <v>0</v>
      </c>
      <c r="C54" s="200"/>
      <c r="D54" s="187">
        <f>B54*C54</f>
        <v>0</v>
      </c>
      <c r="E54" s="202"/>
      <c r="F54" s="259"/>
      <c r="G54" s="218"/>
      <c r="H54" s="199"/>
      <c r="I54" s="200"/>
      <c r="J54" s="25"/>
      <c r="K54" s="179"/>
      <c r="L54" s="5"/>
      <c r="M54" s="5"/>
      <c r="N54" s="5"/>
      <c r="O54" s="203">
        <f>IF(O53+1&lt;=MIN('Données projet'!$E$9:$E$18),O53+1,"STOP")</f>
        <v>21</v>
      </c>
      <c r="P54" s="193">
        <f t="shared" si="3"/>
        <v>63.485988085678009</v>
      </c>
      <c r="Q54" s="262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88">
        <f>'Données projet'!A63</f>
        <v>25</v>
      </c>
      <c r="B55" s="189">
        <f>'Données projet'!D63</f>
        <v>8</v>
      </c>
      <c r="C55" s="202">
        <v>10</v>
      </c>
      <c r="D55" s="187">
        <f t="shared" ref="D55:D73" si="4">B55*C55</f>
        <v>80</v>
      </c>
      <c r="E55" s="202"/>
      <c r="F55" s="259"/>
      <c r="G55" s="218"/>
      <c r="H55" s="199"/>
      <c r="I55" s="200"/>
      <c r="J55" s="25"/>
      <c r="K55" s="179"/>
      <c r="L55" s="5"/>
      <c r="M55" s="5"/>
      <c r="N55" s="5"/>
      <c r="O55" s="203">
        <f>IF(O54+1&lt;=MIN('Données projet'!$E$9:$E$18),O54+1,"STOP")</f>
        <v>22</v>
      </c>
      <c r="P55" s="193">
        <f t="shared" si="3"/>
        <v>60.752141708782808</v>
      </c>
      <c r="Q55" s="262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88">
        <f>'Données projet'!A64</f>
        <v>30</v>
      </c>
      <c r="B56" s="189">
        <f>'Données projet'!D64</f>
        <v>0</v>
      </c>
      <c r="C56" s="200"/>
      <c r="D56" s="187">
        <f t="shared" si="4"/>
        <v>0</v>
      </c>
      <c r="E56" s="202"/>
      <c r="F56" s="259"/>
      <c r="G56" s="218"/>
      <c r="H56" s="199"/>
      <c r="I56" s="200"/>
      <c r="J56" s="25"/>
      <c r="K56" s="179"/>
      <c r="L56" s="5"/>
      <c r="M56" s="5"/>
      <c r="N56" s="5"/>
      <c r="O56" s="203">
        <f>IF(O55+1&lt;=MIN('Données projet'!$E$9:$E$18),O55+1,"STOP")</f>
        <v>23</v>
      </c>
      <c r="P56" s="193">
        <f t="shared" si="3"/>
        <v>58.136020773954833</v>
      </c>
      <c r="Q56" s="262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88">
        <f>'Données projet'!A65</f>
        <v>35</v>
      </c>
      <c r="B57" s="189">
        <f>'Données projet'!D65</f>
        <v>42</v>
      </c>
      <c r="C57" s="200">
        <v>10</v>
      </c>
      <c r="D57" s="187">
        <f t="shared" si="4"/>
        <v>420</v>
      </c>
      <c r="E57" s="202"/>
      <c r="F57" s="259"/>
      <c r="G57" s="218"/>
      <c r="H57" s="199"/>
      <c r="I57" s="200"/>
      <c r="J57" s="25"/>
      <c r="K57" s="179"/>
      <c r="L57" s="5"/>
      <c r="M57" s="5"/>
      <c r="N57" s="5"/>
      <c r="O57" s="203">
        <f>IF(O56+1&lt;=MIN('Données projet'!$E$9:$E$18),O56+1,"STOP")</f>
        <v>24</v>
      </c>
      <c r="P57" s="193">
        <f t="shared" si="3"/>
        <v>55.632555764550091</v>
      </c>
      <c r="Q57" s="262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88">
        <f>'Données projet'!A66</f>
        <v>40</v>
      </c>
      <c r="B58" s="189">
        <f>'Données projet'!D66</f>
        <v>0</v>
      </c>
      <c r="C58" s="200"/>
      <c r="D58" s="187">
        <f t="shared" si="4"/>
        <v>0</v>
      </c>
      <c r="E58" s="202"/>
      <c r="F58" s="259"/>
      <c r="G58" s="218"/>
      <c r="H58" s="199"/>
      <c r="I58" s="200"/>
      <c r="J58" s="25"/>
      <c r="K58" s="179"/>
      <c r="L58" s="5"/>
      <c r="M58" s="5"/>
      <c r="N58" s="5"/>
      <c r="O58" s="203">
        <f>IF(O57+1&lt;=MIN('Données projet'!$E$9:$E$18),O57+1,"STOP")</f>
        <v>25</v>
      </c>
      <c r="P58" s="193">
        <f t="shared" si="3"/>
        <v>53.236895468468994</v>
      </c>
      <c r="Q58" s="262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88">
        <f>'Données projet'!A67</f>
        <v>45</v>
      </c>
      <c r="B59" s="189">
        <f>'Données projet'!D67</f>
        <v>42</v>
      </c>
      <c r="C59" s="200">
        <v>15</v>
      </c>
      <c r="D59" s="187">
        <f t="shared" si="4"/>
        <v>630</v>
      </c>
      <c r="E59" s="202"/>
      <c r="F59" s="259"/>
      <c r="G59" s="218"/>
      <c r="H59" s="199"/>
      <c r="I59" s="200"/>
      <c r="J59" s="25"/>
      <c r="K59" s="179"/>
      <c r="L59" s="5"/>
      <c r="M59" s="5"/>
      <c r="N59" s="5"/>
      <c r="O59" s="203">
        <f>IF(O58+1&lt;=MIN('Données projet'!$E$9:$E$18),O58+1,"STOP")</f>
        <v>26</v>
      </c>
      <c r="P59" s="193">
        <f t="shared" si="3"/>
        <v>50.944397577482306</v>
      </c>
      <c r="Q59" s="262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88">
        <f>'Données projet'!A68</f>
        <v>50</v>
      </c>
      <c r="B60" s="189">
        <f>'Données projet'!D68</f>
        <v>0</v>
      </c>
      <c r="C60" s="200"/>
      <c r="D60" s="187">
        <f t="shared" si="4"/>
        <v>0</v>
      </c>
      <c r="E60" s="202"/>
      <c r="F60" s="259"/>
      <c r="G60" s="219"/>
      <c r="H60" s="199"/>
      <c r="I60" s="200"/>
      <c r="J60" s="25"/>
      <c r="K60" s="179"/>
      <c r="L60" s="5"/>
      <c r="M60" s="5"/>
      <c r="N60" s="5"/>
      <c r="O60" s="203">
        <f>IF(O59+1&lt;=MIN('Données projet'!$E$9:$E$18),O59+1,"STOP")</f>
        <v>27</v>
      </c>
      <c r="P60" s="193">
        <f t="shared" si="3"/>
        <v>48.750619691370623</v>
      </c>
      <c r="Q60" s="262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88">
        <f>'Données projet'!A69</f>
        <v>55</v>
      </c>
      <c r="B61" s="189">
        <f>'Données projet'!D69</f>
        <v>42</v>
      </c>
      <c r="C61" s="200">
        <v>20</v>
      </c>
      <c r="D61" s="187">
        <f t="shared" si="4"/>
        <v>840</v>
      </c>
      <c r="E61" s="202"/>
      <c r="F61" s="259"/>
      <c r="G61" s="219"/>
      <c r="H61" s="199"/>
      <c r="I61" s="200"/>
      <c r="J61" s="25"/>
      <c r="K61" s="179"/>
      <c r="L61" s="5"/>
      <c r="M61" s="5"/>
      <c r="N61" s="5"/>
      <c r="O61" s="203">
        <f>IF(O60+1&lt;=MIN('Données projet'!$E$9:$E$18),O60+1,"STOP")</f>
        <v>28</v>
      </c>
      <c r="P61" s="193">
        <f t="shared" si="3"/>
        <v>46.651310709445582</v>
      </c>
      <c r="Q61" s="262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88">
        <f>'Données projet'!A70</f>
        <v>60</v>
      </c>
      <c r="B62" s="189">
        <f>'Données projet'!D70</f>
        <v>0</v>
      </c>
      <c r="C62" s="200"/>
      <c r="D62" s="187">
        <f t="shared" si="4"/>
        <v>0</v>
      </c>
      <c r="E62" s="202"/>
      <c r="F62" s="259"/>
      <c r="G62" s="219"/>
      <c r="H62" s="199"/>
      <c r="I62" s="200"/>
      <c r="J62" s="25"/>
      <c r="K62" s="179"/>
      <c r="L62" s="5"/>
      <c r="M62" s="5"/>
      <c r="N62" s="5"/>
      <c r="O62" s="203">
        <f>IF(O61+1&lt;=MIN('Données projet'!$E$9:$E$18),O61+1,"STOP")</f>
        <v>29</v>
      </c>
      <c r="P62" s="193">
        <f t="shared" si="3"/>
        <v>44.642402592770885</v>
      </c>
      <c r="Q62" s="262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88">
        <f>'Données projet'!A71</f>
        <v>65</v>
      </c>
      <c r="B63" s="189">
        <f>'Données projet'!D71</f>
        <v>42</v>
      </c>
      <c r="C63" s="200">
        <v>30</v>
      </c>
      <c r="D63" s="187">
        <f t="shared" si="4"/>
        <v>1260</v>
      </c>
      <c r="E63" s="202"/>
      <c r="F63" s="259"/>
      <c r="G63" s="219"/>
      <c r="H63" s="199"/>
      <c r="I63" s="200"/>
      <c r="J63" s="25"/>
      <c r="K63" s="179"/>
      <c r="L63" s="5"/>
      <c r="M63" s="5"/>
      <c r="N63" s="5"/>
      <c r="O63" s="203">
        <f>IF(O62+1&lt;=MIN('Données projet'!$E$9:$E$18),O62+1,"STOP")</f>
        <v>30</v>
      </c>
      <c r="P63" s="193">
        <f t="shared" si="3"/>
        <v>42.720002481120481</v>
      </c>
      <c r="Q63" s="262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88">
        <f>'Données projet'!A72</f>
        <v>70</v>
      </c>
      <c r="B64" s="189">
        <f>'Données projet'!D72</f>
        <v>0</v>
      </c>
      <c r="C64" s="200"/>
      <c r="D64" s="187">
        <f t="shared" si="4"/>
        <v>0</v>
      </c>
      <c r="E64" s="202"/>
      <c r="F64" s="259"/>
      <c r="G64" s="219"/>
      <c r="H64" s="199"/>
      <c r="I64" s="200"/>
      <c r="J64" s="220"/>
      <c r="K64" s="179"/>
      <c r="L64" s="5"/>
      <c r="M64" s="5"/>
      <c r="N64" s="5"/>
      <c r="O64" s="203">
        <f>IF(O63+1&lt;=MIN('Données projet'!$E$9:$E$18),O63+1,"STOP")</f>
        <v>31</v>
      </c>
      <c r="P64" s="193">
        <f t="shared" si="3"/>
        <v>40.880385149397583</v>
      </c>
      <c r="Q64" s="262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88">
        <f>'Données projet'!A73</f>
        <v>75</v>
      </c>
      <c r="B65" s="189">
        <f>'Données projet'!D73</f>
        <v>42</v>
      </c>
      <c r="C65" s="200">
        <v>40</v>
      </c>
      <c r="D65" s="187">
        <f t="shared" si="4"/>
        <v>1680</v>
      </c>
      <c r="E65" s="202"/>
      <c r="F65" s="259"/>
      <c r="G65" s="219"/>
      <c r="H65" s="199"/>
      <c r="I65" s="200"/>
      <c r="J65" s="197"/>
      <c r="K65" s="179"/>
      <c r="L65" s="5"/>
      <c r="M65" s="5"/>
      <c r="N65" s="5"/>
      <c r="O65" s="203">
        <f>IF(O64+1&lt;=MIN('Données projet'!$E$9:$E$18),O64+1,"STOP")</f>
        <v>32</v>
      </c>
      <c r="P65" s="193">
        <f t="shared" ref="P65:P96" si="5">$P$25/(1+$M$4)^O65</f>
        <v>39.119985788897225</v>
      </c>
      <c r="Q65" s="262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88">
        <f>'Données projet'!A74</f>
        <v>80</v>
      </c>
      <c r="B66" s="189">
        <f>'Données projet'!D74</f>
        <v>0</v>
      </c>
      <c r="C66" s="200"/>
      <c r="D66" s="187">
        <f t="shared" si="4"/>
        <v>0</v>
      </c>
      <c r="E66" s="202"/>
      <c r="F66" s="259"/>
      <c r="G66" s="219"/>
      <c r="H66" s="199"/>
      <c r="I66" s="200"/>
      <c r="J66" s="197"/>
      <c r="K66" s="179"/>
      <c r="L66" s="5"/>
      <c r="M66" s="5"/>
      <c r="N66" s="5"/>
      <c r="O66" s="203">
        <f>IF(O65+1&lt;=MIN('Données projet'!$E$9:$E$18),O65+1,"STOP")</f>
        <v>33</v>
      </c>
      <c r="P66" s="193">
        <f t="shared" si="5"/>
        <v>37.435393099423187</v>
      </c>
      <c r="Q66" s="262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88">
        <f>'Données projet'!A75</f>
        <v>85</v>
      </c>
      <c r="B67" s="189">
        <f>'Données projet'!D75</f>
        <v>42</v>
      </c>
      <c r="C67" s="200">
        <v>50</v>
      </c>
      <c r="D67" s="187">
        <f t="shared" si="4"/>
        <v>2100</v>
      </c>
      <c r="E67" s="202"/>
      <c r="F67" s="259"/>
      <c r="G67" s="219"/>
      <c r="H67" s="199"/>
      <c r="I67" s="200"/>
      <c r="J67" s="197"/>
      <c r="K67" s="179"/>
      <c r="L67" s="5"/>
      <c r="M67" s="5"/>
      <c r="N67" s="5"/>
      <c r="O67" s="203">
        <f>IF(O66+1&lt;=MIN('Données projet'!$E$9:$E$18),O66+1,"STOP")</f>
        <v>34</v>
      </c>
      <c r="P67" s="193">
        <f t="shared" si="5"/>
        <v>35.823342678873871</v>
      </c>
      <c r="Q67" s="262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88">
        <f>'Données projet'!A76</f>
        <v>95</v>
      </c>
      <c r="B68" s="189">
        <f>'Données projet'!D76</f>
        <v>42</v>
      </c>
      <c r="C68" s="202">
        <v>60</v>
      </c>
      <c r="D68" s="187">
        <f t="shared" si="4"/>
        <v>2520</v>
      </c>
      <c r="E68" s="202"/>
      <c r="F68" s="259"/>
      <c r="G68" s="219"/>
      <c r="H68" s="199"/>
      <c r="I68" s="200"/>
      <c r="J68" s="197"/>
      <c r="K68" s="179"/>
      <c r="L68" s="5"/>
      <c r="M68" s="5"/>
      <c r="N68" s="5"/>
      <c r="O68" s="203">
        <f>IF(O67+1&lt;=MIN('Données projet'!$E$9:$E$18),O67+1,"STOP")</f>
        <v>35</v>
      </c>
      <c r="P68" s="193">
        <f t="shared" si="5"/>
        <v>34.28071069748696</v>
      </c>
      <c r="Q68" s="262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88">
        <f>'Données projet'!A77</f>
        <v>105</v>
      </c>
      <c r="B69" s="189">
        <f>'Données projet'!D77</f>
        <v>41</v>
      </c>
      <c r="C69" s="202">
        <v>70</v>
      </c>
      <c r="D69" s="187">
        <f t="shared" si="4"/>
        <v>2870</v>
      </c>
      <c r="E69" s="202"/>
      <c r="F69" s="259"/>
      <c r="G69" s="219"/>
      <c r="H69" s="199"/>
      <c r="I69" s="200"/>
      <c r="J69" s="197"/>
      <c r="K69" s="179"/>
      <c r="L69" s="5"/>
      <c r="M69" s="5"/>
      <c r="N69" s="5"/>
      <c r="O69" s="203">
        <f>IF(O68+1&lt;=MIN('Données projet'!$E$9:$E$18),O68+1,"STOP")</f>
        <v>36</v>
      </c>
      <c r="P69" s="193">
        <f t="shared" si="5"/>
        <v>32.80450784448513</v>
      </c>
      <c r="Q69" s="262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88">
        <f>'Données projet'!A78</f>
        <v>115</v>
      </c>
      <c r="B70" s="189">
        <f>'Données projet'!D78</f>
        <v>37</v>
      </c>
      <c r="C70" s="202">
        <v>80</v>
      </c>
      <c r="D70" s="187">
        <f t="shared" si="4"/>
        <v>2960</v>
      </c>
      <c r="E70" s="202"/>
      <c r="F70" s="259"/>
      <c r="G70" s="219"/>
      <c r="H70" s="199"/>
      <c r="I70" s="200"/>
      <c r="J70" s="197"/>
      <c r="K70" s="179"/>
      <c r="L70" s="5"/>
      <c r="M70" s="5"/>
      <c r="N70" s="5"/>
      <c r="O70" s="203">
        <f>IF(O69+1&lt;=MIN('Données projet'!$E$9:$E$18),O69+1,"STOP")</f>
        <v>37</v>
      </c>
      <c r="P70" s="193">
        <f t="shared" si="5"/>
        <v>31.391873535392474</v>
      </c>
      <c r="Q70" s="262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88">
        <f>'Données projet'!A79</f>
        <v>125</v>
      </c>
      <c r="B71" s="189">
        <f>'Données projet'!D79</f>
        <v>33</v>
      </c>
      <c r="C71" s="202">
        <v>90</v>
      </c>
      <c r="D71" s="187">
        <f t="shared" si="4"/>
        <v>2970</v>
      </c>
      <c r="E71" s="202"/>
      <c r="F71" s="259"/>
      <c r="G71" s="219"/>
      <c r="H71" s="199"/>
      <c r="I71" s="200"/>
      <c r="J71" s="197"/>
      <c r="K71" s="179"/>
      <c r="L71" s="5"/>
      <c r="M71" s="5"/>
      <c r="N71" s="5"/>
      <c r="O71" s="203">
        <f>IF(O70+1&lt;=MIN('Données projet'!$E$9:$E$18),O70+1,"STOP")</f>
        <v>38</v>
      </c>
      <c r="P71" s="193">
        <f t="shared" si="5"/>
        <v>30.040070368796631</v>
      </c>
      <c r="Q71" s="262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88">
        <f>'Données projet'!A80</f>
        <v>135</v>
      </c>
      <c r="B72" s="189">
        <f>'Données projet'!D80</f>
        <v>29</v>
      </c>
      <c r="C72" s="202">
        <v>100</v>
      </c>
      <c r="D72" s="187">
        <f t="shared" si="4"/>
        <v>2900</v>
      </c>
      <c r="E72" s="202"/>
      <c r="F72" s="259"/>
      <c r="G72" s="219"/>
      <c r="H72" s="199"/>
      <c r="I72" s="200"/>
      <c r="J72" s="5"/>
      <c r="K72" s="179"/>
      <c r="L72" s="5"/>
      <c r="M72" s="5"/>
      <c r="N72" s="5"/>
      <c r="O72" s="203">
        <f>IF(O71+1&lt;=MIN('Données projet'!$E$9:$E$18),O71+1,"STOP")</f>
        <v>39</v>
      </c>
      <c r="P72" s="193">
        <f t="shared" si="5"/>
        <v>28.746478821814957</v>
      </c>
      <c r="Q72" s="262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88">
        <f>'Données projet'!A81</f>
        <v>150</v>
      </c>
      <c r="B73" s="189">
        <f>'Données projet'!D81</f>
        <v>306</v>
      </c>
      <c r="C73" s="202">
        <v>150</v>
      </c>
      <c r="D73" s="187">
        <f t="shared" si="4"/>
        <v>45900</v>
      </c>
      <c r="E73" s="202"/>
      <c r="F73" s="259"/>
      <c r="G73" s="219"/>
      <c r="H73" s="199"/>
      <c r="I73" s="200"/>
      <c r="J73" s="5"/>
      <c r="K73" s="179"/>
      <c r="L73" s="5"/>
      <c r="M73" s="5"/>
      <c r="N73" s="5"/>
      <c r="O73" s="203">
        <f>IF(O72+1&lt;=MIN('Données projet'!$E$9:$E$18),O72+1,"STOP")</f>
        <v>40</v>
      </c>
      <c r="P73" s="193">
        <f t="shared" si="5"/>
        <v>27.508592173985612</v>
      </c>
      <c r="Q73" s="262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57"/>
      <c r="G74" s="219"/>
      <c r="H74" s="199"/>
      <c r="I74" s="200"/>
      <c r="J74" s="5"/>
      <c r="K74" s="179"/>
      <c r="L74" s="5"/>
      <c r="M74" s="5"/>
      <c r="N74" s="5"/>
      <c r="O74" s="203">
        <f>IF(O73+1&lt;=MIN('Données projet'!$E$9:$E$18),O73+1,"STOP")</f>
        <v>41</v>
      </c>
      <c r="P74" s="193">
        <f t="shared" si="5"/>
        <v>26.324011649747</v>
      </c>
      <c r="Q74" s="262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57"/>
      <c r="G75" s="219"/>
      <c r="H75" s="199"/>
      <c r="I75" s="200"/>
      <c r="J75" s="5"/>
      <c r="K75" s="179"/>
      <c r="L75" s="5"/>
      <c r="M75" s="5"/>
      <c r="N75" s="5"/>
      <c r="O75" s="203">
        <f>IF(O74+1&lt;=MIN('Données projet'!$E$9:$E$18),O74+1,"STOP")</f>
        <v>42</v>
      </c>
      <c r="P75" s="193">
        <f t="shared" si="5"/>
        <v>25.190441770092828</v>
      </c>
      <c r="Q75" s="262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2" t="str">
        <f>IF('Données projet'!B11="","",'Données projet'!B11)</f>
        <v>Chêne chevelu</v>
      </c>
      <c r="C76" s="5"/>
      <c r="D76" s="5"/>
      <c r="E76" s="5"/>
      <c r="F76" s="257"/>
      <c r="G76" s="219"/>
      <c r="H76" s="199"/>
      <c r="I76" s="200"/>
      <c r="J76" s="5"/>
      <c r="K76" s="179"/>
      <c r="L76" s="5"/>
      <c r="M76" s="5"/>
      <c r="N76" s="5"/>
      <c r="O76" s="203">
        <f>IF(O75+1&lt;=MIN('Données projet'!$E$9:$E$18),O75+1,"STOP")</f>
        <v>43</v>
      </c>
      <c r="P76" s="193">
        <f t="shared" si="5"/>
        <v>24.105685904395049</v>
      </c>
      <c r="Q76" s="262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57"/>
      <c r="G77" s="219"/>
      <c r="H77" s="199"/>
      <c r="I77" s="200"/>
      <c r="J77" s="5"/>
      <c r="K77" s="179"/>
      <c r="L77" s="5"/>
      <c r="M77" s="5"/>
      <c r="N77" s="5"/>
      <c r="O77" s="203">
        <f>IF(O76+1&lt;=MIN('Données projet'!$E$9:$E$18),O76+1,"STOP")</f>
        <v>44</v>
      </c>
      <c r="P77" s="193">
        <f t="shared" si="5"/>
        <v>23.067642013775171</v>
      </c>
      <c r="Q77" s="262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3" t="s">
        <v>180</v>
      </c>
      <c r="B78" s="51" t="s">
        <v>256</v>
      </c>
      <c r="C78" s="51" t="s">
        <v>255</v>
      </c>
      <c r="D78" s="253" t="s">
        <v>252</v>
      </c>
      <c r="E78" s="253" t="s">
        <v>320</v>
      </c>
      <c r="F78" s="258"/>
      <c r="G78" s="219"/>
      <c r="H78" s="199"/>
      <c r="I78" s="200"/>
      <c r="J78" s="5"/>
      <c r="K78" s="179"/>
      <c r="L78" s="5"/>
      <c r="M78" s="5"/>
      <c r="N78" s="5"/>
      <c r="O78" s="203">
        <f>IF(O77+1&lt;=MIN('Données projet'!$E$9:$E$18),O77+1,"STOP")</f>
        <v>45</v>
      </c>
      <c r="P78" s="193">
        <f t="shared" si="5"/>
        <v>22.074298577775281</v>
      </c>
      <c r="Q78" s="262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06">
        <v>0</v>
      </c>
      <c r="B79" s="209" t="s">
        <v>132</v>
      </c>
      <c r="C79" s="208" t="s">
        <v>132</v>
      </c>
      <c r="D79" s="207" t="s">
        <v>132</v>
      </c>
      <c r="E79" s="202"/>
      <c r="F79" s="258"/>
      <c r="G79" s="219"/>
      <c r="H79" s="199"/>
      <c r="I79" s="200"/>
      <c r="J79" s="5"/>
      <c r="K79" s="179"/>
      <c r="L79" s="5"/>
      <c r="M79" s="5"/>
      <c r="N79" s="5"/>
      <c r="O79" s="203">
        <f>IF(O78+1&lt;=MIN('Données projet'!$E$9:$E$18),O78+1,"STOP")</f>
        <v>46</v>
      </c>
      <c r="P79" s="193">
        <f t="shared" si="5"/>
        <v>21.123730696435683</v>
      </c>
      <c r="Q79" s="262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06">
        <v>1</v>
      </c>
      <c r="B80" s="209" t="s">
        <v>132</v>
      </c>
      <c r="C80" s="208" t="s">
        <v>132</v>
      </c>
      <c r="D80" s="207" t="s">
        <v>132</v>
      </c>
      <c r="E80" s="202"/>
      <c r="F80" s="258"/>
      <c r="G80" s="217"/>
      <c r="H80" s="199"/>
      <c r="I80" s="200"/>
      <c r="J80" s="5"/>
      <c r="K80" s="179"/>
      <c r="L80" s="5"/>
      <c r="M80" s="5"/>
      <c r="N80" s="5"/>
      <c r="O80" s="203">
        <f>IF(O79+1&lt;=MIN('Données projet'!$E$9:$E$18),O79+1,"STOP")</f>
        <v>47</v>
      </c>
      <c r="P80" s="193">
        <f t="shared" si="5"/>
        <v>20.214096360225529</v>
      </c>
      <c r="Q80" s="262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06">
        <v>2</v>
      </c>
      <c r="B81" s="209" t="s">
        <v>132</v>
      </c>
      <c r="C81" s="208" t="s">
        <v>132</v>
      </c>
      <c r="D81" s="207" t="s">
        <v>132</v>
      </c>
      <c r="E81" s="202"/>
      <c r="F81" s="258"/>
      <c r="G81" s="217"/>
      <c r="H81" s="199"/>
      <c r="I81" s="200"/>
      <c r="J81" s="5"/>
      <c r="K81" s="179"/>
      <c r="L81" s="5"/>
      <c r="M81" s="5"/>
      <c r="N81" s="5"/>
      <c r="O81" s="203">
        <f>IF(O80+1&lt;=MIN('Données projet'!$E$9:$E$18),O80+1,"STOP")</f>
        <v>48</v>
      </c>
      <c r="P81" s="193">
        <f t="shared" si="5"/>
        <v>19.343632880598602</v>
      </c>
      <c r="Q81" s="262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06">
        <v>3</v>
      </c>
      <c r="B82" s="209" t="s">
        <v>132</v>
      </c>
      <c r="C82" s="208" t="s">
        <v>132</v>
      </c>
      <c r="D82" s="207" t="s">
        <v>132</v>
      </c>
      <c r="E82" s="202"/>
      <c r="F82" s="258"/>
      <c r="G82" s="217"/>
      <c r="H82" s="199"/>
      <c r="I82" s="200"/>
      <c r="J82" s="5"/>
      <c r="K82" s="179"/>
      <c r="L82" s="5"/>
      <c r="M82" s="5"/>
      <c r="N82" s="5"/>
      <c r="O82" s="203">
        <f>IF(O81+1&lt;=MIN('Données projet'!$E$9:$E$18),O81+1,"STOP")</f>
        <v>49</v>
      </c>
      <c r="P82" s="193">
        <f t="shared" si="5"/>
        <v>18.510653474257037</v>
      </c>
      <c r="Q82" s="262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06">
        <v>4</v>
      </c>
      <c r="B83" s="209" t="s">
        <v>132</v>
      </c>
      <c r="C83" s="208" t="s">
        <v>132</v>
      </c>
      <c r="D83" s="207" t="s">
        <v>132</v>
      </c>
      <c r="E83" s="202"/>
      <c r="F83" s="258"/>
      <c r="G83" s="217"/>
      <c r="H83" s="199"/>
      <c r="I83" s="200"/>
      <c r="J83" s="5"/>
      <c r="K83" s="179"/>
      <c r="L83" s="5"/>
      <c r="M83" s="5"/>
      <c r="N83" s="5"/>
      <c r="O83" s="203">
        <f>IF(O82+1&lt;=MIN('Données projet'!$E$9:$E$18),O82+1,"STOP")</f>
        <v>50</v>
      </c>
      <c r="P83" s="193">
        <f t="shared" si="5"/>
        <v>17.713543994504345</v>
      </c>
      <c r="Q83" s="262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06">
        <v>5</v>
      </c>
      <c r="B84" s="209" t="s">
        <v>132</v>
      </c>
      <c r="C84" s="208" t="s">
        <v>132</v>
      </c>
      <c r="D84" s="207" t="s">
        <v>132</v>
      </c>
      <c r="E84" s="202"/>
      <c r="F84" s="258"/>
      <c r="G84" s="218"/>
      <c r="H84" s="199"/>
      <c r="I84" s="200"/>
      <c r="J84" s="5"/>
      <c r="K84" s="179"/>
      <c r="L84" s="5"/>
      <c r="M84" s="5"/>
      <c r="N84" s="5"/>
      <c r="O84" s="203">
        <f>IF(O83+1&lt;=MIN('Données projet'!$E$9:$E$18),O83+1,"STOP")</f>
        <v>51</v>
      </c>
      <c r="P84" s="193">
        <f t="shared" si="5"/>
        <v>16.950759803353439</v>
      </c>
      <c r="Q84" s="262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88">
        <f>'Données projet'!A88</f>
        <v>15</v>
      </c>
      <c r="B85" s="189">
        <f>'Données projet'!D88</f>
        <v>0</v>
      </c>
      <c r="C85" s="200"/>
      <c r="D85" s="187">
        <f>B85*C85</f>
        <v>0</v>
      </c>
      <c r="E85" s="202"/>
      <c r="F85" s="259"/>
      <c r="G85" s="218"/>
      <c r="H85" s="199"/>
      <c r="I85" s="200"/>
      <c r="J85" s="5"/>
      <c r="K85" s="179"/>
      <c r="L85" s="5"/>
      <c r="M85" s="5"/>
      <c r="N85" s="5"/>
      <c r="O85" s="203">
        <f>IF(O84+1&lt;=MIN('Données projet'!$E$9:$E$18),O84+1,"STOP")</f>
        <v>52</v>
      </c>
      <c r="P85" s="193">
        <f t="shared" si="5"/>
        <v>16.220822778328653</v>
      </c>
      <c r="Q85" s="262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88">
        <f>'Données projet'!A89</f>
        <v>20</v>
      </c>
      <c r="B86" s="189">
        <f>'Données projet'!D89</f>
        <v>10.256410256410255</v>
      </c>
      <c r="C86" s="200"/>
      <c r="D86" s="187">
        <f t="shared" ref="D86:D104" si="6">B86*C86</f>
        <v>0</v>
      </c>
      <c r="E86" s="202"/>
      <c r="F86" s="259"/>
      <c r="G86" s="218"/>
      <c r="H86" s="199"/>
      <c r="I86" s="200"/>
      <c r="J86" s="5"/>
      <c r="K86" s="179"/>
      <c r="L86" s="5"/>
      <c r="M86" s="5"/>
      <c r="N86" s="5"/>
      <c r="O86" s="203">
        <f>IF(O85+1&lt;=MIN('Données projet'!$E$9:$E$18),O85+1,"STOP")</f>
        <v>53</v>
      </c>
      <c r="P86" s="193">
        <f t="shared" si="5"/>
        <v>15.522318448161391</v>
      </c>
      <c r="Q86" s="262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88">
        <f>'Données projet'!A90</f>
        <v>25</v>
      </c>
      <c r="B87" s="189">
        <f>'Données projet'!D90</f>
        <v>0</v>
      </c>
      <c r="C87" s="200"/>
      <c r="D87" s="187">
        <f t="shared" si="6"/>
        <v>0</v>
      </c>
      <c r="E87" s="202"/>
      <c r="F87" s="259"/>
      <c r="G87" s="218"/>
      <c r="H87" s="199"/>
      <c r="I87" s="200"/>
      <c r="J87" s="5"/>
      <c r="K87" s="179"/>
      <c r="L87" s="5"/>
      <c r="M87" s="5"/>
      <c r="N87" s="5"/>
      <c r="O87" s="203">
        <f>IF(O86+1&lt;=MIN('Données projet'!$E$9:$E$18),O86+1,"STOP")</f>
        <v>54</v>
      </c>
      <c r="P87" s="193">
        <f t="shared" si="5"/>
        <v>14.853893251829088</v>
      </c>
      <c r="Q87" s="262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88">
        <f>'Données projet'!A91</f>
        <v>30</v>
      </c>
      <c r="B88" s="189">
        <f>'Données projet'!D91</f>
        <v>17.948717948717949</v>
      </c>
      <c r="C88" s="200"/>
      <c r="D88" s="187">
        <f t="shared" si="6"/>
        <v>0</v>
      </c>
      <c r="E88" s="202"/>
      <c r="F88" s="259"/>
      <c r="G88" s="218"/>
      <c r="H88" s="199"/>
      <c r="I88" s="200"/>
      <c r="J88" s="5"/>
      <c r="K88" s="179"/>
      <c r="L88" s="5"/>
      <c r="M88" s="5"/>
      <c r="N88" s="5"/>
      <c r="O88" s="203">
        <f>IF(O87+1&lt;=MIN('Données projet'!$E$9:$E$18),O87+1,"STOP")</f>
        <v>55</v>
      </c>
      <c r="P88" s="193">
        <f t="shared" si="5"/>
        <v>14.214251915625919</v>
      </c>
      <c r="Q88" s="262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88">
        <f>'Données projet'!A92</f>
        <v>35</v>
      </c>
      <c r="B89" s="189">
        <f>'Données projet'!D92</f>
        <v>0</v>
      </c>
      <c r="C89" s="200"/>
      <c r="D89" s="187">
        <f t="shared" si="6"/>
        <v>0</v>
      </c>
      <c r="E89" s="202"/>
      <c r="F89" s="259"/>
      <c r="G89" s="218"/>
      <c r="H89" s="199"/>
      <c r="I89" s="200"/>
      <c r="J89" s="5"/>
      <c r="K89" s="179"/>
      <c r="L89" s="5"/>
      <c r="M89" s="5"/>
      <c r="N89" s="5"/>
      <c r="O89" s="203">
        <f>IF(O88+1&lt;=MIN('Données projet'!$E$9:$E$18),O88+1,"STOP")</f>
        <v>56</v>
      </c>
      <c r="P89" s="193">
        <f t="shared" si="5"/>
        <v>13.6021549431827</v>
      </c>
      <c r="Q89" s="262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88">
        <f>'Données projet'!A93</f>
        <v>40</v>
      </c>
      <c r="B90" s="189">
        <f>'Données projet'!D93</f>
        <v>22.435897435897434</v>
      </c>
      <c r="C90" s="200"/>
      <c r="D90" s="187">
        <f t="shared" si="6"/>
        <v>0</v>
      </c>
      <c r="E90" s="202"/>
      <c r="F90" s="259"/>
      <c r="G90" s="218"/>
      <c r="H90" s="199"/>
      <c r="I90" s="200"/>
      <c r="J90" s="5"/>
      <c r="K90" s="179"/>
      <c r="L90" s="5"/>
      <c r="M90" s="5"/>
      <c r="N90" s="5"/>
      <c r="O90" s="203">
        <f>IF(O89+1&lt;=MIN('Données projet'!$E$9:$E$18),O89+1,"STOP")</f>
        <v>57</v>
      </c>
      <c r="P90" s="193">
        <f t="shared" si="5"/>
        <v>13.016416213571965</v>
      </c>
      <c r="Q90" s="262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88">
        <f>'Données projet'!A94</f>
        <v>45</v>
      </c>
      <c r="B91" s="189">
        <f>'Données projet'!D94</f>
        <v>0</v>
      </c>
      <c r="C91" s="200"/>
      <c r="D91" s="187">
        <f t="shared" si="6"/>
        <v>0</v>
      </c>
      <c r="E91" s="202"/>
      <c r="F91" s="259"/>
      <c r="G91" s="219"/>
      <c r="H91" s="199"/>
      <c r="I91" s="200"/>
      <c r="J91" s="5"/>
      <c r="K91" s="179"/>
      <c r="L91" s="5"/>
      <c r="M91" s="5"/>
      <c r="N91" s="5"/>
      <c r="O91" s="203">
        <f>IF(O90+1&lt;=MIN('Données projet'!$E$9:$E$18),O90+1,"STOP")</f>
        <v>58</v>
      </c>
      <c r="P91" s="193">
        <f t="shared" si="5"/>
        <v>12.455900682843987</v>
      </c>
      <c r="Q91" s="262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88">
        <f>'Données projet'!A95</f>
        <v>50</v>
      </c>
      <c r="B92" s="189">
        <f>'Données projet'!D95</f>
        <v>24.358974358974358</v>
      </c>
      <c r="C92" s="200"/>
      <c r="D92" s="187">
        <f t="shared" si="6"/>
        <v>0</v>
      </c>
      <c r="E92" s="202"/>
      <c r="F92" s="259"/>
      <c r="G92" s="219"/>
      <c r="H92" s="199"/>
      <c r="I92" s="200"/>
      <c r="J92" s="5"/>
      <c r="K92" s="179"/>
      <c r="L92" s="5"/>
      <c r="M92" s="5"/>
      <c r="N92" s="5"/>
      <c r="O92" s="203">
        <f>IF(O91+1&lt;=MIN('Données projet'!$E$9:$E$18),O91+1,"STOP")</f>
        <v>59</v>
      </c>
      <c r="P92" s="193">
        <f t="shared" si="5"/>
        <v>11.919522184539701</v>
      </c>
      <c r="Q92" s="262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88">
        <f>'Données projet'!A96</f>
        <v>55</v>
      </c>
      <c r="B93" s="189">
        <f>'Données projet'!D96</f>
        <v>0</v>
      </c>
      <c r="C93" s="200"/>
      <c r="D93" s="187">
        <f t="shared" si="6"/>
        <v>0</v>
      </c>
      <c r="E93" s="202"/>
      <c r="F93" s="259"/>
      <c r="G93" s="219"/>
      <c r="H93" s="199"/>
      <c r="I93" s="200"/>
      <c r="J93" s="5"/>
      <c r="K93" s="179"/>
      <c r="L93" s="5"/>
      <c r="M93" s="5"/>
      <c r="N93" s="5"/>
      <c r="O93" s="203">
        <f>IF(O92+1&lt;=MIN('Données projet'!$E$9:$E$18),O92+1,"STOP")</f>
        <v>60</v>
      </c>
      <c r="P93" s="193">
        <f t="shared" si="5"/>
        <v>11.406241324918376</v>
      </c>
      <c r="Q93" s="262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88">
        <f>'Données projet'!A97</f>
        <v>60</v>
      </c>
      <c r="B94" s="189">
        <f>'Données projet'!D97</f>
        <v>24.358974358974358</v>
      </c>
      <c r="C94" s="200"/>
      <c r="D94" s="187">
        <f t="shared" si="6"/>
        <v>0</v>
      </c>
      <c r="E94" s="202"/>
      <c r="F94" s="259"/>
      <c r="G94" s="219"/>
      <c r="H94" s="199"/>
      <c r="I94" s="200"/>
      <c r="J94" s="5"/>
      <c r="K94" s="179"/>
      <c r="L94" s="5"/>
      <c r="M94" s="5"/>
      <c r="N94" s="5"/>
      <c r="O94" s="203">
        <f>IF(O93+1&lt;=MIN('Données projet'!$E$9:$E$18),O93+1,"STOP")</f>
        <v>61</v>
      </c>
      <c r="P94" s="193">
        <f t="shared" si="5"/>
        <v>10.91506346882141</v>
      </c>
      <c r="Q94" s="262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88">
        <f>'Données projet'!A98</f>
        <v>65</v>
      </c>
      <c r="B95" s="189">
        <f>'Données projet'!D98</f>
        <v>0</v>
      </c>
      <c r="C95" s="200"/>
      <c r="D95" s="187">
        <f t="shared" si="6"/>
        <v>0</v>
      </c>
      <c r="E95" s="202"/>
      <c r="F95" s="259"/>
      <c r="G95" s="219"/>
      <c r="H95" s="199"/>
      <c r="I95" s="200"/>
      <c r="J95" s="5"/>
      <c r="K95" s="179"/>
      <c r="L95" s="5"/>
      <c r="M95" s="5"/>
      <c r="N95" s="5"/>
      <c r="O95" s="203">
        <f>IF(O94+1&lt;=MIN('Données projet'!$E$9:$E$18),O94+1,"STOP")</f>
        <v>62</v>
      </c>
      <c r="P95" s="193">
        <f t="shared" si="5"/>
        <v>10.445036812269297</v>
      </c>
      <c r="Q95" s="262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88">
        <f>'Données projet'!A99</f>
        <v>70</v>
      </c>
      <c r="B96" s="189">
        <f>'Données projet'!D99</f>
        <v>23.076923076923077</v>
      </c>
      <c r="C96" s="200"/>
      <c r="D96" s="187">
        <f t="shared" si="6"/>
        <v>0</v>
      </c>
      <c r="E96" s="202"/>
      <c r="F96" s="259"/>
      <c r="G96" s="219"/>
      <c r="H96" s="199"/>
      <c r="I96" s="200"/>
      <c r="J96" s="5"/>
      <c r="K96" s="179"/>
      <c r="L96" s="5"/>
      <c r="M96" s="5"/>
      <c r="N96" s="5"/>
      <c r="O96" s="203">
        <f>IF(O95+1&lt;=MIN('Données projet'!$E$9:$E$18),O95+1,"STOP")</f>
        <v>63</v>
      </c>
      <c r="P96" s="193">
        <f t="shared" si="5"/>
        <v>9.9952505380567409</v>
      </c>
      <c r="Q96" s="262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88">
        <f>'Données projet'!A100</f>
        <v>75</v>
      </c>
      <c r="B97" s="189">
        <f>'Données projet'!D100</f>
        <v>0</v>
      </c>
      <c r="C97" s="200"/>
      <c r="D97" s="187">
        <f t="shared" si="6"/>
        <v>0</v>
      </c>
      <c r="E97" s="202"/>
      <c r="F97" s="259"/>
      <c r="G97" s="219"/>
      <c r="H97" s="199"/>
      <c r="I97" s="200"/>
      <c r="J97" s="5"/>
      <c r="K97" s="179"/>
      <c r="L97" s="5"/>
      <c r="M97" s="5"/>
      <c r="N97" s="5"/>
      <c r="O97" s="203">
        <f>IF(O96+1&lt;=MIN('Données projet'!$E$9:$E$18),O96+1,"STOP")</f>
        <v>64</v>
      </c>
      <c r="P97" s="193">
        <f t="shared" ref="P97:P128" si="7">$P$25/(1+$M$4)^O97</f>
        <v>9.5648330507720072</v>
      </c>
      <c r="Q97" s="262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88">
        <f>'Données projet'!A101</f>
        <v>80</v>
      </c>
      <c r="B98" s="189">
        <f>'Données projet'!D101</f>
        <v>22.435897435897434</v>
      </c>
      <c r="C98" s="200"/>
      <c r="D98" s="187">
        <f t="shared" si="6"/>
        <v>0</v>
      </c>
      <c r="E98" s="202"/>
      <c r="F98" s="259"/>
      <c r="G98" s="219"/>
      <c r="H98" s="199"/>
      <c r="I98" s="200"/>
      <c r="J98" s="5"/>
      <c r="K98" s="179"/>
      <c r="L98" s="5"/>
      <c r="M98" s="5"/>
      <c r="N98" s="5"/>
      <c r="O98" s="203">
        <f>IF(O97+1&lt;=MIN('Données projet'!$E$9:$E$18),O97+1,"STOP")</f>
        <v>65</v>
      </c>
      <c r="P98" s="193">
        <f t="shared" si="7"/>
        <v>9.1529502878201026</v>
      </c>
      <c r="Q98" s="262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88">
        <f>'Données projet'!A102</f>
        <v>85</v>
      </c>
      <c r="B99" s="189">
        <f>'Données projet'!D102</f>
        <v>0</v>
      </c>
      <c r="C99" s="202"/>
      <c r="D99" s="187">
        <f t="shared" si="6"/>
        <v>0</v>
      </c>
      <c r="E99" s="202"/>
      <c r="F99" s="259"/>
      <c r="G99" s="219"/>
      <c r="H99" s="199"/>
      <c r="I99" s="200"/>
      <c r="J99" s="5"/>
      <c r="K99" s="179"/>
      <c r="L99" s="5"/>
      <c r="M99" s="5"/>
      <c r="N99" s="5"/>
      <c r="O99" s="203">
        <f>IF(O98+1&lt;=MIN('Données projet'!$E$9:$E$18),O98+1,"STOP")</f>
        <v>66</v>
      </c>
      <c r="P99" s="193">
        <f t="shared" si="7"/>
        <v>8.758804103177134</v>
      </c>
      <c r="Q99" s="262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88">
        <f>'Données projet'!A103</f>
        <v>90</v>
      </c>
      <c r="B100" s="189">
        <f>'Données projet'!D103</f>
        <v>21.153846153846153</v>
      </c>
      <c r="C100" s="200"/>
      <c r="D100" s="187">
        <f t="shared" si="6"/>
        <v>0</v>
      </c>
      <c r="E100" s="202"/>
      <c r="F100" s="259"/>
      <c r="G100" s="219"/>
      <c r="H100" s="199"/>
      <c r="I100" s="200"/>
      <c r="J100" s="5"/>
      <c r="K100" s="179"/>
      <c r="L100" s="5"/>
      <c r="M100" s="5"/>
      <c r="N100" s="5"/>
      <c r="O100" s="203">
        <f>IF(O99+1&lt;=MIN('Données projet'!$E$9:$E$18),O99+1,"STOP")</f>
        <v>67</v>
      </c>
      <c r="P100" s="193">
        <f t="shared" si="7"/>
        <v>8.3816307207436687</v>
      </c>
      <c r="Q100" s="262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88">
        <f>'Données projet'!A104</f>
        <v>95</v>
      </c>
      <c r="B101" s="189">
        <f>'Données projet'!D104</f>
        <v>0</v>
      </c>
      <c r="C101" s="200"/>
      <c r="D101" s="187">
        <f t="shared" si="6"/>
        <v>0</v>
      </c>
      <c r="E101" s="202"/>
      <c r="F101" s="259"/>
      <c r="G101" s="219"/>
      <c r="H101" s="199"/>
      <c r="I101" s="200"/>
      <c r="J101" s="5"/>
      <c r="K101" s="179"/>
      <c r="L101" s="5"/>
      <c r="M101" s="5"/>
      <c r="N101" s="5"/>
      <c r="O101" s="203">
        <f>IF(O100+1&lt;=MIN('Données projet'!$E$9:$E$18),O100+1,"STOP")</f>
        <v>68</v>
      </c>
      <c r="P101" s="193">
        <f t="shared" si="7"/>
        <v>8.0206992543001618</v>
      </c>
      <c r="Q101" s="262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88">
        <f>'Données projet'!A105</f>
        <v>100</v>
      </c>
      <c r="B102" s="189">
        <f>'Données projet'!D105</f>
        <v>20.512820512820511</v>
      </c>
      <c r="C102" s="200"/>
      <c r="D102" s="187">
        <f t="shared" si="6"/>
        <v>0</v>
      </c>
      <c r="E102" s="202"/>
      <c r="F102" s="259"/>
      <c r="G102" s="219"/>
      <c r="H102" s="199"/>
      <c r="I102" s="200"/>
      <c r="J102" s="5"/>
      <c r="K102" s="179"/>
      <c r="L102" s="5"/>
      <c r="M102" s="5"/>
      <c r="N102" s="5"/>
      <c r="O102" s="203">
        <f>IF(O101+1&lt;=MIN('Données projet'!$E$9:$E$18),O101+1,"STOP")</f>
        <v>69</v>
      </c>
      <c r="P102" s="193">
        <f t="shared" si="7"/>
        <v>7.675310291196328</v>
      </c>
      <c r="Q102" s="262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88">
        <f>'Données projet'!A106</f>
        <v>115</v>
      </c>
      <c r="B103" s="189">
        <f>'Données projet'!D106</f>
        <v>28.205128205128204</v>
      </c>
      <c r="C103" s="200"/>
      <c r="D103" s="187">
        <f t="shared" si="6"/>
        <v>0</v>
      </c>
      <c r="E103" s="202"/>
      <c r="F103" s="259"/>
      <c r="G103" s="219"/>
      <c r="H103" s="199"/>
      <c r="I103" s="200"/>
      <c r="J103" s="5"/>
      <c r="K103" s="179"/>
      <c r="L103" s="5"/>
      <c r="M103" s="5"/>
      <c r="N103" s="5"/>
      <c r="O103" s="203" t="str">
        <f>IF(O102+1&lt;=MIN('Données projet'!$E$9:$E$18),O102+1,"STOP")</f>
        <v>STOP</v>
      </c>
      <c r="P103" s="193" t="e">
        <f t="shared" si="7"/>
        <v>#VALUE!</v>
      </c>
      <c r="Q103" s="262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88">
        <f>'Données projet'!A107</f>
        <v>130</v>
      </c>
      <c r="B104" s="189">
        <f>'Données projet'!D107</f>
        <v>348.07692307692304</v>
      </c>
      <c r="C104" s="200"/>
      <c r="D104" s="187">
        <f t="shared" si="6"/>
        <v>0</v>
      </c>
      <c r="E104" s="202"/>
      <c r="F104" s="259"/>
      <c r="G104" s="219"/>
      <c r="H104" s="199"/>
      <c r="I104" s="200"/>
      <c r="J104" s="5"/>
      <c r="K104" s="179"/>
      <c r="L104" s="5"/>
      <c r="M104" s="5"/>
      <c r="N104" s="5"/>
      <c r="O104" s="203" t="e">
        <f>IF(O103+1&lt;=MIN('Données projet'!$E$9:$E$18),O103+1,"STOP")</f>
        <v>#VALUE!</v>
      </c>
      <c r="P104" s="193" t="e">
        <f t="shared" si="7"/>
        <v>#VALUE!</v>
      </c>
      <c r="Q104" s="262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57"/>
      <c r="G105" s="219"/>
      <c r="H105" s="199"/>
      <c r="I105" s="200"/>
      <c r="J105" s="5"/>
      <c r="K105" s="179"/>
      <c r="L105" s="5"/>
      <c r="M105" s="5"/>
      <c r="N105" s="5"/>
      <c r="O105" s="203" t="e">
        <f>IF(O104+1&lt;=MIN('Données projet'!$E$9:$E$18),O104+1,"STOP")</f>
        <v>#VALUE!</v>
      </c>
      <c r="P105" s="193" t="e">
        <f t="shared" si="7"/>
        <v>#VALUE!</v>
      </c>
      <c r="Q105" s="262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57"/>
      <c r="G106" s="219"/>
      <c r="H106" s="199"/>
      <c r="I106" s="200"/>
      <c r="J106" s="5"/>
      <c r="K106" s="179"/>
      <c r="L106" s="5"/>
      <c r="M106" s="5"/>
      <c r="N106" s="5"/>
      <c r="O106" s="203" t="e">
        <f>IF(O105+1&lt;=MIN('Données projet'!$E$9:$E$18),O105+1,"STOP")</f>
        <v>#VALUE!</v>
      </c>
      <c r="P106" s="193" t="e">
        <f t="shared" si="7"/>
        <v>#VALUE!</v>
      </c>
      <c r="Q106" s="262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2" t="str">
        <f>IF('Données projet'!B12="","",'Données projet'!B12)</f>
        <v>Cormier</v>
      </c>
      <c r="C107" s="5"/>
      <c r="D107" s="5"/>
      <c r="E107" s="5"/>
      <c r="F107" s="257"/>
      <c r="G107" s="219"/>
      <c r="H107" s="199"/>
      <c r="I107" s="200"/>
      <c r="J107" s="5"/>
      <c r="K107" s="179"/>
      <c r="L107" s="5"/>
      <c r="M107" s="5"/>
      <c r="N107" s="5"/>
      <c r="O107" s="203" t="e">
        <f>IF(O106+1&lt;=MIN('Données projet'!$E$9:$E$18),O106+1,"STOP")</f>
        <v>#VALUE!</v>
      </c>
      <c r="P107" s="193" t="e">
        <f t="shared" si="7"/>
        <v>#VALUE!</v>
      </c>
      <c r="Q107" s="262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57"/>
      <c r="G108" s="219"/>
      <c r="H108" s="199"/>
      <c r="I108" s="200"/>
      <c r="J108" s="5"/>
      <c r="K108" s="179"/>
      <c r="L108" s="5"/>
      <c r="M108" s="5"/>
      <c r="N108" s="5"/>
      <c r="O108" s="203" t="e">
        <f>IF(O107+1&lt;=MIN('Données projet'!$E$9:$E$18),O107+1,"STOP")</f>
        <v>#VALUE!</v>
      </c>
      <c r="P108" s="193" t="e">
        <f t="shared" si="7"/>
        <v>#VALUE!</v>
      </c>
      <c r="Q108" s="262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3" t="s">
        <v>180</v>
      </c>
      <c r="B109" s="51" t="s">
        <v>256</v>
      </c>
      <c r="C109" s="51" t="s">
        <v>255</v>
      </c>
      <c r="D109" s="253" t="s">
        <v>252</v>
      </c>
      <c r="E109" s="253" t="s">
        <v>320</v>
      </c>
      <c r="F109" s="258"/>
      <c r="G109" s="219"/>
      <c r="H109" s="199"/>
      <c r="I109" s="200"/>
      <c r="J109" s="5"/>
      <c r="K109" s="179"/>
      <c r="L109" s="5"/>
      <c r="M109" s="5"/>
      <c r="N109" s="5"/>
      <c r="O109" s="203" t="e">
        <f>IF(O108+1&lt;=MIN('Données projet'!$E$9:$E$18),O108+1,"STOP")</f>
        <v>#VALUE!</v>
      </c>
      <c r="P109" s="193" t="e">
        <f t="shared" si="7"/>
        <v>#VALUE!</v>
      </c>
      <c r="Q109" s="262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06">
        <v>0</v>
      </c>
      <c r="B110" s="209" t="s">
        <v>132</v>
      </c>
      <c r="C110" s="208" t="s">
        <v>132</v>
      </c>
      <c r="D110" s="207" t="s">
        <v>132</v>
      </c>
      <c r="E110" s="202"/>
      <c r="F110" s="258"/>
      <c r="G110" s="219"/>
      <c r="H110" s="199"/>
      <c r="I110" s="200"/>
      <c r="J110" s="5"/>
      <c r="K110" s="179"/>
      <c r="L110" s="5"/>
      <c r="M110" s="5"/>
      <c r="N110" s="5"/>
      <c r="O110" s="203" t="e">
        <f>IF(O109+1&lt;=MIN('Données projet'!$E$9:$E$18),O109+1,"STOP")</f>
        <v>#VALUE!</v>
      </c>
      <c r="P110" s="193" t="e">
        <f t="shared" si="7"/>
        <v>#VALUE!</v>
      </c>
      <c r="Q110" s="262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06">
        <v>1</v>
      </c>
      <c r="B111" s="209" t="s">
        <v>132</v>
      </c>
      <c r="C111" s="208" t="s">
        <v>132</v>
      </c>
      <c r="D111" s="207" t="s">
        <v>132</v>
      </c>
      <c r="E111" s="202"/>
      <c r="F111" s="258"/>
      <c r="G111" s="217"/>
      <c r="H111" s="199"/>
      <c r="I111" s="200"/>
      <c r="J111" s="5"/>
      <c r="K111" s="179"/>
      <c r="L111" s="5"/>
      <c r="M111" s="5"/>
      <c r="N111" s="5"/>
      <c r="O111" s="203" t="e">
        <f>IF(O110+1&lt;=MIN('Données projet'!$E$9:$E$18),O110+1,"STOP")</f>
        <v>#VALUE!</v>
      </c>
      <c r="P111" s="193" t="e">
        <f t="shared" si="7"/>
        <v>#VALUE!</v>
      </c>
      <c r="Q111" s="262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06">
        <v>2</v>
      </c>
      <c r="B112" s="209" t="s">
        <v>132</v>
      </c>
      <c r="C112" s="208" t="s">
        <v>132</v>
      </c>
      <c r="D112" s="207" t="s">
        <v>132</v>
      </c>
      <c r="E112" s="202"/>
      <c r="F112" s="258"/>
      <c r="G112" s="217"/>
      <c r="H112" s="199"/>
      <c r="I112" s="200"/>
      <c r="J112" s="5"/>
      <c r="K112" s="179"/>
      <c r="L112" s="5"/>
      <c r="M112" s="5"/>
      <c r="N112" s="5"/>
      <c r="O112" s="203" t="e">
        <f>IF(O111+1&lt;=MIN('Données projet'!$E$9:$E$18),O111+1,"STOP")</f>
        <v>#VALUE!</v>
      </c>
      <c r="P112" s="193" t="e">
        <f t="shared" si="7"/>
        <v>#VALUE!</v>
      </c>
      <c r="Q112" s="262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06">
        <v>3</v>
      </c>
      <c r="B113" s="209" t="s">
        <v>132</v>
      </c>
      <c r="C113" s="208" t="s">
        <v>132</v>
      </c>
      <c r="D113" s="207" t="s">
        <v>132</v>
      </c>
      <c r="E113" s="202"/>
      <c r="F113" s="258"/>
      <c r="G113" s="217"/>
      <c r="H113" s="199"/>
      <c r="I113" s="200"/>
      <c r="J113" s="5"/>
      <c r="K113" s="179"/>
      <c r="L113" s="5"/>
      <c r="M113" s="5"/>
      <c r="N113" s="5"/>
      <c r="O113" s="203" t="e">
        <f>IF(O112+1&lt;=MIN('Données projet'!$E$9:$E$18),O112+1,"STOP")</f>
        <v>#VALUE!</v>
      </c>
      <c r="P113" s="193" t="e">
        <f t="shared" si="7"/>
        <v>#VALUE!</v>
      </c>
      <c r="Q113" s="262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06">
        <v>4</v>
      </c>
      <c r="B114" s="209" t="s">
        <v>132</v>
      </c>
      <c r="C114" s="208" t="s">
        <v>132</v>
      </c>
      <c r="D114" s="207" t="s">
        <v>132</v>
      </c>
      <c r="E114" s="202"/>
      <c r="F114" s="258"/>
      <c r="G114" s="217"/>
      <c r="H114" s="199"/>
      <c r="I114" s="200"/>
      <c r="J114" s="5"/>
      <c r="K114" s="179"/>
      <c r="L114" s="5"/>
      <c r="M114" s="5"/>
      <c r="N114" s="5"/>
      <c r="O114" s="203" t="e">
        <f>IF(O113+1&lt;=MIN('Données projet'!$E$9:$E$18),O113+1,"STOP")</f>
        <v>#VALUE!</v>
      </c>
      <c r="P114" s="193" t="e">
        <f t="shared" si="7"/>
        <v>#VALUE!</v>
      </c>
      <c r="Q114" s="262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06">
        <v>5</v>
      </c>
      <c r="B115" s="209" t="s">
        <v>132</v>
      </c>
      <c r="C115" s="208" t="s">
        <v>132</v>
      </c>
      <c r="D115" s="207" t="s">
        <v>132</v>
      </c>
      <c r="E115" s="202"/>
      <c r="F115" s="258"/>
      <c r="G115" s="218"/>
      <c r="H115" s="199"/>
      <c r="I115" s="200"/>
      <c r="J115" s="5"/>
      <c r="K115" s="179"/>
      <c r="L115" s="5"/>
      <c r="M115" s="5"/>
      <c r="N115" s="5"/>
      <c r="O115" s="203" t="e">
        <f>IF(O114+1&lt;=MIN('Données projet'!$E$9:$E$18),O114+1,"STOP")</f>
        <v>#VALUE!</v>
      </c>
      <c r="P115" s="193" t="e">
        <f t="shared" si="7"/>
        <v>#VALUE!</v>
      </c>
      <c r="Q115" s="262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88">
        <f>'Données projet'!A114</f>
        <v>20</v>
      </c>
      <c r="B116" s="189">
        <f>'Données projet'!D114</f>
        <v>0</v>
      </c>
      <c r="C116" s="200"/>
      <c r="D116" s="187">
        <f>B116*C116</f>
        <v>0</v>
      </c>
      <c r="E116" s="202"/>
      <c r="F116" s="259"/>
      <c r="G116" s="218"/>
      <c r="H116" s="199"/>
      <c r="I116" s="200"/>
      <c r="J116" s="5"/>
      <c r="K116" s="179"/>
      <c r="L116" s="5"/>
      <c r="M116" s="5"/>
      <c r="N116" s="5"/>
      <c r="O116" s="203" t="e">
        <f>IF(O115+1&lt;=MIN('Données projet'!$E$9:$E$18),O115+1,"STOP")</f>
        <v>#VALUE!</v>
      </c>
      <c r="P116" s="193" t="e">
        <f t="shared" si="7"/>
        <v>#VALUE!</v>
      </c>
      <c r="Q116" s="262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88">
        <f>'Données projet'!A115</f>
        <v>25</v>
      </c>
      <c r="B117" s="189">
        <f>'Données projet'!D115</f>
        <v>8</v>
      </c>
      <c r="C117" s="202">
        <v>10</v>
      </c>
      <c r="D117" s="187">
        <f t="shared" ref="D117:D135" si="8">B117*C117</f>
        <v>80</v>
      </c>
      <c r="E117" s="202"/>
      <c r="F117" s="259"/>
      <c r="G117" s="218"/>
      <c r="H117" s="199"/>
      <c r="I117" s="200"/>
      <c r="J117" s="5"/>
      <c r="K117" s="179"/>
      <c r="L117" s="5"/>
      <c r="M117" s="5"/>
      <c r="N117" s="5"/>
      <c r="O117" s="203" t="e">
        <f>IF(O116+1&lt;=MIN('Données projet'!$E$9:$E$18),O116+1,"STOP")</f>
        <v>#VALUE!</v>
      </c>
      <c r="P117" s="193" t="e">
        <f t="shared" si="7"/>
        <v>#VALUE!</v>
      </c>
      <c r="Q117" s="262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88">
        <f>'Données projet'!A116</f>
        <v>30</v>
      </c>
      <c r="B118" s="189">
        <f>'Données projet'!D116</f>
        <v>0</v>
      </c>
      <c r="C118" s="200"/>
      <c r="D118" s="187">
        <f t="shared" si="8"/>
        <v>0</v>
      </c>
      <c r="E118" s="202"/>
      <c r="F118" s="259"/>
      <c r="G118" s="218"/>
      <c r="H118" s="199"/>
      <c r="I118" s="200"/>
      <c r="J118" s="5"/>
      <c r="K118" s="179"/>
      <c r="L118" s="5"/>
      <c r="M118" s="5"/>
      <c r="N118" s="5"/>
      <c r="O118" s="203" t="e">
        <f>IF(O117+1&lt;=MIN('Données projet'!$E$9:$E$18),O117+1,"STOP")</f>
        <v>#VALUE!</v>
      </c>
      <c r="P118" s="193" t="e">
        <f t="shared" si="7"/>
        <v>#VALUE!</v>
      </c>
      <c r="Q118" s="262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88">
        <f>'Données projet'!A117</f>
        <v>35</v>
      </c>
      <c r="B119" s="189">
        <f>'Données projet'!D117</f>
        <v>42</v>
      </c>
      <c r="C119" s="200">
        <v>10</v>
      </c>
      <c r="D119" s="187">
        <f t="shared" si="8"/>
        <v>420</v>
      </c>
      <c r="E119" s="202"/>
      <c r="F119" s="259"/>
      <c r="G119" s="218"/>
      <c r="H119" s="199"/>
      <c r="I119" s="200"/>
      <c r="J119" s="5"/>
      <c r="K119" s="179"/>
      <c r="L119" s="5"/>
      <c r="M119" s="5"/>
      <c r="N119" s="5"/>
      <c r="O119" s="203" t="e">
        <f>IF(O118+1&lt;=MIN('Données projet'!$E$9:$E$18),O118+1,"STOP")</f>
        <v>#VALUE!</v>
      </c>
      <c r="P119" s="193" t="e">
        <f t="shared" si="7"/>
        <v>#VALUE!</v>
      </c>
      <c r="Q119" s="262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88">
        <f>'Données projet'!A118</f>
        <v>40</v>
      </c>
      <c r="B120" s="189">
        <f>'Données projet'!D118</f>
        <v>0</v>
      </c>
      <c r="C120" s="200"/>
      <c r="D120" s="187">
        <f t="shared" si="8"/>
        <v>0</v>
      </c>
      <c r="E120" s="202"/>
      <c r="F120" s="259"/>
      <c r="G120" s="218"/>
      <c r="H120" s="199"/>
      <c r="I120" s="200"/>
      <c r="J120" s="5"/>
      <c r="K120" s="179"/>
      <c r="L120" s="5"/>
      <c r="M120" s="5"/>
      <c r="N120" s="5"/>
      <c r="O120" s="203" t="e">
        <f>IF(O119+1&lt;=MIN('Données projet'!$E$9:$E$18),O119+1,"STOP")</f>
        <v>#VALUE!</v>
      </c>
      <c r="P120" s="193" t="e">
        <f t="shared" si="7"/>
        <v>#VALUE!</v>
      </c>
      <c r="Q120" s="262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88">
        <f>'Données projet'!A119</f>
        <v>45</v>
      </c>
      <c r="B121" s="189">
        <f>'Données projet'!D119</f>
        <v>42</v>
      </c>
      <c r="C121" s="200">
        <v>15</v>
      </c>
      <c r="D121" s="187">
        <f t="shared" si="8"/>
        <v>630</v>
      </c>
      <c r="E121" s="202"/>
      <c r="F121" s="259"/>
      <c r="G121" s="218"/>
      <c r="H121" s="199"/>
      <c r="I121" s="200"/>
      <c r="J121" s="5"/>
      <c r="K121" s="179"/>
      <c r="L121" s="5"/>
      <c r="M121" s="5"/>
      <c r="N121" s="5"/>
      <c r="O121" s="203" t="e">
        <f>IF(O120+1&lt;=MIN('Données projet'!$E$9:$E$18),O120+1,"STOP")</f>
        <v>#VALUE!</v>
      </c>
      <c r="P121" s="193" t="e">
        <f t="shared" si="7"/>
        <v>#VALUE!</v>
      </c>
      <c r="Q121" s="262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88">
        <f>'Données projet'!A120</f>
        <v>50</v>
      </c>
      <c r="B122" s="189">
        <f>'Données projet'!D120</f>
        <v>0</v>
      </c>
      <c r="C122" s="200"/>
      <c r="D122" s="187">
        <f t="shared" si="8"/>
        <v>0</v>
      </c>
      <c r="E122" s="202"/>
      <c r="F122" s="259"/>
      <c r="G122" s="219"/>
      <c r="H122" s="199"/>
      <c r="I122" s="200"/>
      <c r="J122" s="5"/>
      <c r="K122" s="179"/>
      <c r="L122" s="5"/>
      <c r="M122" s="5"/>
      <c r="N122" s="5"/>
      <c r="O122" s="203" t="e">
        <f>IF(O121+1&lt;=MIN('Données projet'!$E$9:$E$18),O121+1,"STOP")</f>
        <v>#VALUE!</v>
      </c>
      <c r="P122" s="193" t="e">
        <f t="shared" si="7"/>
        <v>#VALUE!</v>
      </c>
      <c r="Q122" s="262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88">
        <f>'Données projet'!A121</f>
        <v>55</v>
      </c>
      <c r="B123" s="189">
        <f>'Données projet'!D121</f>
        <v>42</v>
      </c>
      <c r="C123" s="200">
        <v>20</v>
      </c>
      <c r="D123" s="187">
        <f t="shared" si="8"/>
        <v>840</v>
      </c>
      <c r="E123" s="202"/>
      <c r="F123" s="259"/>
      <c r="G123" s="219"/>
      <c r="H123" s="199"/>
      <c r="I123" s="200"/>
      <c r="J123" s="5"/>
      <c r="K123" s="179"/>
      <c r="L123" s="5"/>
      <c r="M123" s="5"/>
      <c r="N123" s="5"/>
      <c r="O123" s="203" t="e">
        <f>IF(O122+1&lt;=MIN('Données projet'!$E$9:$E$18),O122+1,"STOP")</f>
        <v>#VALUE!</v>
      </c>
      <c r="P123" s="193" t="e">
        <f t="shared" si="7"/>
        <v>#VALUE!</v>
      </c>
      <c r="Q123" s="262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88">
        <f>'Données projet'!A122</f>
        <v>60</v>
      </c>
      <c r="B124" s="189">
        <f>'Données projet'!D122</f>
        <v>0</v>
      </c>
      <c r="C124" s="200"/>
      <c r="D124" s="187">
        <f t="shared" si="8"/>
        <v>0</v>
      </c>
      <c r="E124" s="202"/>
      <c r="F124" s="259"/>
      <c r="G124" s="219"/>
      <c r="H124" s="199"/>
      <c r="I124" s="200"/>
      <c r="J124" s="5"/>
      <c r="K124" s="179"/>
      <c r="L124" s="5"/>
      <c r="M124" s="5"/>
      <c r="N124" s="5"/>
      <c r="O124" s="203" t="e">
        <f>IF(O123+1&lt;=MIN('Données projet'!$E$9:$E$18),O123+1,"STOP")</f>
        <v>#VALUE!</v>
      </c>
      <c r="P124" s="193" t="e">
        <f t="shared" si="7"/>
        <v>#VALUE!</v>
      </c>
      <c r="Q124" s="262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88">
        <f>'Données projet'!A123</f>
        <v>65</v>
      </c>
      <c r="B125" s="189">
        <f>'Données projet'!D123</f>
        <v>42</v>
      </c>
      <c r="C125" s="200">
        <v>30</v>
      </c>
      <c r="D125" s="187">
        <f t="shared" si="8"/>
        <v>1260</v>
      </c>
      <c r="E125" s="202"/>
      <c r="F125" s="259"/>
      <c r="G125" s="219"/>
      <c r="H125" s="199"/>
      <c r="I125" s="200"/>
      <c r="J125" s="5"/>
      <c r="K125" s="179"/>
      <c r="L125" s="5"/>
      <c r="M125" s="5"/>
      <c r="N125" s="5"/>
      <c r="O125" s="203" t="e">
        <f>IF(O124+1&lt;=MIN('Données projet'!$E$9:$E$18),O124+1,"STOP")</f>
        <v>#VALUE!</v>
      </c>
      <c r="P125" s="193" t="e">
        <f t="shared" si="7"/>
        <v>#VALUE!</v>
      </c>
      <c r="Q125" s="262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88">
        <f>'Données projet'!A124</f>
        <v>70</v>
      </c>
      <c r="B126" s="189">
        <f>'Données projet'!D124</f>
        <v>0</v>
      </c>
      <c r="C126" s="200"/>
      <c r="D126" s="187">
        <f t="shared" si="8"/>
        <v>0</v>
      </c>
      <c r="E126" s="202"/>
      <c r="F126" s="259"/>
      <c r="G126" s="219"/>
      <c r="H126" s="199"/>
      <c r="I126" s="200"/>
      <c r="J126" s="5"/>
      <c r="K126" s="179"/>
      <c r="L126" s="5"/>
      <c r="M126" s="5"/>
      <c r="N126" s="5"/>
      <c r="O126" s="203" t="e">
        <f>IF(O125+1&lt;=MIN('Données projet'!$E$9:$E$18),O125+1,"STOP")</f>
        <v>#VALUE!</v>
      </c>
      <c r="P126" s="193" t="e">
        <f t="shared" si="7"/>
        <v>#VALUE!</v>
      </c>
      <c r="Q126" s="262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88">
        <f>'Données projet'!A125</f>
        <v>75</v>
      </c>
      <c r="B127" s="189">
        <f>'Données projet'!D125</f>
        <v>42</v>
      </c>
      <c r="C127" s="200">
        <v>40</v>
      </c>
      <c r="D127" s="187">
        <f t="shared" si="8"/>
        <v>1680</v>
      </c>
      <c r="E127" s="202"/>
      <c r="F127" s="259"/>
      <c r="G127" s="219"/>
      <c r="H127" s="199"/>
      <c r="I127" s="200"/>
      <c r="J127" s="5"/>
      <c r="K127" s="179"/>
      <c r="L127" s="5"/>
      <c r="M127" s="5"/>
      <c r="N127" s="5"/>
      <c r="O127" s="203" t="e">
        <f>IF(O126+1&lt;=MIN('Données projet'!$E$9:$E$18),O126+1,"STOP")</f>
        <v>#VALUE!</v>
      </c>
      <c r="P127" s="193" t="e">
        <f t="shared" si="7"/>
        <v>#VALUE!</v>
      </c>
      <c r="Q127" s="262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88">
        <f>'Données projet'!A126</f>
        <v>80</v>
      </c>
      <c r="B128" s="189">
        <f>'Données projet'!D126</f>
        <v>0</v>
      </c>
      <c r="C128" s="200"/>
      <c r="D128" s="187">
        <f t="shared" si="8"/>
        <v>0</v>
      </c>
      <c r="E128" s="202"/>
      <c r="F128" s="259"/>
      <c r="G128" s="219"/>
      <c r="H128" s="199"/>
      <c r="I128" s="200"/>
      <c r="J128" s="5"/>
      <c r="K128" s="179"/>
      <c r="L128" s="5"/>
      <c r="M128" s="5"/>
      <c r="N128" s="5"/>
      <c r="O128" s="203" t="e">
        <f>IF(O127+1&lt;=MIN('Données projet'!$E$9:$E$18),O127+1,"STOP")</f>
        <v>#VALUE!</v>
      </c>
      <c r="P128" s="193" t="e">
        <f t="shared" si="7"/>
        <v>#VALUE!</v>
      </c>
      <c r="Q128" s="262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88">
        <f>'Données projet'!A127</f>
        <v>85</v>
      </c>
      <c r="B129" s="189">
        <f>'Données projet'!D127</f>
        <v>42</v>
      </c>
      <c r="C129" s="200">
        <v>50</v>
      </c>
      <c r="D129" s="187">
        <f t="shared" si="8"/>
        <v>2100</v>
      </c>
      <c r="E129" s="202"/>
      <c r="F129" s="259"/>
      <c r="G129" s="219"/>
      <c r="H129" s="199"/>
      <c r="I129" s="200"/>
      <c r="J129" s="5"/>
      <c r="K129" s="179"/>
      <c r="L129" s="5"/>
      <c r="M129" s="5"/>
      <c r="N129" s="5"/>
      <c r="O129" s="203" t="e">
        <f>IF(O128+1&lt;=MIN('Données projet'!$E$9:$E$18),O128+1,"STOP")</f>
        <v>#VALUE!</v>
      </c>
      <c r="P129" s="193" t="e">
        <f t="shared" ref="P129:P132" si="9">$P$25/(1+$M$4)^O129</f>
        <v>#VALUE!</v>
      </c>
      <c r="Q129" s="262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88">
        <f>'Données projet'!A128</f>
        <v>95</v>
      </c>
      <c r="B130" s="189">
        <f>'Données projet'!D128</f>
        <v>42</v>
      </c>
      <c r="C130" s="202">
        <v>60</v>
      </c>
      <c r="D130" s="187">
        <f t="shared" si="8"/>
        <v>2520</v>
      </c>
      <c r="E130" s="202"/>
      <c r="F130" s="259"/>
      <c r="G130" s="219"/>
      <c r="H130" s="199"/>
      <c r="I130" s="200"/>
      <c r="J130" s="5"/>
      <c r="K130" s="179"/>
      <c r="L130" s="5"/>
      <c r="M130" s="5"/>
      <c r="N130" s="5"/>
      <c r="O130" s="203" t="e">
        <f>IF(O129+1&lt;=MIN('Données projet'!$E$9:$E$18),O129+1,"STOP")</f>
        <v>#VALUE!</v>
      </c>
      <c r="P130" s="193" t="e">
        <f t="shared" si="9"/>
        <v>#VALUE!</v>
      </c>
      <c r="Q130" s="262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88">
        <f>'Données projet'!A129</f>
        <v>105</v>
      </c>
      <c r="B131" s="189">
        <f>'Données projet'!D129</f>
        <v>41</v>
      </c>
      <c r="C131" s="202">
        <v>70</v>
      </c>
      <c r="D131" s="187">
        <f t="shared" si="8"/>
        <v>2870</v>
      </c>
      <c r="E131" s="202"/>
      <c r="F131" s="259"/>
      <c r="G131" s="219"/>
      <c r="H131" s="199"/>
      <c r="I131" s="200"/>
      <c r="J131" s="5"/>
      <c r="K131" s="179"/>
      <c r="L131" s="5"/>
      <c r="M131" s="5"/>
      <c r="N131" s="5"/>
      <c r="O131" s="203" t="e">
        <f>IF(O130+1&lt;=MIN('Données projet'!$E$9:$E$18),O130+1,"STOP")</f>
        <v>#VALUE!</v>
      </c>
      <c r="P131" s="193" t="e">
        <f t="shared" si="9"/>
        <v>#VALUE!</v>
      </c>
      <c r="Q131" s="262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88">
        <f>'Données projet'!A130</f>
        <v>115</v>
      </c>
      <c r="B132" s="189">
        <f>'Données projet'!D130</f>
        <v>37</v>
      </c>
      <c r="C132" s="202">
        <v>80</v>
      </c>
      <c r="D132" s="187">
        <f t="shared" si="8"/>
        <v>2960</v>
      </c>
      <c r="E132" s="202"/>
      <c r="F132" s="259"/>
      <c r="G132" s="219"/>
      <c r="H132" s="199"/>
      <c r="I132" s="200"/>
      <c r="J132" s="5"/>
      <c r="K132" s="179"/>
      <c r="L132" s="5"/>
      <c r="M132" s="5"/>
      <c r="N132" s="5"/>
      <c r="O132" s="203" t="e">
        <f>IF(O131+1&lt;=MIN('Données projet'!$E$9:$E$18),O131+1,"STOP")</f>
        <v>#VALUE!</v>
      </c>
      <c r="P132" s="193" t="e">
        <f t="shared" si="9"/>
        <v>#VALUE!</v>
      </c>
      <c r="Q132" s="262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88">
        <f>'Données projet'!A131</f>
        <v>125</v>
      </c>
      <c r="B133" s="189">
        <f>'Données projet'!D131</f>
        <v>33</v>
      </c>
      <c r="C133" s="202">
        <v>90</v>
      </c>
      <c r="D133" s="187">
        <f t="shared" si="8"/>
        <v>2970</v>
      </c>
      <c r="E133" s="202"/>
      <c r="F133" s="259"/>
      <c r="G133" s="219"/>
      <c r="H133" s="199"/>
      <c r="I133" s="200"/>
      <c r="J133" s="5"/>
      <c r="K133" s="179"/>
      <c r="Q133" s="262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88">
        <f>'Données projet'!A132</f>
        <v>135</v>
      </c>
      <c r="B134" s="189">
        <f>'Données projet'!D132</f>
        <v>29</v>
      </c>
      <c r="C134" s="202">
        <v>100</v>
      </c>
      <c r="D134" s="187">
        <f t="shared" si="8"/>
        <v>2900</v>
      </c>
      <c r="E134" s="202"/>
      <c r="F134" s="259"/>
      <c r="G134" s="219"/>
      <c r="H134" s="199"/>
      <c r="I134" s="200"/>
      <c r="J134" s="5"/>
      <c r="K134" s="179"/>
      <c r="Q134" s="262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88">
        <f>'Données projet'!A133</f>
        <v>150</v>
      </c>
      <c r="B135" s="189">
        <f>'Données projet'!D133</f>
        <v>306</v>
      </c>
      <c r="C135" s="202">
        <v>150</v>
      </c>
      <c r="D135" s="187">
        <f t="shared" si="8"/>
        <v>45900</v>
      </c>
      <c r="E135" s="202"/>
      <c r="F135" s="259"/>
      <c r="G135" s="219"/>
      <c r="H135" s="199"/>
      <c r="I135" s="200"/>
      <c r="J135" s="5"/>
      <c r="K135" s="179"/>
      <c r="Q135" s="262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57"/>
      <c r="G136" s="219"/>
      <c r="H136" s="199"/>
      <c r="I136" s="200"/>
      <c r="J136" s="5"/>
      <c r="K136" s="179"/>
      <c r="L136" s="5"/>
      <c r="M136" s="5"/>
      <c r="N136" s="5"/>
      <c r="Q136" s="262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57"/>
      <c r="G137" s="219"/>
      <c r="H137" s="199"/>
      <c r="I137" s="200"/>
      <c r="J137" s="5"/>
      <c r="K137" s="179"/>
      <c r="L137" s="5"/>
      <c r="M137" s="5"/>
      <c r="N137" s="5"/>
      <c r="Q137" s="262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2" t="str">
        <f>IF('Données projet'!B13="","",'Données projet'!B13)</f>
        <v>Erable champêtre</v>
      </c>
      <c r="C138" s="5"/>
      <c r="D138" s="5"/>
      <c r="E138" s="5"/>
      <c r="F138" s="257"/>
      <c r="G138" s="219"/>
      <c r="H138" s="199"/>
      <c r="I138" s="200"/>
      <c r="J138" s="5"/>
      <c r="K138" s="179"/>
      <c r="L138" s="5"/>
      <c r="M138" s="5"/>
      <c r="N138" s="5"/>
      <c r="Q138" s="262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57"/>
      <c r="G139" s="219"/>
      <c r="H139" s="199"/>
      <c r="I139" s="200"/>
      <c r="J139" s="5"/>
      <c r="K139" s="179"/>
      <c r="L139" s="5"/>
      <c r="M139" s="5"/>
      <c r="N139" s="5"/>
      <c r="Q139" s="262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3" t="s">
        <v>180</v>
      </c>
      <c r="B140" s="51" t="s">
        <v>256</v>
      </c>
      <c r="C140" s="51" t="s">
        <v>255</v>
      </c>
      <c r="D140" s="253" t="s">
        <v>252</v>
      </c>
      <c r="E140" s="253" t="s">
        <v>320</v>
      </c>
      <c r="F140" s="258"/>
      <c r="G140" s="219"/>
      <c r="H140" s="199"/>
      <c r="I140" s="200"/>
      <c r="J140" s="5"/>
      <c r="K140" s="179"/>
      <c r="L140" s="5"/>
      <c r="M140" s="5"/>
      <c r="N140" s="5"/>
      <c r="Q140" s="262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06">
        <v>0</v>
      </c>
      <c r="B141" s="209" t="s">
        <v>132</v>
      </c>
      <c r="C141" s="208" t="s">
        <v>132</v>
      </c>
      <c r="D141" s="207" t="s">
        <v>132</v>
      </c>
      <c r="E141" s="202"/>
      <c r="F141" s="258"/>
      <c r="G141" s="219"/>
      <c r="H141" s="199"/>
      <c r="I141" s="200"/>
      <c r="J141" s="5"/>
      <c r="K141" s="179"/>
      <c r="L141" s="5"/>
      <c r="M141" s="5"/>
      <c r="N141" s="5"/>
      <c r="Q141" s="262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06">
        <v>1</v>
      </c>
      <c r="B142" s="209" t="s">
        <v>132</v>
      </c>
      <c r="C142" s="208" t="s">
        <v>132</v>
      </c>
      <c r="D142" s="207" t="s">
        <v>132</v>
      </c>
      <c r="E142" s="202"/>
      <c r="F142" s="258"/>
      <c r="G142" s="217"/>
      <c r="H142" s="199"/>
      <c r="I142" s="200"/>
      <c r="J142" s="5"/>
      <c r="K142" s="179"/>
      <c r="L142" s="5"/>
      <c r="M142" s="5"/>
      <c r="N142" s="5"/>
      <c r="Q142" s="262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06">
        <v>2</v>
      </c>
      <c r="B143" s="209" t="s">
        <v>132</v>
      </c>
      <c r="C143" s="208" t="s">
        <v>132</v>
      </c>
      <c r="D143" s="207" t="s">
        <v>132</v>
      </c>
      <c r="E143" s="202"/>
      <c r="F143" s="258"/>
      <c r="G143" s="217"/>
      <c r="H143" s="199"/>
      <c r="I143" s="200"/>
      <c r="J143" s="5"/>
      <c r="K143" s="179"/>
      <c r="L143" s="5"/>
      <c r="M143" s="5"/>
      <c r="N143" s="5"/>
      <c r="Q143" s="262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06">
        <v>3</v>
      </c>
      <c r="B144" s="209" t="s">
        <v>132</v>
      </c>
      <c r="C144" s="208" t="s">
        <v>132</v>
      </c>
      <c r="D144" s="207" t="s">
        <v>132</v>
      </c>
      <c r="E144" s="202"/>
      <c r="F144" s="258"/>
      <c r="G144" s="217"/>
      <c r="H144" s="199"/>
      <c r="I144" s="200"/>
      <c r="J144" s="5"/>
      <c r="K144" s="179"/>
      <c r="L144" s="5"/>
      <c r="M144" s="5"/>
      <c r="N144" s="5"/>
      <c r="Q144" s="262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06">
        <v>4</v>
      </c>
      <c r="B145" s="209" t="s">
        <v>132</v>
      </c>
      <c r="C145" s="208" t="s">
        <v>132</v>
      </c>
      <c r="D145" s="207" t="s">
        <v>132</v>
      </c>
      <c r="E145" s="202"/>
      <c r="F145" s="258"/>
      <c r="G145" s="217"/>
      <c r="H145" s="199"/>
      <c r="I145" s="200"/>
      <c r="J145" s="5"/>
      <c r="K145" s="179"/>
      <c r="L145" s="5"/>
      <c r="M145" s="5"/>
      <c r="N145" s="5"/>
      <c r="Q145" s="262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06">
        <v>5</v>
      </c>
      <c r="B146" s="209" t="s">
        <v>132</v>
      </c>
      <c r="C146" s="208" t="s">
        <v>132</v>
      </c>
      <c r="D146" s="207" t="s">
        <v>132</v>
      </c>
      <c r="E146" s="202"/>
      <c r="F146" s="258"/>
      <c r="G146" s="218"/>
      <c r="H146" s="199"/>
      <c r="I146" s="200"/>
      <c r="J146" s="5"/>
      <c r="K146" s="179"/>
      <c r="L146" s="5"/>
      <c r="M146" s="5"/>
      <c r="N146" s="5"/>
      <c r="Q146" s="262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15</v>
      </c>
      <c r="B147" s="183">
        <f>'Données projet'!D140</f>
        <v>0</v>
      </c>
      <c r="C147" s="200"/>
      <c r="D147" s="190">
        <f>B147*C147</f>
        <v>0</v>
      </c>
      <c r="E147" s="202"/>
      <c r="F147" s="260"/>
      <c r="G147" s="218"/>
      <c r="H147" s="199"/>
      <c r="I147" s="200"/>
      <c r="J147" s="5"/>
      <c r="K147" s="179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20</v>
      </c>
      <c r="B148" s="183">
        <f>'Données projet'!D141</f>
        <v>43.1</v>
      </c>
      <c r="C148" s="202">
        <v>10</v>
      </c>
      <c r="D148" s="190">
        <f t="shared" ref="D148:D166" si="10">B148*C148</f>
        <v>431</v>
      </c>
      <c r="E148" s="202"/>
      <c r="F148" s="260"/>
      <c r="G148" s="218"/>
      <c r="H148" s="199"/>
      <c r="I148" s="200"/>
      <c r="J148" s="5"/>
      <c r="K148" s="179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25</v>
      </c>
      <c r="B149" s="183">
        <f>'Données projet'!D142</f>
        <v>0</v>
      </c>
      <c r="C149" s="200"/>
      <c r="D149" s="190">
        <f t="shared" si="10"/>
        <v>0</v>
      </c>
      <c r="E149" s="202"/>
      <c r="F149" s="260"/>
      <c r="G149" s="218"/>
      <c r="H149" s="199"/>
      <c r="I149" s="200"/>
      <c r="J149" s="5"/>
      <c r="K149" s="179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30</v>
      </c>
      <c r="B150" s="183">
        <f>'Données projet'!D143</f>
        <v>56</v>
      </c>
      <c r="C150" s="200">
        <v>10</v>
      </c>
      <c r="D150" s="190">
        <f t="shared" si="10"/>
        <v>560</v>
      </c>
      <c r="E150" s="202"/>
      <c r="F150" s="260"/>
      <c r="G150" s="218"/>
      <c r="H150" s="199"/>
      <c r="I150" s="200"/>
      <c r="J150" s="5"/>
      <c r="K150" s="179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35</v>
      </c>
      <c r="B151" s="183">
        <f>'Données projet'!D144</f>
        <v>0</v>
      </c>
      <c r="C151" s="200"/>
      <c r="D151" s="190">
        <f t="shared" si="10"/>
        <v>0</v>
      </c>
      <c r="E151" s="202"/>
      <c r="F151" s="260"/>
      <c r="G151" s="218"/>
      <c r="H151" s="199"/>
      <c r="I151" s="200"/>
      <c r="J151" s="5"/>
      <c r="K151" s="179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40</v>
      </c>
      <c r="B152" s="183">
        <f>'Données projet'!D145</f>
        <v>56</v>
      </c>
      <c r="C152" s="200">
        <v>15</v>
      </c>
      <c r="D152" s="190">
        <f t="shared" si="10"/>
        <v>840</v>
      </c>
      <c r="E152" s="202"/>
      <c r="F152" s="260"/>
      <c r="G152" s="218"/>
      <c r="H152" s="199"/>
      <c r="I152" s="200"/>
      <c r="J152" s="5"/>
      <c r="K152" s="179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45</v>
      </c>
      <c r="B153" s="183">
        <f>'Données projet'!D146</f>
        <v>0</v>
      </c>
      <c r="C153" s="200"/>
      <c r="D153" s="190">
        <f t="shared" si="10"/>
        <v>0</v>
      </c>
      <c r="E153" s="202"/>
      <c r="F153" s="260"/>
      <c r="G153" s="214"/>
      <c r="H153" s="199"/>
      <c r="I153" s="200"/>
      <c r="J153" s="5"/>
      <c r="K153" s="179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50</v>
      </c>
      <c r="B154" s="183">
        <f>'Données projet'!D147</f>
        <v>38.299999999999997</v>
      </c>
      <c r="C154" s="200">
        <v>20</v>
      </c>
      <c r="D154" s="190">
        <f t="shared" si="10"/>
        <v>766</v>
      </c>
      <c r="E154" s="202"/>
      <c r="F154" s="260"/>
      <c r="G154" s="214"/>
      <c r="H154" s="199"/>
      <c r="I154" s="200"/>
      <c r="J154" s="5"/>
      <c r="K154" s="179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55</v>
      </c>
      <c r="B155" s="183">
        <f>'Données projet'!D148</f>
        <v>0</v>
      </c>
      <c r="C155" s="200"/>
      <c r="D155" s="190">
        <f t="shared" si="10"/>
        <v>0</v>
      </c>
      <c r="E155" s="202"/>
      <c r="F155" s="260"/>
      <c r="G155" s="214"/>
      <c r="H155" s="199"/>
      <c r="I155" s="200"/>
      <c r="J155" s="5"/>
      <c r="K155" s="179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60</v>
      </c>
      <c r="B156" s="183">
        <f>'Données projet'!D149</f>
        <v>25.200000000000003</v>
      </c>
      <c r="C156" s="200">
        <v>30</v>
      </c>
      <c r="D156" s="190">
        <f t="shared" si="10"/>
        <v>756.00000000000011</v>
      </c>
      <c r="E156" s="202"/>
      <c r="F156" s="260"/>
      <c r="G156" s="214"/>
      <c r="H156" s="199"/>
      <c r="I156" s="200"/>
      <c r="J156" s="5"/>
      <c r="K156" s="179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65</v>
      </c>
      <c r="B157" s="183">
        <f>'Données projet'!D150</f>
        <v>0</v>
      </c>
      <c r="C157" s="200"/>
      <c r="D157" s="190">
        <f t="shared" si="10"/>
        <v>0</v>
      </c>
      <c r="E157" s="202"/>
      <c r="F157" s="260"/>
      <c r="G157" s="214"/>
      <c r="H157" s="199"/>
      <c r="I157" s="200"/>
      <c r="J157" s="5"/>
      <c r="K157" s="179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70</v>
      </c>
      <c r="B158" s="183">
        <f>'Données projet'!D151</f>
        <v>20.9</v>
      </c>
      <c r="C158" s="200">
        <v>40</v>
      </c>
      <c r="D158" s="190">
        <f t="shared" si="10"/>
        <v>836</v>
      </c>
      <c r="E158" s="202"/>
      <c r="F158" s="260"/>
      <c r="G158" s="214"/>
      <c r="H158" s="199"/>
      <c r="I158" s="200"/>
      <c r="J158" s="5"/>
      <c r="K158" s="179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75</v>
      </c>
      <c r="B159" s="183">
        <f>'Données projet'!D152</f>
        <v>0</v>
      </c>
      <c r="C159" s="200"/>
      <c r="D159" s="190">
        <f t="shared" si="10"/>
        <v>0</v>
      </c>
      <c r="E159" s="202"/>
      <c r="F159" s="260"/>
      <c r="G159" s="214"/>
      <c r="H159" s="199"/>
      <c r="I159" s="200"/>
      <c r="J159" s="5"/>
      <c r="K159" s="179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80</v>
      </c>
      <c r="B160" s="183">
        <f>'Données projet'!D153</f>
        <v>284.60000000000002</v>
      </c>
      <c r="C160" s="200">
        <v>50</v>
      </c>
      <c r="D160" s="190">
        <f t="shared" si="10"/>
        <v>14230.000000000002</v>
      </c>
      <c r="E160" s="202"/>
      <c r="F160" s="260"/>
      <c r="G160" s="214"/>
      <c r="H160" s="199"/>
      <c r="I160" s="200"/>
      <c r="J160" s="5"/>
      <c r="K160" s="179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3">
        <f>'Données projet'!D154</f>
        <v>0</v>
      </c>
      <c r="C161" s="202">
        <v>60</v>
      </c>
      <c r="D161" s="190">
        <f t="shared" si="10"/>
        <v>0</v>
      </c>
      <c r="E161" s="202"/>
      <c r="F161" s="260"/>
      <c r="G161" s="214"/>
      <c r="H161" s="199"/>
      <c r="I161" s="200"/>
      <c r="J161" s="5"/>
      <c r="K161" s="179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3">
        <f>'Données projet'!D155</f>
        <v>0</v>
      </c>
      <c r="C162" s="202">
        <v>70</v>
      </c>
      <c r="D162" s="190">
        <f t="shared" si="10"/>
        <v>0</v>
      </c>
      <c r="E162" s="202"/>
      <c r="F162" s="260"/>
      <c r="G162" s="214"/>
      <c r="H162" s="199"/>
      <c r="I162" s="200"/>
      <c r="J162" s="5"/>
      <c r="K162" s="179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3">
        <f>'Données projet'!D156</f>
        <v>0</v>
      </c>
      <c r="C163" s="202">
        <v>80</v>
      </c>
      <c r="D163" s="190">
        <f t="shared" si="10"/>
        <v>0</v>
      </c>
      <c r="E163" s="202"/>
      <c r="F163" s="260"/>
      <c r="G163" s="214"/>
      <c r="H163" s="199"/>
      <c r="I163" s="200"/>
      <c r="J163" s="5"/>
      <c r="K163" s="179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3">
        <f>'Données projet'!D157</f>
        <v>0</v>
      </c>
      <c r="C164" s="202">
        <v>90</v>
      </c>
      <c r="D164" s="190">
        <f t="shared" si="10"/>
        <v>0</v>
      </c>
      <c r="E164" s="202"/>
      <c r="F164" s="260"/>
      <c r="G164" s="214"/>
      <c r="H164" s="199"/>
      <c r="I164" s="200"/>
      <c r="J164" s="5"/>
      <c r="K164" s="179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3">
        <f>'Données projet'!D158</f>
        <v>0</v>
      </c>
      <c r="C165" s="202">
        <v>100</v>
      </c>
      <c r="D165" s="190">
        <f t="shared" si="10"/>
        <v>0</v>
      </c>
      <c r="E165" s="202"/>
      <c r="F165" s="260"/>
      <c r="G165" s="214"/>
      <c r="H165" s="199"/>
      <c r="I165" s="200"/>
      <c r="J165" s="5"/>
      <c r="K165" s="179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3">
        <f>'Données projet'!D159</f>
        <v>0</v>
      </c>
      <c r="C166" s="202">
        <v>150</v>
      </c>
      <c r="D166" s="190">
        <f t="shared" si="10"/>
        <v>0</v>
      </c>
      <c r="E166" s="202"/>
      <c r="F166" s="260"/>
      <c r="G166" s="214"/>
      <c r="H166" s="199"/>
      <c r="I166" s="200"/>
      <c r="J166" s="5"/>
      <c r="K166" s="179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57"/>
      <c r="G167" s="214"/>
      <c r="H167" s="199"/>
      <c r="I167" s="200"/>
      <c r="J167" s="5"/>
      <c r="K167" s="179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57"/>
      <c r="G168" s="214"/>
      <c r="H168" s="199"/>
      <c r="I168" s="200"/>
      <c r="J168" s="5"/>
      <c r="K168" s="179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2" t="str">
        <f>IF('Données projet'!B14="","",'Données projet'!B14)</f>
        <v>Merisier</v>
      </c>
      <c r="C169" s="5"/>
      <c r="D169" s="5"/>
      <c r="E169" s="5"/>
      <c r="F169" s="257"/>
      <c r="G169" s="214"/>
      <c r="H169" s="199"/>
      <c r="I169" s="200"/>
      <c r="J169" s="5"/>
      <c r="K169" s="179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57"/>
      <c r="G170" s="214"/>
      <c r="H170" s="199"/>
      <c r="I170" s="200"/>
      <c r="J170" s="5"/>
      <c r="K170" s="179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3" t="s">
        <v>180</v>
      </c>
      <c r="B171" s="51" t="s">
        <v>256</v>
      </c>
      <c r="C171" s="51" t="s">
        <v>255</v>
      </c>
      <c r="D171" s="253" t="s">
        <v>252</v>
      </c>
      <c r="E171" s="253" t="s">
        <v>320</v>
      </c>
      <c r="F171" s="258"/>
      <c r="G171" s="214"/>
      <c r="H171" s="199"/>
      <c r="I171" s="200"/>
      <c r="J171" s="5"/>
      <c r="K171" s="179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06">
        <v>0</v>
      </c>
      <c r="B172" s="209" t="s">
        <v>132</v>
      </c>
      <c r="C172" s="208" t="s">
        <v>132</v>
      </c>
      <c r="D172" s="207" t="s">
        <v>132</v>
      </c>
      <c r="E172" s="202"/>
      <c r="F172" s="258"/>
      <c r="G172" s="214"/>
      <c r="H172" s="199"/>
      <c r="I172" s="200"/>
      <c r="J172" s="5"/>
      <c r="K172" s="179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06">
        <v>1</v>
      </c>
      <c r="B173" s="209" t="s">
        <v>132</v>
      </c>
      <c r="C173" s="208" t="s">
        <v>132</v>
      </c>
      <c r="D173" s="207" t="s">
        <v>132</v>
      </c>
      <c r="E173" s="202"/>
      <c r="F173" s="258"/>
      <c r="G173" s="217"/>
      <c r="H173" s="199"/>
      <c r="I173" s="200"/>
      <c r="J173" s="5"/>
      <c r="K173" s="179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06">
        <v>2</v>
      </c>
      <c r="B174" s="209" t="s">
        <v>132</v>
      </c>
      <c r="C174" s="208" t="s">
        <v>132</v>
      </c>
      <c r="D174" s="207" t="s">
        <v>132</v>
      </c>
      <c r="E174" s="202"/>
      <c r="F174" s="258"/>
      <c r="G174" s="217"/>
      <c r="H174" s="199"/>
      <c r="I174" s="200"/>
      <c r="J174" s="5"/>
      <c r="K174" s="179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06">
        <v>3</v>
      </c>
      <c r="B175" s="209" t="s">
        <v>132</v>
      </c>
      <c r="C175" s="208" t="s">
        <v>132</v>
      </c>
      <c r="D175" s="207" t="s">
        <v>132</v>
      </c>
      <c r="E175" s="202"/>
      <c r="F175" s="258"/>
      <c r="G175" s="217"/>
      <c r="H175" s="199"/>
      <c r="I175" s="200"/>
      <c r="J175" s="5"/>
      <c r="K175" s="179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06">
        <v>4</v>
      </c>
      <c r="B176" s="209" t="s">
        <v>132</v>
      </c>
      <c r="C176" s="208" t="s">
        <v>132</v>
      </c>
      <c r="D176" s="207" t="s">
        <v>132</v>
      </c>
      <c r="E176" s="202"/>
      <c r="F176" s="258"/>
      <c r="G176" s="217"/>
      <c r="H176" s="199"/>
      <c r="I176" s="200"/>
      <c r="J176" s="5"/>
      <c r="K176" s="179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06">
        <v>5</v>
      </c>
      <c r="B177" s="209" t="s">
        <v>132</v>
      </c>
      <c r="C177" s="208" t="s">
        <v>132</v>
      </c>
      <c r="D177" s="207" t="s">
        <v>132</v>
      </c>
      <c r="E177" s="202"/>
      <c r="F177" s="258"/>
      <c r="G177" s="218"/>
      <c r="H177" s="199"/>
      <c r="I177" s="200"/>
      <c r="J177" s="5"/>
      <c r="K177" s="179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88">
        <f>'Données projet'!A166</f>
        <v>15</v>
      </c>
      <c r="B178" s="189">
        <f>'Données projet'!D166</f>
        <v>0</v>
      </c>
      <c r="C178" s="202"/>
      <c r="D178" s="187">
        <f>B178*C178</f>
        <v>0</v>
      </c>
      <c r="E178" s="202"/>
      <c r="F178" s="259"/>
      <c r="G178" s="218"/>
      <c r="H178" s="199"/>
      <c r="I178" s="200"/>
      <c r="J178" s="5"/>
      <c r="K178" s="179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88">
        <f>'Données projet'!A167</f>
        <v>20</v>
      </c>
      <c r="B179" s="189">
        <f>'Données projet'!D167</f>
        <v>0</v>
      </c>
      <c r="C179" s="202"/>
      <c r="D179" s="187">
        <f t="shared" ref="D179:D197" si="11">B179*C179</f>
        <v>0</v>
      </c>
      <c r="E179" s="202"/>
      <c r="F179" s="259"/>
      <c r="G179" s="218"/>
      <c r="H179" s="199"/>
      <c r="I179" s="200"/>
      <c r="J179" s="5"/>
      <c r="K179" s="179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88">
        <f>'Données projet'!A168</f>
        <v>25</v>
      </c>
      <c r="B180" s="189">
        <f>'Données projet'!D168</f>
        <v>55</v>
      </c>
      <c r="C180" s="200">
        <v>10</v>
      </c>
      <c r="D180" s="187">
        <f t="shared" si="11"/>
        <v>550</v>
      </c>
      <c r="E180" s="202"/>
      <c r="F180" s="259"/>
      <c r="G180" s="218"/>
      <c r="H180" s="199"/>
      <c r="I180" s="200"/>
      <c r="J180" s="5"/>
      <c r="K180" s="179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88">
        <f>'Données projet'!A169</f>
        <v>31</v>
      </c>
      <c r="B181" s="189">
        <f>'Données projet'!D169</f>
        <v>36</v>
      </c>
      <c r="C181" s="200">
        <v>10</v>
      </c>
      <c r="D181" s="187">
        <f t="shared" si="11"/>
        <v>360</v>
      </c>
      <c r="E181" s="202"/>
      <c r="F181" s="259"/>
      <c r="G181" s="218"/>
      <c r="H181" s="199"/>
      <c r="I181" s="200"/>
      <c r="J181" s="5"/>
      <c r="K181" s="179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88">
        <f>'Données projet'!A170</f>
        <v>37</v>
      </c>
      <c r="B182" s="189">
        <f>'Données projet'!D170</f>
        <v>36</v>
      </c>
      <c r="C182" s="200">
        <v>15</v>
      </c>
      <c r="D182" s="187">
        <f t="shared" si="11"/>
        <v>540</v>
      </c>
      <c r="E182" s="202"/>
      <c r="F182" s="259"/>
      <c r="G182" s="218"/>
      <c r="H182" s="199"/>
      <c r="I182" s="200"/>
      <c r="J182" s="5"/>
      <c r="K182" s="179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88">
        <f>'Données projet'!A171</f>
        <v>44</v>
      </c>
      <c r="B183" s="189">
        <f>'Données projet'!D171</f>
        <v>43</v>
      </c>
      <c r="C183" s="200">
        <v>20</v>
      </c>
      <c r="D183" s="187">
        <f t="shared" si="11"/>
        <v>860</v>
      </c>
      <c r="E183" s="202"/>
      <c r="F183" s="259"/>
      <c r="G183" s="218"/>
      <c r="H183" s="199"/>
      <c r="I183" s="200"/>
      <c r="J183" s="5"/>
      <c r="K183" s="179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88">
        <f>'Données projet'!A172</f>
        <v>52</v>
      </c>
      <c r="B184" s="189">
        <f>'Données projet'!D172</f>
        <v>48</v>
      </c>
      <c r="C184" s="200">
        <v>30</v>
      </c>
      <c r="D184" s="187">
        <f t="shared" si="11"/>
        <v>1440</v>
      </c>
      <c r="E184" s="202"/>
      <c r="F184" s="259"/>
      <c r="G184" s="219"/>
      <c r="H184" s="199"/>
      <c r="I184" s="200"/>
      <c r="J184" s="5"/>
      <c r="K184" s="179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88">
        <f>'Données projet'!A173</f>
        <v>60</v>
      </c>
      <c r="B185" s="189">
        <f>'Données projet'!D173</f>
        <v>47</v>
      </c>
      <c r="C185" s="200">
        <v>50</v>
      </c>
      <c r="D185" s="187">
        <f t="shared" si="11"/>
        <v>2350</v>
      </c>
      <c r="E185" s="202"/>
      <c r="F185" s="259"/>
      <c r="G185" s="219"/>
      <c r="H185" s="199"/>
      <c r="I185" s="200"/>
      <c r="J185" s="5"/>
      <c r="K185" s="179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88">
        <f>'Données projet'!A174</f>
        <v>69</v>
      </c>
      <c r="B186" s="189">
        <f>'Données projet'!D174</f>
        <v>328</v>
      </c>
      <c r="C186" s="200">
        <v>200</v>
      </c>
      <c r="D186" s="187">
        <f t="shared" si="11"/>
        <v>65600</v>
      </c>
      <c r="E186" s="202"/>
      <c r="F186" s="259"/>
      <c r="G186" s="219"/>
      <c r="H186" s="199"/>
      <c r="I186" s="200"/>
      <c r="J186" s="5"/>
      <c r="K186" s="179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88">
        <f>'Données projet'!A175</f>
        <v>0</v>
      </c>
      <c r="B187" s="189">
        <f>'Données projet'!D175</f>
        <v>0</v>
      </c>
      <c r="C187" s="202"/>
      <c r="D187" s="187">
        <f t="shared" si="11"/>
        <v>0</v>
      </c>
      <c r="E187" s="202"/>
      <c r="F187" s="259"/>
      <c r="G187" s="219"/>
      <c r="H187" s="199"/>
      <c r="I187" s="200"/>
      <c r="J187" s="5"/>
      <c r="K187" s="179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88">
        <f>'Données projet'!A176</f>
        <v>0</v>
      </c>
      <c r="B188" s="189">
        <f>'Données projet'!D176</f>
        <v>0</v>
      </c>
      <c r="C188" s="202"/>
      <c r="D188" s="187">
        <f t="shared" si="11"/>
        <v>0</v>
      </c>
      <c r="E188" s="202"/>
      <c r="F188" s="259"/>
      <c r="G188" s="219"/>
      <c r="H188" s="199"/>
      <c r="I188" s="200"/>
      <c r="J188" s="5"/>
      <c r="K188" s="179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88">
        <f>'Données projet'!A177</f>
        <v>0</v>
      </c>
      <c r="B189" s="189">
        <f>'Données projet'!D177</f>
        <v>0</v>
      </c>
      <c r="C189" s="202"/>
      <c r="D189" s="187">
        <f t="shared" si="11"/>
        <v>0</v>
      </c>
      <c r="E189" s="202"/>
      <c r="F189" s="259"/>
      <c r="G189" s="219"/>
      <c r="H189" s="199"/>
      <c r="I189" s="200"/>
      <c r="J189" s="5"/>
      <c r="K189" s="179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88">
        <f>'Données projet'!A178</f>
        <v>0</v>
      </c>
      <c r="B190" s="189">
        <f>'Données projet'!D178</f>
        <v>0</v>
      </c>
      <c r="C190" s="202"/>
      <c r="D190" s="187">
        <f t="shared" si="11"/>
        <v>0</v>
      </c>
      <c r="E190" s="202"/>
      <c r="F190" s="259"/>
      <c r="G190" s="219"/>
      <c r="H190" s="199"/>
      <c r="I190" s="200"/>
      <c r="J190" s="5"/>
      <c r="K190" s="179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88">
        <f>'Données projet'!A179</f>
        <v>0</v>
      </c>
      <c r="B191" s="189">
        <f>'Données projet'!D179</f>
        <v>0</v>
      </c>
      <c r="C191" s="202"/>
      <c r="D191" s="187">
        <f t="shared" si="11"/>
        <v>0</v>
      </c>
      <c r="E191" s="202"/>
      <c r="F191" s="259"/>
      <c r="G191" s="219"/>
      <c r="H191" s="199"/>
      <c r="I191" s="200"/>
      <c r="J191" s="5"/>
      <c r="K191" s="179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88">
        <f>'Données projet'!A180</f>
        <v>0</v>
      </c>
      <c r="B192" s="189">
        <f>'Données projet'!D180</f>
        <v>0</v>
      </c>
      <c r="C192" s="202"/>
      <c r="D192" s="187">
        <f t="shared" si="11"/>
        <v>0</v>
      </c>
      <c r="E192" s="202"/>
      <c r="F192" s="259"/>
      <c r="G192" s="219"/>
      <c r="H192" s="199"/>
      <c r="I192" s="200"/>
      <c r="J192" s="5"/>
      <c r="K192" s="179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88">
        <f>'Données projet'!A181</f>
        <v>0</v>
      </c>
      <c r="B193" s="189">
        <f>'Données projet'!D181</f>
        <v>0</v>
      </c>
      <c r="C193" s="202"/>
      <c r="D193" s="187">
        <f t="shared" si="11"/>
        <v>0</v>
      </c>
      <c r="E193" s="202"/>
      <c r="F193" s="259"/>
      <c r="G193" s="219"/>
      <c r="H193" s="199"/>
      <c r="I193" s="200"/>
      <c r="J193" s="5"/>
      <c r="K193" s="179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88">
        <f>'Données projet'!A182</f>
        <v>0</v>
      </c>
      <c r="B194" s="189">
        <f>'Données projet'!D182</f>
        <v>0</v>
      </c>
      <c r="C194" s="202"/>
      <c r="D194" s="187">
        <f t="shared" si="11"/>
        <v>0</v>
      </c>
      <c r="E194" s="202"/>
      <c r="F194" s="259"/>
      <c r="G194" s="219"/>
      <c r="H194" s="199"/>
      <c r="I194" s="200"/>
      <c r="J194" s="5"/>
      <c r="K194" s="179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88">
        <f>'Données projet'!A183</f>
        <v>0</v>
      </c>
      <c r="B195" s="189">
        <f>'Données projet'!D183</f>
        <v>0</v>
      </c>
      <c r="C195" s="202"/>
      <c r="D195" s="187">
        <f t="shared" si="11"/>
        <v>0</v>
      </c>
      <c r="E195" s="202"/>
      <c r="F195" s="259"/>
      <c r="G195" s="219"/>
      <c r="H195" s="199"/>
      <c r="I195" s="200"/>
      <c r="J195" s="5"/>
      <c r="K195" s="179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88">
        <f>'Données projet'!A184</f>
        <v>0</v>
      </c>
      <c r="B196" s="189">
        <f>'Données projet'!D184</f>
        <v>0</v>
      </c>
      <c r="C196" s="202"/>
      <c r="D196" s="187">
        <f t="shared" si="11"/>
        <v>0</v>
      </c>
      <c r="E196" s="202"/>
      <c r="F196" s="259"/>
      <c r="G196" s="219"/>
      <c r="H196" s="199"/>
      <c r="I196" s="200"/>
      <c r="J196" s="5"/>
      <c r="K196" s="179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88">
        <f>'Données projet'!A185</f>
        <v>0</v>
      </c>
      <c r="B197" s="189">
        <f>'Données projet'!D185</f>
        <v>0</v>
      </c>
      <c r="C197" s="202"/>
      <c r="D197" s="187">
        <f t="shared" si="11"/>
        <v>0</v>
      </c>
      <c r="E197" s="202"/>
      <c r="F197" s="259"/>
      <c r="G197" s="219"/>
      <c r="H197" s="199"/>
      <c r="I197" s="200"/>
      <c r="J197" s="5"/>
      <c r="K197" s="179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57"/>
      <c r="G198" s="219"/>
      <c r="H198" s="199"/>
      <c r="I198" s="200"/>
      <c r="J198" s="5"/>
      <c r="K198" s="179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57"/>
      <c r="G199" s="219"/>
      <c r="H199" s="199"/>
      <c r="I199" s="200"/>
      <c r="J199" s="5"/>
      <c r="K199" s="179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2" t="str">
        <f>IF('Données projet'!$B$15="","",'Données projet'!$B$15)</f>
        <v>Alisier torminal</v>
      </c>
      <c r="C200" s="5"/>
      <c r="D200" s="5"/>
      <c r="E200" s="5"/>
      <c r="F200" s="257"/>
      <c r="G200" s="219"/>
      <c r="H200" s="199"/>
      <c r="I200" s="200"/>
      <c r="J200" s="5"/>
      <c r="K200" s="179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57"/>
      <c r="G201" s="219"/>
      <c r="H201" s="199"/>
      <c r="I201" s="200"/>
      <c r="J201" s="5"/>
      <c r="K201" s="179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3" t="s">
        <v>180</v>
      </c>
      <c r="B202" s="51" t="s">
        <v>256</v>
      </c>
      <c r="C202" s="51" t="s">
        <v>255</v>
      </c>
      <c r="D202" s="253" t="s">
        <v>252</v>
      </c>
      <c r="E202" s="253" t="s">
        <v>320</v>
      </c>
      <c r="F202" s="258"/>
      <c r="G202" s="219"/>
      <c r="H202" s="199"/>
      <c r="I202" s="200"/>
      <c r="J202" s="5"/>
      <c r="K202" s="179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06">
        <v>0</v>
      </c>
      <c r="B203" s="209" t="s">
        <v>132</v>
      </c>
      <c r="C203" s="208" t="s">
        <v>132</v>
      </c>
      <c r="D203" s="207" t="s">
        <v>132</v>
      </c>
      <c r="E203" s="202"/>
      <c r="F203" s="258"/>
      <c r="G203" s="219"/>
      <c r="H203" s="199"/>
      <c r="I203" s="200"/>
      <c r="J203" s="5"/>
      <c r="K203" s="179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06">
        <v>1</v>
      </c>
      <c r="B204" s="209" t="s">
        <v>132</v>
      </c>
      <c r="C204" s="208" t="s">
        <v>132</v>
      </c>
      <c r="D204" s="207" t="s">
        <v>132</v>
      </c>
      <c r="E204" s="202"/>
      <c r="F204" s="258"/>
      <c r="G204" s="217"/>
      <c r="H204" s="199"/>
      <c r="I204" s="200"/>
      <c r="J204" s="5"/>
      <c r="K204" s="179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06">
        <v>2</v>
      </c>
      <c r="B205" s="209" t="s">
        <v>132</v>
      </c>
      <c r="C205" s="208" t="s">
        <v>132</v>
      </c>
      <c r="D205" s="207" t="s">
        <v>132</v>
      </c>
      <c r="E205" s="202"/>
      <c r="F205" s="258"/>
      <c r="G205" s="217"/>
      <c r="H205" s="199"/>
      <c r="I205" s="200"/>
      <c r="J205" s="5"/>
      <c r="K205" s="179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06">
        <v>3</v>
      </c>
      <c r="B206" s="209" t="s">
        <v>132</v>
      </c>
      <c r="C206" s="208" t="s">
        <v>132</v>
      </c>
      <c r="D206" s="207" t="s">
        <v>132</v>
      </c>
      <c r="E206" s="202"/>
      <c r="F206" s="258"/>
      <c r="G206" s="217"/>
      <c r="H206" s="199"/>
      <c r="I206" s="200"/>
      <c r="J206" s="5"/>
      <c r="K206" s="179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06">
        <v>4</v>
      </c>
      <c r="B207" s="209" t="s">
        <v>132</v>
      </c>
      <c r="C207" s="208" t="s">
        <v>132</v>
      </c>
      <c r="D207" s="207" t="s">
        <v>132</v>
      </c>
      <c r="E207" s="202"/>
      <c r="F207" s="258"/>
      <c r="G207" s="217"/>
      <c r="H207" s="199"/>
      <c r="I207" s="200"/>
      <c r="J207" s="5"/>
      <c r="K207" s="179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06">
        <v>5</v>
      </c>
      <c r="B208" s="209" t="s">
        <v>132</v>
      </c>
      <c r="C208" s="208" t="s">
        <v>132</v>
      </c>
      <c r="D208" s="207" t="s">
        <v>132</v>
      </c>
      <c r="E208" s="202"/>
      <c r="F208" s="258"/>
      <c r="G208" s="218"/>
      <c r="H208" s="199"/>
      <c r="I208" s="200"/>
      <c r="J208" s="5"/>
      <c r="K208" s="179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88">
        <f>'Données projet'!A192</f>
        <v>20</v>
      </c>
      <c r="B209" s="189">
        <f>'Données projet'!D192</f>
        <v>0</v>
      </c>
      <c r="C209" s="202"/>
      <c r="D209" s="187">
        <f>B209*C209</f>
        <v>0</v>
      </c>
      <c r="E209" s="202"/>
      <c r="F209" s="259"/>
      <c r="G209" s="218"/>
      <c r="H209" s="199"/>
      <c r="I209" s="200"/>
      <c r="J209" s="5"/>
      <c r="K209" s="179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88">
        <f>'Données projet'!A193</f>
        <v>25</v>
      </c>
      <c r="B210" s="189">
        <f>'Données projet'!D193</f>
        <v>8</v>
      </c>
      <c r="C210" s="202">
        <v>10</v>
      </c>
      <c r="D210" s="187">
        <f t="shared" ref="D210:D228" si="12">B210*C210</f>
        <v>80</v>
      </c>
      <c r="E210" s="202"/>
      <c r="F210" s="259"/>
      <c r="G210" s="218"/>
      <c r="H210" s="199"/>
      <c r="I210" s="200"/>
      <c r="J210" s="5"/>
      <c r="K210" s="179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88">
        <f>'Données projet'!A194</f>
        <v>30</v>
      </c>
      <c r="B211" s="189">
        <f>'Données projet'!D194</f>
        <v>0</v>
      </c>
      <c r="C211" s="200"/>
      <c r="D211" s="187">
        <f t="shared" si="12"/>
        <v>0</v>
      </c>
      <c r="E211" s="202"/>
      <c r="F211" s="259"/>
      <c r="G211" s="218"/>
      <c r="H211" s="199"/>
      <c r="I211" s="200"/>
      <c r="J211" s="5"/>
      <c r="K211" s="179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88">
        <f>'Données projet'!A195</f>
        <v>35</v>
      </c>
      <c r="B212" s="189">
        <f>'Données projet'!D195</f>
        <v>42</v>
      </c>
      <c r="C212" s="200">
        <v>10</v>
      </c>
      <c r="D212" s="187">
        <f t="shared" si="12"/>
        <v>420</v>
      </c>
      <c r="E212" s="202"/>
      <c r="F212" s="259"/>
      <c r="G212" s="218"/>
      <c r="H212" s="199"/>
      <c r="I212" s="200"/>
      <c r="J212" s="5"/>
      <c r="K212" s="179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88">
        <f>'Données projet'!A196</f>
        <v>40</v>
      </c>
      <c r="B213" s="189">
        <f>'Données projet'!D196</f>
        <v>0</v>
      </c>
      <c r="C213" s="200"/>
      <c r="D213" s="187">
        <f t="shared" si="12"/>
        <v>0</v>
      </c>
      <c r="E213" s="202"/>
      <c r="F213" s="259"/>
      <c r="G213" s="218"/>
      <c r="H213" s="199"/>
      <c r="I213" s="200"/>
      <c r="J213" s="5"/>
      <c r="K213" s="179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88">
        <f>'Données projet'!A197</f>
        <v>45</v>
      </c>
      <c r="B214" s="189">
        <f>'Données projet'!D197</f>
        <v>42</v>
      </c>
      <c r="C214" s="200">
        <v>15</v>
      </c>
      <c r="D214" s="187">
        <f t="shared" si="12"/>
        <v>630</v>
      </c>
      <c r="E214" s="202"/>
      <c r="F214" s="259"/>
      <c r="G214" s="218"/>
      <c r="H214" s="199"/>
      <c r="I214" s="200"/>
      <c r="J214" s="5"/>
      <c r="K214" s="179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88">
        <f>'Données projet'!A198</f>
        <v>50</v>
      </c>
      <c r="B215" s="189">
        <f>'Données projet'!D198</f>
        <v>0</v>
      </c>
      <c r="C215" s="200"/>
      <c r="D215" s="187">
        <f t="shared" si="12"/>
        <v>0</v>
      </c>
      <c r="E215" s="202"/>
      <c r="F215" s="259"/>
      <c r="G215" s="219"/>
      <c r="H215" s="199"/>
      <c r="I215" s="200"/>
      <c r="J215" s="5"/>
      <c r="K215" s="179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88">
        <f>'Données projet'!A199</f>
        <v>55</v>
      </c>
      <c r="B216" s="189">
        <f>'Données projet'!D199</f>
        <v>42</v>
      </c>
      <c r="C216" s="200">
        <v>20</v>
      </c>
      <c r="D216" s="187">
        <f t="shared" si="12"/>
        <v>840</v>
      </c>
      <c r="E216" s="202"/>
      <c r="F216" s="259"/>
      <c r="G216" s="219"/>
      <c r="H216" s="199"/>
      <c r="I216" s="200"/>
      <c r="J216" s="5"/>
      <c r="K216" s="179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88">
        <f>'Données projet'!A200</f>
        <v>60</v>
      </c>
      <c r="B217" s="189">
        <f>'Données projet'!D200</f>
        <v>0</v>
      </c>
      <c r="C217" s="200"/>
      <c r="D217" s="187">
        <f t="shared" si="12"/>
        <v>0</v>
      </c>
      <c r="E217" s="202"/>
      <c r="F217" s="259"/>
      <c r="G217" s="219"/>
      <c r="H217" s="199"/>
      <c r="I217" s="200"/>
      <c r="J217" s="5"/>
      <c r="K217" s="179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88">
        <f>'Données projet'!A201</f>
        <v>65</v>
      </c>
      <c r="B218" s="189">
        <f>'Données projet'!D201</f>
        <v>42</v>
      </c>
      <c r="C218" s="200">
        <v>30</v>
      </c>
      <c r="D218" s="187">
        <f t="shared" si="12"/>
        <v>1260</v>
      </c>
      <c r="E218" s="202"/>
      <c r="F218" s="259"/>
      <c r="G218" s="219"/>
      <c r="H218" s="199"/>
      <c r="I218" s="200"/>
      <c r="J218" s="5"/>
      <c r="K218" s="179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88">
        <f>'Données projet'!A202</f>
        <v>70</v>
      </c>
      <c r="B219" s="189">
        <f>'Données projet'!D202</f>
        <v>0</v>
      </c>
      <c r="C219" s="200"/>
      <c r="D219" s="187">
        <f t="shared" si="12"/>
        <v>0</v>
      </c>
      <c r="E219" s="202"/>
      <c r="F219" s="259"/>
      <c r="G219" s="219"/>
      <c r="H219" s="199"/>
      <c r="I219" s="200"/>
      <c r="J219" s="5"/>
      <c r="K219" s="179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88">
        <f>'Données projet'!A203</f>
        <v>75</v>
      </c>
      <c r="B220" s="189">
        <f>'Données projet'!D203</f>
        <v>42</v>
      </c>
      <c r="C220" s="200">
        <v>40</v>
      </c>
      <c r="D220" s="187">
        <f t="shared" si="12"/>
        <v>1680</v>
      </c>
      <c r="E220" s="202"/>
      <c r="F220" s="259"/>
      <c r="G220" s="219"/>
      <c r="H220" s="5"/>
      <c r="I220" s="5"/>
      <c r="J220" s="5"/>
      <c r="K220" s="179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88">
        <f>'Données projet'!A204</f>
        <v>80</v>
      </c>
      <c r="B221" s="189">
        <f>'Données projet'!D204</f>
        <v>0</v>
      </c>
      <c r="C221" s="200"/>
      <c r="D221" s="187">
        <f t="shared" si="12"/>
        <v>0</v>
      </c>
      <c r="E221" s="202"/>
      <c r="F221" s="259"/>
      <c r="G221" s="219"/>
      <c r="H221" s="5"/>
      <c r="I221" s="5"/>
      <c r="J221" s="5"/>
      <c r="K221" s="179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88">
        <f>'Données projet'!A205</f>
        <v>85</v>
      </c>
      <c r="B222" s="189">
        <f>'Données projet'!D205</f>
        <v>42</v>
      </c>
      <c r="C222" s="200">
        <v>50</v>
      </c>
      <c r="D222" s="187">
        <f t="shared" si="12"/>
        <v>2100</v>
      </c>
      <c r="E222" s="202"/>
      <c r="F222" s="259"/>
      <c r="G222" s="219"/>
      <c r="H222" s="5"/>
      <c r="I222" s="5"/>
      <c r="J222" s="5"/>
      <c r="K222" s="179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88">
        <f>'Données projet'!A206</f>
        <v>95</v>
      </c>
      <c r="B223" s="189">
        <f>'Données projet'!D206</f>
        <v>42</v>
      </c>
      <c r="C223" s="202">
        <v>60</v>
      </c>
      <c r="D223" s="187">
        <f t="shared" si="12"/>
        <v>2520</v>
      </c>
      <c r="E223" s="202"/>
      <c r="F223" s="259"/>
      <c r="G223" s="219"/>
      <c r="H223" s="5"/>
      <c r="I223" s="5"/>
      <c r="J223" s="5"/>
      <c r="K223" s="179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88">
        <f>'Données projet'!A207</f>
        <v>105</v>
      </c>
      <c r="B224" s="189">
        <f>'Données projet'!D207</f>
        <v>41</v>
      </c>
      <c r="C224" s="202">
        <v>70</v>
      </c>
      <c r="D224" s="187">
        <f t="shared" si="12"/>
        <v>2870</v>
      </c>
      <c r="E224" s="202"/>
      <c r="F224" s="259"/>
      <c r="G224" s="219"/>
      <c r="H224" s="5"/>
      <c r="I224" s="5"/>
      <c r="J224" s="5"/>
      <c r="K224" s="179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88">
        <f>'Données projet'!A208</f>
        <v>115</v>
      </c>
      <c r="B225" s="189">
        <f>'Données projet'!D208</f>
        <v>37</v>
      </c>
      <c r="C225" s="202">
        <v>80</v>
      </c>
      <c r="D225" s="187">
        <f t="shared" si="12"/>
        <v>2960</v>
      </c>
      <c r="E225" s="202"/>
      <c r="F225" s="259"/>
      <c r="G225" s="219"/>
      <c r="H225" s="5"/>
      <c r="I225" s="5"/>
      <c r="J225" s="5"/>
      <c r="K225" s="179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88">
        <f>'Données projet'!A209</f>
        <v>125</v>
      </c>
      <c r="B226" s="189">
        <f>'Données projet'!D209</f>
        <v>33</v>
      </c>
      <c r="C226" s="202">
        <v>90</v>
      </c>
      <c r="D226" s="187">
        <f t="shared" si="12"/>
        <v>2970</v>
      </c>
      <c r="E226" s="202"/>
      <c r="F226" s="259"/>
      <c r="G226" s="219"/>
      <c r="H226" s="5"/>
      <c r="I226" s="5"/>
      <c r="J226" s="5"/>
      <c r="K226" s="179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88">
        <f>'Données projet'!A210</f>
        <v>135</v>
      </c>
      <c r="B227" s="189">
        <f>'Données projet'!D210</f>
        <v>29</v>
      </c>
      <c r="C227" s="202">
        <v>100</v>
      </c>
      <c r="D227" s="187">
        <f t="shared" si="12"/>
        <v>2900</v>
      </c>
      <c r="E227" s="202"/>
      <c r="F227" s="259"/>
      <c r="G227" s="219"/>
      <c r="H227" s="5"/>
      <c r="I227" s="5"/>
      <c r="J227" s="5"/>
      <c r="K227" s="179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88">
        <f>'Données projet'!A211</f>
        <v>150</v>
      </c>
      <c r="B228" s="189">
        <f>'Données projet'!D211</f>
        <v>306</v>
      </c>
      <c r="C228" s="202">
        <v>150</v>
      </c>
      <c r="D228" s="187">
        <f t="shared" si="12"/>
        <v>45900</v>
      </c>
      <c r="E228" s="202"/>
      <c r="F228" s="259"/>
      <c r="G228" s="219"/>
      <c r="H228" s="5"/>
      <c r="I228" s="5"/>
      <c r="J228" s="5"/>
      <c r="K228" s="179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57"/>
      <c r="G229" s="219"/>
      <c r="H229" s="5"/>
      <c r="I229" s="5"/>
      <c r="J229" s="5"/>
      <c r="K229" s="179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57"/>
      <c r="G230" s="219"/>
      <c r="H230" s="5"/>
      <c r="I230" s="5"/>
      <c r="J230" s="5"/>
      <c r="K230" s="179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2" t="str">
        <f>IF('Données projet'!$B$16="","",'Données projet'!$B$16)</f>
        <v/>
      </c>
      <c r="C231" s="5"/>
      <c r="D231" s="5"/>
      <c r="E231" s="5"/>
      <c r="F231" s="257"/>
      <c r="G231" s="219"/>
      <c r="H231" s="5"/>
      <c r="I231" s="5"/>
      <c r="J231" s="5"/>
      <c r="K231" s="179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57"/>
      <c r="G232" s="219"/>
      <c r="H232" s="5"/>
      <c r="I232" s="5"/>
      <c r="J232" s="5"/>
      <c r="K232" s="179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3" t="s">
        <v>180</v>
      </c>
      <c r="B233" s="51" t="s">
        <v>256</v>
      </c>
      <c r="C233" s="51" t="s">
        <v>255</v>
      </c>
      <c r="D233" s="253" t="s">
        <v>252</v>
      </c>
      <c r="E233" s="253" t="s">
        <v>320</v>
      </c>
      <c r="F233" s="258"/>
      <c r="G233" s="219"/>
      <c r="H233" s="5"/>
      <c r="I233" s="5"/>
      <c r="J233" s="5"/>
      <c r="K233" s="179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06">
        <v>0</v>
      </c>
      <c r="B234" s="209" t="s">
        <v>132</v>
      </c>
      <c r="C234" s="208" t="s">
        <v>132</v>
      </c>
      <c r="D234" s="207" t="s">
        <v>132</v>
      </c>
      <c r="E234" s="202"/>
      <c r="F234" s="258"/>
      <c r="G234" s="219"/>
      <c r="H234" s="5"/>
      <c r="I234" s="5"/>
      <c r="J234" s="5"/>
      <c r="K234" s="179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06">
        <v>1</v>
      </c>
      <c r="B235" s="209" t="s">
        <v>132</v>
      </c>
      <c r="C235" s="208" t="s">
        <v>132</v>
      </c>
      <c r="D235" s="207" t="s">
        <v>132</v>
      </c>
      <c r="E235" s="202"/>
      <c r="F235" s="258"/>
      <c r="G235" s="217"/>
      <c r="H235" s="5"/>
      <c r="I235" s="5"/>
      <c r="J235" s="5"/>
      <c r="K235" s="179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06">
        <v>2</v>
      </c>
      <c r="B236" s="209" t="s">
        <v>132</v>
      </c>
      <c r="C236" s="208" t="s">
        <v>132</v>
      </c>
      <c r="D236" s="207" t="s">
        <v>132</v>
      </c>
      <c r="E236" s="202"/>
      <c r="F236" s="258"/>
      <c r="G236" s="217"/>
      <c r="H236" s="5"/>
      <c r="I236" s="5"/>
      <c r="J236" s="5"/>
      <c r="K236" s="179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06">
        <v>3</v>
      </c>
      <c r="B237" s="209" t="s">
        <v>132</v>
      </c>
      <c r="C237" s="208" t="s">
        <v>132</v>
      </c>
      <c r="D237" s="207" t="s">
        <v>132</v>
      </c>
      <c r="E237" s="202"/>
      <c r="F237" s="258"/>
      <c r="G237" s="217"/>
      <c r="H237" s="5"/>
      <c r="I237" s="5"/>
      <c r="J237" s="5"/>
      <c r="K237" s="179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06">
        <v>4</v>
      </c>
      <c r="B238" s="209" t="s">
        <v>132</v>
      </c>
      <c r="C238" s="208" t="s">
        <v>132</v>
      </c>
      <c r="D238" s="207" t="s">
        <v>132</v>
      </c>
      <c r="E238" s="202"/>
      <c r="F238" s="258"/>
      <c r="G238" s="217"/>
      <c r="H238" s="5"/>
      <c r="I238" s="5"/>
      <c r="J238" s="5"/>
      <c r="K238" s="179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06">
        <v>5</v>
      </c>
      <c r="B239" s="209" t="s">
        <v>132</v>
      </c>
      <c r="C239" s="208" t="s">
        <v>132</v>
      </c>
      <c r="D239" s="207" t="s">
        <v>132</v>
      </c>
      <c r="E239" s="202"/>
      <c r="F239" s="258"/>
      <c r="G239" s="218"/>
      <c r="H239" s="5"/>
      <c r="I239" s="5"/>
      <c r="J239" s="5"/>
      <c r="K239" s="179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88">
        <f>'Données projet'!A218</f>
        <v>0</v>
      </c>
      <c r="B240" s="189">
        <f>'Données projet'!D218</f>
        <v>0</v>
      </c>
      <c r="C240" s="202"/>
      <c r="D240" s="187">
        <f>B240*C240</f>
        <v>0</v>
      </c>
      <c r="E240" s="202"/>
      <c r="F240" s="259"/>
      <c r="G240" s="218"/>
      <c r="H240" s="5"/>
      <c r="I240" s="5"/>
      <c r="J240" s="5"/>
      <c r="K240" s="179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88">
        <f>'Données projet'!A219</f>
        <v>0</v>
      </c>
      <c r="B241" s="189">
        <f>'Données projet'!D219</f>
        <v>0</v>
      </c>
      <c r="C241" s="202"/>
      <c r="D241" s="187">
        <f t="shared" ref="D241:D259" si="13">B241*C241</f>
        <v>0</v>
      </c>
      <c r="E241" s="202"/>
      <c r="F241" s="259"/>
      <c r="G241" s="218"/>
      <c r="H241" s="5"/>
      <c r="I241" s="5"/>
      <c r="J241" s="5"/>
      <c r="K241" s="179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88">
        <f>'Données projet'!A220</f>
        <v>0</v>
      </c>
      <c r="B242" s="189">
        <f>'Données projet'!D220</f>
        <v>0</v>
      </c>
      <c r="C242" s="202"/>
      <c r="D242" s="187">
        <f t="shared" si="13"/>
        <v>0</v>
      </c>
      <c r="E242" s="202"/>
      <c r="F242" s="259"/>
      <c r="G242" s="218"/>
      <c r="H242" s="5"/>
      <c r="I242" s="5"/>
      <c r="J242" s="5"/>
      <c r="K242" s="179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88">
        <f>'Données projet'!A221</f>
        <v>0</v>
      </c>
      <c r="B243" s="189">
        <f>'Données projet'!D221</f>
        <v>0</v>
      </c>
      <c r="C243" s="202"/>
      <c r="D243" s="187">
        <f t="shared" si="13"/>
        <v>0</v>
      </c>
      <c r="E243" s="202"/>
      <c r="F243" s="259"/>
      <c r="G243" s="218"/>
      <c r="H243" s="5"/>
      <c r="I243" s="5"/>
      <c r="J243" s="5"/>
      <c r="K243" s="179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88">
        <f>'Données projet'!A222</f>
        <v>0</v>
      </c>
      <c r="B244" s="189">
        <f>'Données projet'!D222</f>
        <v>0</v>
      </c>
      <c r="C244" s="202"/>
      <c r="D244" s="187">
        <f t="shared" si="13"/>
        <v>0</v>
      </c>
      <c r="E244" s="202"/>
      <c r="F244" s="259"/>
      <c r="G244" s="218"/>
      <c r="H244" s="5"/>
      <c r="I244" s="5"/>
      <c r="J244" s="5"/>
      <c r="K244" s="179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88">
        <f>'Données projet'!A223</f>
        <v>0</v>
      </c>
      <c r="B245" s="189">
        <f>'Données projet'!D223</f>
        <v>0</v>
      </c>
      <c r="C245" s="202"/>
      <c r="D245" s="187">
        <f t="shared" si="13"/>
        <v>0</v>
      </c>
      <c r="E245" s="202"/>
      <c r="F245" s="259"/>
      <c r="G245" s="218"/>
      <c r="H245" s="5"/>
      <c r="I245" s="5"/>
      <c r="J245" s="5"/>
      <c r="K245" s="179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88">
        <f>'Données projet'!A224</f>
        <v>0</v>
      </c>
      <c r="B246" s="189">
        <f>'Données projet'!D224</f>
        <v>0</v>
      </c>
      <c r="C246" s="202"/>
      <c r="D246" s="187">
        <f t="shared" si="13"/>
        <v>0</v>
      </c>
      <c r="E246" s="202"/>
      <c r="F246" s="259"/>
      <c r="G246" s="219"/>
      <c r="H246" s="5"/>
      <c r="I246" s="5"/>
      <c r="J246" s="5"/>
      <c r="K246" s="179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88">
        <f>'Données projet'!A225</f>
        <v>0</v>
      </c>
      <c r="B247" s="189">
        <f>'Données projet'!D225</f>
        <v>0</v>
      </c>
      <c r="C247" s="202"/>
      <c r="D247" s="187">
        <f t="shared" si="13"/>
        <v>0</v>
      </c>
      <c r="E247" s="202"/>
      <c r="F247" s="259"/>
      <c r="G247" s="219"/>
      <c r="H247" s="5"/>
      <c r="I247" s="5"/>
      <c r="J247" s="5"/>
      <c r="K247" s="179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88">
        <f>'Données projet'!A226</f>
        <v>0</v>
      </c>
      <c r="B248" s="189">
        <f>'Données projet'!D226</f>
        <v>0</v>
      </c>
      <c r="C248" s="202"/>
      <c r="D248" s="187">
        <f t="shared" si="13"/>
        <v>0</v>
      </c>
      <c r="E248" s="202"/>
      <c r="F248" s="259"/>
      <c r="G248" s="219"/>
      <c r="H248" s="5"/>
      <c r="I248" s="5"/>
      <c r="J248" s="5"/>
      <c r="K248" s="179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88">
        <f>'Données projet'!A227</f>
        <v>0</v>
      </c>
      <c r="B249" s="189">
        <f>'Données projet'!D227</f>
        <v>0</v>
      </c>
      <c r="C249" s="202"/>
      <c r="D249" s="187">
        <f t="shared" si="13"/>
        <v>0</v>
      </c>
      <c r="E249" s="202"/>
      <c r="F249" s="259"/>
      <c r="G249" s="219"/>
      <c r="H249" s="5"/>
      <c r="I249" s="5"/>
      <c r="J249" s="5"/>
      <c r="K249" s="179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88">
        <f>'Données projet'!A228</f>
        <v>0</v>
      </c>
      <c r="B250" s="189">
        <f>'Données projet'!D228</f>
        <v>0</v>
      </c>
      <c r="C250" s="202"/>
      <c r="D250" s="187">
        <f t="shared" si="13"/>
        <v>0</v>
      </c>
      <c r="E250" s="202"/>
      <c r="F250" s="259"/>
      <c r="G250" s="219"/>
      <c r="H250" s="5"/>
      <c r="I250" s="5"/>
      <c r="J250" s="5"/>
      <c r="K250" s="179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88">
        <f>'Données projet'!A229</f>
        <v>0</v>
      </c>
      <c r="B251" s="189">
        <f>'Données projet'!D229</f>
        <v>0</v>
      </c>
      <c r="C251" s="202"/>
      <c r="D251" s="187">
        <f t="shared" si="13"/>
        <v>0</v>
      </c>
      <c r="E251" s="202"/>
      <c r="F251" s="259"/>
      <c r="G251" s="219"/>
      <c r="H251" s="5"/>
      <c r="I251" s="5"/>
      <c r="J251" s="5"/>
      <c r="K251" s="179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88">
        <f>'Données projet'!A230</f>
        <v>0</v>
      </c>
      <c r="B252" s="189">
        <f>'Données projet'!D230</f>
        <v>0</v>
      </c>
      <c r="C252" s="202"/>
      <c r="D252" s="187">
        <f t="shared" si="13"/>
        <v>0</v>
      </c>
      <c r="E252" s="202"/>
      <c r="F252" s="259"/>
      <c r="G252" s="219"/>
      <c r="H252" s="5"/>
      <c r="I252" s="5"/>
      <c r="J252" s="5"/>
      <c r="K252" s="179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88">
        <f>'Données projet'!A231</f>
        <v>0</v>
      </c>
      <c r="B253" s="189">
        <f>'Données projet'!D231</f>
        <v>0</v>
      </c>
      <c r="C253" s="202"/>
      <c r="D253" s="187">
        <f t="shared" si="13"/>
        <v>0</v>
      </c>
      <c r="E253" s="202"/>
      <c r="F253" s="259"/>
      <c r="G253" s="219"/>
      <c r="H253" s="5"/>
      <c r="I253" s="5"/>
      <c r="J253" s="5"/>
      <c r="K253" s="179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88">
        <f>'Données projet'!A232</f>
        <v>0</v>
      </c>
      <c r="B254" s="189">
        <f>'Données projet'!D232</f>
        <v>0</v>
      </c>
      <c r="C254" s="202"/>
      <c r="D254" s="187">
        <f t="shared" si="13"/>
        <v>0</v>
      </c>
      <c r="E254" s="202"/>
      <c r="F254" s="259"/>
      <c r="G254" s="219"/>
      <c r="H254" s="5"/>
      <c r="I254" s="5"/>
      <c r="J254" s="5"/>
      <c r="K254" s="179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88">
        <f>'Données projet'!A233</f>
        <v>0</v>
      </c>
      <c r="B255" s="189">
        <f>'Données projet'!D233</f>
        <v>0</v>
      </c>
      <c r="C255" s="202"/>
      <c r="D255" s="187">
        <f t="shared" si="13"/>
        <v>0</v>
      </c>
      <c r="E255" s="202"/>
      <c r="F255" s="259"/>
      <c r="G255" s="219"/>
      <c r="H255" s="5"/>
      <c r="I255" s="5"/>
      <c r="J255" s="5"/>
      <c r="K255" s="179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88">
        <f>'Données projet'!A234</f>
        <v>0</v>
      </c>
      <c r="B256" s="189">
        <f>'Données projet'!D234</f>
        <v>0</v>
      </c>
      <c r="C256" s="202"/>
      <c r="D256" s="187">
        <f t="shared" si="13"/>
        <v>0</v>
      </c>
      <c r="E256" s="202"/>
      <c r="F256" s="259"/>
      <c r="G256" s="219"/>
      <c r="H256" s="5"/>
      <c r="I256" s="5"/>
      <c r="J256" s="5"/>
      <c r="K256" s="179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88">
        <f>'Données projet'!A235</f>
        <v>0</v>
      </c>
      <c r="B257" s="189">
        <f>'Données projet'!D235</f>
        <v>0</v>
      </c>
      <c r="C257" s="202"/>
      <c r="D257" s="187">
        <f t="shared" si="13"/>
        <v>0</v>
      </c>
      <c r="E257" s="202"/>
      <c r="F257" s="259"/>
      <c r="G257" s="219"/>
      <c r="H257" s="5"/>
      <c r="I257" s="5"/>
      <c r="J257" s="5"/>
      <c r="K257" s="179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88">
        <f>'Données projet'!A236</f>
        <v>0</v>
      </c>
      <c r="B258" s="189">
        <f>'Données projet'!D236</f>
        <v>0</v>
      </c>
      <c r="C258" s="202"/>
      <c r="D258" s="187">
        <f t="shared" si="13"/>
        <v>0</v>
      </c>
      <c r="E258" s="202"/>
      <c r="F258" s="259"/>
      <c r="G258" s="219"/>
      <c r="H258" s="5"/>
      <c r="I258" s="5"/>
      <c r="J258" s="5"/>
      <c r="K258" s="179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88">
        <f>'Données projet'!A237</f>
        <v>0</v>
      </c>
      <c r="B259" s="189">
        <f>'Données projet'!D237</f>
        <v>0</v>
      </c>
      <c r="C259" s="202"/>
      <c r="D259" s="187">
        <f t="shared" si="13"/>
        <v>0</v>
      </c>
      <c r="E259" s="202"/>
      <c r="F259" s="259"/>
      <c r="G259" s="219"/>
      <c r="H259" s="5"/>
      <c r="I259" s="5"/>
      <c r="J259" s="5"/>
      <c r="K259" s="179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57"/>
      <c r="G260" s="219"/>
      <c r="H260" s="5"/>
      <c r="I260" s="5"/>
      <c r="J260" s="5"/>
      <c r="K260" s="179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57"/>
      <c r="G261" s="219"/>
      <c r="H261" s="5"/>
      <c r="I261" s="5"/>
      <c r="J261" s="5"/>
      <c r="K261" s="179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2" t="str">
        <f>IF('Données projet'!$B$17="","",'Données projet'!$B$17)</f>
        <v/>
      </c>
      <c r="C262" s="5"/>
      <c r="D262" s="5"/>
      <c r="E262" s="5"/>
      <c r="F262" s="257"/>
      <c r="G262" s="219"/>
      <c r="H262" s="5"/>
      <c r="I262" s="5"/>
      <c r="J262" s="5"/>
      <c r="K262" s="179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57"/>
      <c r="G263" s="219"/>
      <c r="H263" s="5"/>
      <c r="I263" s="5"/>
      <c r="J263" s="5"/>
      <c r="K263" s="179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3" t="s">
        <v>180</v>
      </c>
      <c r="B264" s="51" t="s">
        <v>256</v>
      </c>
      <c r="C264" s="51" t="s">
        <v>255</v>
      </c>
      <c r="D264" s="253" t="s">
        <v>252</v>
      </c>
      <c r="E264" s="253" t="s">
        <v>320</v>
      </c>
      <c r="F264" s="258"/>
      <c r="G264" s="219"/>
      <c r="H264" s="5"/>
      <c r="I264" s="5"/>
      <c r="J264" s="5"/>
      <c r="K264" s="179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06">
        <v>0</v>
      </c>
      <c r="B265" s="209" t="s">
        <v>132</v>
      </c>
      <c r="C265" s="208" t="s">
        <v>132</v>
      </c>
      <c r="D265" s="207" t="s">
        <v>132</v>
      </c>
      <c r="E265" s="202"/>
      <c r="F265" s="258"/>
      <c r="G265" s="219"/>
      <c r="H265" s="5"/>
      <c r="I265" s="5"/>
      <c r="J265" s="5"/>
      <c r="K265" s="179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06">
        <v>1</v>
      </c>
      <c r="B266" s="209" t="s">
        <v>132</v>
      </c>
      <c r="C266" s="208" t="s">
        <v>132</v>
      </c>
      <c r="D266" s="207" t="s">
        <v>132</v>
      </c>
      <c r="E266" s="202"/>
      <c r="F266" s="258"/>
      <c r="G266" s="217"/>
      <c r="H266" s="5"/>
      <c r="I266" s="5"/>
      <c r="J266" s="5"/>
      <c r="K266" s="179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06">
        <v>2</v>
      </c>
      <c r="B267" s="209" t="s">
        <v>132</v>
      </c>
      <c r="C267" s="208" t="s">
        <v>132</v>
      </c>
      <c r="D267" s="207" t="s">
        <v>132</v>
      </c>
      <c r="E267" s="202"/>
      <c r="F267" s="258"/>
      <c r="G267" s="217"/>
      <c r="H267" s="5"/>
      <c r="I267" s="5"/>
      <c r="J267" s="5"/>
      <c r="K267" s="179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06">
        <v>3</v>
      </c>
      <c r="B268" s="209" t="s">
        <v>132</v>
      </c>
      <c r="C268" s="208" t="s">
        <v>132</v>
      </c>
      <c r="D268" s="207" t="s">
        <v>132</v>
      </c>
      <c r="E268" s="202"/>
      <c r="F268" s="258"/>
      <c r="G268" s="217"/>
      <c r="H268" s="5"/>
      <c r="I268" s="5"/>
      <c r="J268" s="5"/>
      <c r="K268" s="179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06">
        <v>4</v>
      </c>
      <c r="B269" s="209" t="s">
        <v>132</v>
      </c>
      <c r="C269" s="208" t="s">
        <v>132</v>
      </c>
      <c r="D269" s="207" t="s">
        <v>132</v>
      </c>
      <c r="E269" s="202"/>
      <c r="F269" s="258"/>
      <c r="G269" s="217"/>
      <c r="H269" s="5"/>
      <c r="I269" s="5"/>
      <c r="J269" s="5"/>
      <c r="K269" s="179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06">
        <v>5</v>
      </c>
      <c r="B270" s="209" t="s">
        <v>132</v>
      </c>
      <c r="C270" s="208" t="s">
        <v>132</v>
      </c>
      <c r="D270" s="207" t="s">
        <v>132</v>
      </c>
      <c r="E270" s="202"/>
      <c r="F270" s="258"/>
      <c r="G270" s="218"/>
      <c r="H270" s="5"/>
      <c r="I270" s="5"/>
      <c r="J270" s="5"/>
      <c r="K270" s="179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88">
        <f>'Données projet'!A244</f>
        <v>0</v>
      </c>
      <c r="B271" s="189">
        <f>'Données projet'!D244</f>
        <v>0</v>
      </c>
      <c r="C271" s="202"/>
      <c r="D271" s="187">
        <f>B271*C271</f>
        <v>0</v>
      </c>
      <c r="E271" s="202"/>
      <c r="F271" s="259"/>
      <c r="G271" s="218"/>
      <c r="H271" s="5"/>
      <c r="I271" s="5"/>
      <c r="J271" s="5"/>
      <c r="K271" s="179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88">
        <f>'Données projet'!A245</f>
        <v>0</v>
      </c>
      <c r="B272" s="189">
        <f>'Données projet'!D245</f>
        <v>0</v>
      </c>
      <c r="C272" s="202"/>
      <c r="D272" s="187">
        <f t="shared" ref="D272:D290" si="14">B272*C272</f>
        <v>0</v>
      </c>
      <c r="E272" s="202"/>
      <c r="F272" s="259"/>
      <c r="G272" s="218"/>
      <c r="H272" s="5"/>
      <c r="I272" s="5"/>
      <c r="J272" s="5"/>
      <c r="K272" s="179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88">
        <f>'Données projet'!A246</f>
        <v>0</v>
      </c>
      <c r="B273" s="189">
        <f>'Données projet'!D246</f>
        <v>0</v>
      </c>
      <c r="C273" s="200"/>
      <c r="D273" s="187">
        <f t="shared" si="14"/>
        <v>0</v>
      </c>
      <c r="E273" s="202"/>
      <c r="F273" s="259"/>
      <c r="G273" s="218"/>
      <c r="H273" s="5"/>
      <c r="I273" s="5"/>
      <c r="J273" s="5"/>
      <c r="K273" s="179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88">
        <f>'Données projet'!A247</f>
        <v>0</v>
      </c>
      <c r="B274" s="189">
        <f>'Données projet'!D247</f>
        <v>0</v>
      </c>
      <c r="C274" s="200"/>
      <c r="D274" s="187">
        <f t="shared" si="14"/>
        <v>0</v>
      </c>
      <c r="E274" s="202"/>
      <c r="F274" s="259"/>
      <c r="G274" s="218"/>
      <c r="H274" s="5"/>
      <c r="I274" s="5"/>
      <c r="J274" s="5"/>
      <c r="K274" s="179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88">
        <f>'Données projet'!A248</f>
        <v>0</v>
      </c>
      <c r="B275" s="189">
        <f>'Données projet'!D248</f>
        <v>0</v>
      </c>
      <c r="C275" s="200"/>
      <c r="D275" s="187">
        <f t="shared" si="14"/>
        <v>0</v>
      </c>
      <c r="E275" s="202"/>
      <c r="F275" s="259"/>
      <c r="G275" s="218"/>
      <c r="H275" s="5"/>
      <c r="I275" s="5"/>
      <c r="J275" s="5"/>
      <c r="K275" s="179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88">
        <f>'Données projet'!A249</f>
        <v>0</v>
      </c>
      <c r="B276" s="189">
        <f>'Données projet'!D249</f>
        <v>0</v>
      </c>
      <c r="C276" s="200"/>
      <c r="D276" s="187">
        <f t="shared" si="14"/>
        <v>0</v>
      </c>
      <c r="E276" s="202"/>
      <c r="F276" s="259"/>
      <c r="G276" s="218"/>
      <c r="H276" s="5"/>
      <c r="I276" s="5"/>
      <c r="J276" s="5"/>
      <c r="K276" s="179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88">
        <f>'Données projet'!A250</f>
        <v>0</v>
      </c>
      <c r="B277" s="189">
        <f>'Données projet'!D250</f>
        <v>0</v>
      </c>
      <c r="C277" s="200"/>
      <c r="D277" s="187">
        <f t="shared" si="14"/>
        <v>0</v>
      </c>
      <c r="E277" s="202"/>
      <c r="F277" s="259"/>
      <c r="G277" s="219"/>
      <c r="H277" s="5"/>
      <c r="I277" s="5"/>
      <c r="J277" s="5"/>
      <c r="K277" s="179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88">
        <f>'Données projet'!A251</f>
        <v>0</v>
      </c>
      <c r="B278" s="189">
        <f>'Données projet'!D251</f>
        <v>0</v>
      </c>
      <c r="C278" s="200"/>
      <c r="D278" s="187">
        <f t="shared" si="14"/>
        <v>0</v>
      </c>
      <c r="E278" s="202"/>
      <c r="F278" s="259"/>
      <c r="G278" s="219"/>
      <c r="H278" s="5"/>
      <c r="I278" s="5"/>
      <c r="J278" s="5"/>
      <c r="K278" s="179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88">
        <f>'Données projet'!A252</f>
        <v>0</v>
      </c>
      <c r="B279" s="189">
        <f>'Données projet'!D252</f>
        <v>0</v>
      </c>
      <c r="C279" s="200"/>
      <c r="D279" s="187">
        <f t="shared" si="14"/>
        <v>0</v>
      </c>
      <c r="E279" s="202"/>
      <c r="F279" s="259"/>
      <c r="G279" s="219"/>
      <c r="H279" s="5"/>
      <c r="I279" s="5"/>
      <c r="J279" s="5"/>
      <c r="K279" s="179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88">
        <f>'Données projet'!A253</f>
        <v>0</v>
      </c>
      <c r="B280" s="189">
        <f>'Données projet'!D253</f>
        <v>0</v>
      </c>
      <c r="C280" s="200"/>
      <c r="D280" s="187">
        <f t="shared" si="14"/>
        <v>0</v>
      </c>
      <c r="E280" s="202"/>
      <c r="F280" s="259"/>
      <c r="G280" s="219"/>
      <c r="H280" s="5"/>
      <c r="I280" s="5"/>
      <c r="J280" s="5"/>
      <c r="K280" s="179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88">
        <f>'Données projet'!A254</f>
        <v>0</v>
      </c>
      <c r="B281" s="189">
        <f>'Données projet'!D254</f>
        <v>0</v>
      </c>
      <c r="C281" s="200"/>
      <c r="D281" s="187">
        <f t="shared" si="14"/>
        <v>0</v>
      </c>
      <c r="E281" s="202"/>
      <c r="F281" s="259"/>
      <c r="G281" s="219"/>
      <c r="H281" s="5"/>
      <c r="I281" s="5"/>
      <c r="J281" s="5"/>
      <c r="K281" s="179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88">
        <f>'Données projet'!A255</f>
        <v>0</v>
      </c>
      <c r="B282" s="189">
        <f>'Données projet'!D255</f>
        <v>0</v>
      </c>
      <c r="C282" s="200"/>
      <c r="D282" s="187">
        <f t="shared" si="14"/>
        <v>0</v>
      </c>
      <c r="E282" s="202"/>
      <c r="F282" s="259"/>
      <c r="G282" s="219"/>
      <c r="H282" s="5"/>
      <c r="I282" s="5"/>
      <c r="J282" s="5"/>
      <c r="K282" s="179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88">
        <f>'Données projet'!A256</f>
        <v>0</v>
      </c>
      <c r="B283" s="189">
        <f>'Données projet'!D256</f>
        <v>0</v>
      </c>
      <c r="C283" s="200"/>
      <c r="D283" s="187">
        <f t="shared" si="14"/>
        <v>0</v>
      </c>
      <c r="E283" s="202"/>
      <c r="F283" s="259"/>
      <c r="G283" s="219"/>
      <c r="H283" s="5"/>
      <c r="I283" s="5"/>
      <c r="J283" s="5"/>
      <c r="K283" s="179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88">
        <f>'Données projet'!A257</f>
        <v>0</v>
      </c>
      <c r="B284" s="189">
        <f>'Données projet'!D257</f>
        <v>0</v>
      </c>
      <c r="C284" s="200"/>
      <c r="D284" s="187">
        <f t="shared" si="14"/>
        <v>0</v>
      </c>
      <c r="E284" s="202"/>
      <c r="F284" s="259"/>
      <c r="G284" s="219"/>
      <c r="H284" s="5"/>
      <c r="I284" s="5"/>
      <c r="J284" s="5"/>
      <c r="K284" s="179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88">
        <f>'Données projet'!A258</f>
        <v>0</v>
      </c>
      <c r="B285" s="189">
        <f>'Données projet'!D258</f>
        <v>0</v>
      </c>
      <c r="C285" s="200"/>
      <c r="D285" s="187">
        <f t="shared" si="14"/>
        <v>0</v>
      </c>
      <c r="E285" s="202"/>
      <c r="F285" s="259"/>
      <c r="G285" s="219"/>
      <c r="H285" s="5"/>
      <c r="I285" s="5"/>
      <c r="J285" s="5"/>
      <c r="K285" s="179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88">
        <f>'Données projet'!A259</f>
        <v>0</v>
      </c>
      <c r="B286" s="189">
        <f>'Données projet'!D259</f>
        <v>0</v>
      </c>
      <c r="C286" s="200"/>
      <c r="D286" s="187">
        <f t="shared" si="14"/>
        <v>0</v>
      </c>
      <c r="E286" s="202"/>
      <c r="F286" s="259"/>
      <c r="G286" s="219"/>
      <c r="H286" s="5"/>
      <c r="I286" s="5"/>
      <c r="J286" s="5"/>
      <c r="K286" s="179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88">
        <f>'Données projet'!A260</f>
        <v>0</v>
      </c>
      <c r="B287" s="189">
        <f>'Données projet'!D260</f>
        <v>0</v>
      </c>
      <c r="C287" s="200"/>
      <c r="D287" s="187">
        <f t="shared" si="14"/>
        <v>0</v>
      </c>
      <c r="E287" s="202"/>
      <c r="F287" s="259"/>
      <c r="G287" s="219"/>
      <c r="H287" s="5"/>
      <c r="I287" s="5"/>
      <c r="J287" s="5"/>
      <c r="K287" s="179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88">
        <f>'Données projet'!A261</f>
        <v>0</v>
      </c>
      <c r="B288" s="189">
        <f>'Données projet'!D261</f>
        <v>0</v>
      </c>
      <c r="C288" s="200"/>
      <c r="D288" s="187">
        <f t="shared" si="14"/>
        <v>0</v>
      </c>
      <c r="E288" s="202"/>
      <c r="F288" s="259"/>
      <c r="G288" s="219"/>
      <c r="H288" s="5"/>
      <c r="I288" s="5"/>
      <c r="J288" s="5"/>
      <c r="K288" s="179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88">
        <f>'Données projet'!A262</f>
        <v>0</v>
      </c>
      <c r="B289" s="189">
        <f>'Données projet'!D262</f>
        <v>0</v>
      </c>
      <c r="C289" s="200"/>
      <c r="D289" s="187">
        <f t="shared" si="14"/>
        <v>0</v>
      </c>
      <c r="E289" s="202"/>
      <c r="F289" s="259"/>
      <c r="G289" s="219"/>
      <c r="H289" s="5"/>
      <c r="I289" s="5"/>
      <c r="J289" s="5"/>
      <c r="K289" s="179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88">
        <f>'Données projet'!A263</f>
        <v>0</v>
      </c>
      <c r="B290" s="189">
        <f>'Données projet'!D263</f>
        <v>0</v>
      </c>
      <c r="C290" s="200"/>
      <c r="D290" s="187">
        <f t="shared" si="14"/>
        <v>0</v>
      </c>
      <c r="E290" s="202"/>
      <c r="F290" s="259"/>
      <c r="G290" s="219"/>
      <c r="H290" s="5"/>
      <c r="I290" s="5"/>
      <c r="J290" s="5"/>
      <c r="K290" s="179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57"/>
      <c r="G291" s="219"/>
      <c r="H291" s="5"/>
      <c r="I291" s="5"/>
      <c r="J291" s="5"/>
      <c r="K291" s="179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57"/>
      <c r="G292" s="219"/>
      <c r="H292" s="5"/>
      <c r="I292" s="5"/>
      <c r="J292" s="5"/>
      <c r="K292" s="179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2" t="str">
        <f>IF('Données projet'!$B$18="","",'Données projet'!$B$18)</f>
        <v/>
      </c>
      <c r="C293" s="5"/>
      <c r="D293" s="5"/>
      <c r="E293" s="5"/>
      <c r="F293" s="257"/>
      <c r="G293" s="219"/>
      <c r="H293" s="5"/>
      <c r="I293" s="5"/>
      <c r="J293" s="5"/>
      <c r="K293" s="179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57"/>
      <c r="G294" s="219"/>
      <c r="H294" s="5"/>
      <c r="I294" s="5"/>
      <c r="J294" s="5"/>
      <c r="K294" s="179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3" t="s">
        <v>180</v>
      </c>
      <c r="B295" s="51" t="s">
        <v>256</v>
      </c>
      <c r="C295" s="51" t="s">
        <v>255</v>
      </c>
      <c r="D295" s="253" t="s">
        <v>252</v>
      </c>
      <c r="E295" s="253" t="s">
        <v>320</v>
      </c>
      <c r="F295" s="258"/>
      <c r="G295" s="219"/>
      <c r="H295" s="5"/>
      <c r="I295" s="5"/>
      <c r="J295" s="5"/>
      <c r="K295" s="179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06">
        <v>0</v>
      </c>
      <c r="B296" s="209" t="s">
        <v>132</v>
      </c>
      <c r="C296" s="208" t="s">
        <v>132</v>
      </c>
      <c r="D296" s="207" t="s">
        <v>132</v>
      </c>
      <c r="E296" s="202"/>
      <c r="F296" s="258"/>
      <c r="G296" s="219"/>
      <c r="H296" s="5"/>
      <c r="I296" s="5"/>
      <c r="J296" s="5"/>
      <c r="K296" s="179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06">
        <v>1</v>
      </c>
      <c r="B297" s="209" t="s">
        <v>132</v>
      </c>
      <c r="C297" s="208" t="s">
        <v>132</v>
      </c>
      <c r="D297" s="207" t="s">
        <v>132</v>
      </c>
      <c r="E297" s="202"/>
      <c r="F297" s="258"/>
      <c r="G297" s="217"/>
      <c r="H297" s="5"/>
      <c r="I297" s="5"/>
      <c r="J297" s="5"/>
      <c r="K297" s="179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06">
        <v>2</v>
      </c>
      <c r="B298" s="209" t="s">
        <v>132</v>
      </c>
      <c r="C298" s="208" t="s">
        <v>132</v>
      </c>
      <c r="D298" s="207" t="s">
        <v>132</v>
      </c>
      <c r="E298" s="202"/>
      <c r="F298" s="258"/>
      <c r="G298" s="217"/>
      <c r="H298" s="5"/>
      <c r="I298" s="5"/>
      <c r="J298" s="5"/>
      <c r="K298" s="179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06">
        <v>3</v>
      </c>
      <c r="B299" s="209" t="s">
        <v>132</v>
      </c>
      <c r="C299" s="208" t="s">
        <v>132</v>
      </c>
      <c r="D299" s="207" t="s">
        <v>132</v>
      </c>
      <c r="E299" s="202"/>
      <c r="F299" s="258"/>
      <c r="G299" s="217"/>
      <c r="H299" s="5"/>
      <c r="I299" s="5"/>
      <c r="J299" s="5"/>
      <c r="K299" s="179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06">
        <v>4</v>
      </c>
      <c r="B300" s="209" t="s">
        <v>132</v>
      </c>
      <c r="C300" s="208" t="s">
        <v>132</v>
      </c>
      <c r="D300" s="207" t="s">
        <v>132</v>
      </c>
      <c r="E300" s="202"/>
      <c r="F300" s="258"/>
      <c r="G300" s="217"/>
      <c r="H300" s="5"/>
      <c r="I300" s="5"/>
      <c r="J300" s="5"/>
      <c r="K300" s="179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06">
        <v>5</v>
      </c>
      <c r="B301" s="209" t="s">
        <v>132</v>
      </c>
      <c r="C301" s="208" t="s">
        <v>132</v>
      </c>
      <c r="D301" s="207" t="s">
        <v>132</v>
      </c>
      <c r="E301" s="202"/>
      <c r="F301" s="258"/>
      <c r="G301" s="218"/>
      <c r="H301" s="5"/>
      <c r="I301" s="5"/>
      <c r="J301" s="5"/>
      <c r="K301" s="179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88">
        <f>'Données projet'!A270</f>
        <v>0</v>
      </c>
      <c r="B302" s="189">
        <f>'Données projet'!D270</f>
        <v>0</v>
      </c>
      <c r="C302" s="200"/>
      <c r="D302" s="190">
        <f>B302*C302</f>
        <v>0</v>
      </c>
      <c r="E302" s="202"/>
      <c r="F302" s="260"/>
      <c r="G302" s="218"/>
      <c r="H302" s="5"/>
      <c r="I302" s="5"/>
      <c r="J302" s="5"/>
      <c r="K302" s="179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88">
        <f>'Données projet'!A271</f>
        <v>0</v>
      </c>
      <c r="B303" s="189">
        <f>'Données projet'!D271</f>
        <v>0</v>
      </c>
      <c r="C303" s="200"/>
      <c r="D303" s="190">
        <f t="shared" ref="D303:D321" si="15">B303*C303</f>
        <v>0</v>
      </c>
      <c r="E303" s="202"/>
      <c r="F303" s="260"/>
      <c r="G303" s="218"/>
      <c r="H303" s="5"/>
      <c r="I303" s="5"/>
      <c r="J303" s="5"/>
      <c r="K303" s="179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88">
        <f>'Données projet'!A272</f>
        <v>0</v>
      </c>
      <c r="B304" s="189">
        <f>'Données projet'!D272</f>
        <v>0</v>
      </c>
      <c r="C304" s="200"/>
      <c r="D304" s="190">
        <f t="shared" si="15"/>
        <v>0</v>
      </c>
      <c r="E304" s="202"/>
      <c r="F304" s="260"/>
      <c r="G304" s="218"/>
      <c r="H304" s="5"/>
      <c r="I304" s="5"/>
      <c r="J304" s="5"/>
      <c r="K304" s="179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88">
        <f>'Données projet'!A273</f>
        <v>0</v>
      </c>
      <c r="B305" s="189">
        <f>'Données projet'!D273</f>
        <v>0</v>
      </c>
      <c r="C305" s="200"/>
      <c r="D305" s="190">
        <f t="shared" si="15"/>
        <v>0</v>
      </c>
      <c r="E305" s="202"/>
      <c r="F305" s="260"/>
      <c r="G305" s="218"/>
      <c r="H305" s="5"/>
      <c r="I305" s="5"/>
      <c r="J305" s="5"/>
      <c r="K305" s="179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88">
        <f>'Données projet'!A274</f>
        <v>0</v>
      </c>
      <c r="B306" s="189">
        <f>'Données projet'!D274</f>
        <v>0</v>
      </c>
      <c r="C306" s="200"/>
      <c r="D306" s="190">
        <f t="shared" si="15"/>
        <v>0</v>
      </c>
      <c r="E306" s="202"/>
      <c r="F306" s="260"/>
      <c r="G306" s="218"/>
      <c r="H306" s="5"/>
      <c r="I306" s="5"/>
      <c r="J306" s="5"/>
      <c r="K306" s="179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88">
        <f>'Données projet'!A275</f>
        <v>0</v>
      </c>
      <c r="B307" s="189">
        <f>'Données projet'!D275</f>
        <v>0</v>
      </c>
      <c r="C307" s="200"/>
      <c r="D307" s="190">
        <f t="shared" si="15"/>
        <v>0</v>
      </c>
      <c r="E307" s="202"/>
      <c r="F307" s="260"/>
      <c r="G307" s="218"/>
      <c r="H307" s="5"/>
      <c r="I307" s="5"/>
      <c r="J307" s="5"/>
      <c r="K307" s="179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88">
        <f>'Données projet'!A276</f>
        <v>0</v>
      </c>
      <c r="B308" s="189">
        <f>'Données projet'!D276</f>
        <v>0</v>
      </c>
      <c r="C308" s="200"/>
      <c r="D308" s="190">
        <f t="shared" si="15"/>
        <v>0</v>
      </c>
      <c r="E308" s="202"/>
      <c r="F308" s="260"/>
      <c r="G308" s="214"/>
      <c r="H308" s="5"/>
      <c r="I308" s="5"/>
      <c r="J308" s="5"/>
      <c r="K308" s="179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88">
        <f>'Données projet'!A277</f>
        <v>0</v>
      </c>
      <c r="B309" s="189">
        <f>'Données projet'!D277</f>
        <v>0</v>
      </c>
      <c r="C309" s="200"/>
      <c r="D309" s="190">
        <f t="shared" si="15"/>
        <v>0</v>
      </c>
      <c r="E309" s="202"/>
      <c r="F309" s="260"/>
      <c r="G309" s="214"/>
      <c r="H309" s="5"/>
      <c r="I309" s="5"/>
      <c r="J309" s="5"/>
      <c r="K309" s="179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88">
        <f>'Données projet'!A278</f>
        <v>0</v>
      </c>
      <c r="B310" s="189">
        <f>'Données projet'!D278</f>
        <v>0</v>
      </c>
      <c r="C310" s="200"/>
      <c r="D310" s="190">
        <f t="shared" si="15"/>
        <v>0</v>
      </c>
      <c r="E310" s="202"/>
      <c r="F310" s="260"/>
      <c r="G310" s="214"/>
      <c r="H310" s="5"/>
      <c r="I310" s="5"/>
      <c r="J310" s="5"/>
      <c r="K310" s="179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88">
        <f>'Données projet'!A279</f>
        <v>0</v>
      </c>
      <c r="B311" s="189">
        <f>'Données projet'!D279</f>
        <v>0</v>
      </c>
      <c r="C311" s="200"/>
      <c r="D311" s="190">
        <f t="shared" si="15"/>
        <v>0</v>
      </c>
      <c r="E311" s="202"/>
      <c r="F311" s="260"/>
      <c r="G311" s="214"/>
      <c r="H311" s="5"/>
      <c r="I311" s="5"/>
      <c r="J311" s="5"/>
      <c r="K311" s="179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88">
        <f>'Données projet'!A280</f>
        <v>0</v>
      </c>
      <c r="B312" s="189">
        <f>'Données projet'!D280</f>
        <v>0</v>
      </c>
      <c r="C312" s="200"/>
      <c r="D312" s="190">
        <f t="shared" si="15"/>
        <v>0</v>
      </c>
      <c r="E312" s="202"/>
      <c r="F312" s="260"/>
      <c r="G312" s="214"/>
      <c r="H312" s="5"/>
      <c r="I312" s="5"/>
      <c r="J312" s="5"/>
      <c r="K312" s="179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88">
        <f>'Données projet'!A281</f>
        <v>0</v>
      </c>
      <c r="B313" s="189">
        <f>'Données projet'!D281</f>
        <v>0</v>
      </c>
      <c r="C313" s="200"/>
      <c r="D313" s="190">
        <f t="shared" si="15"/>
        <v>0</v>
      </c>
      <c r="E313" s="202"/>
      <c r="F313" s="260"/>
      <c r="G313" s="214"/>
      <c r="H313" s="5"/>
      <c r="I313" s="5"/>
      <c r="J313" s="5"/>
      <c r="K313" s="179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88">
        <f>'Données projet'!A282</f>
        <v>0</v>
      </c>
      <c r="B314" s="189">
        <f>'Données projet'!D282</f>
        <v>0</v>
      </c>
      <c r="C314" s="200"/>
      <c r="D314" s="190">
        <f t="shared" si="15"/>
        <v>0</v>
      </c>
      <c r="E314" s="202"/>
      <c r="F314" s="260"/>
      <c r="G314" s="214"/>
      <c r="H314" s="5"/>
      <c r="I314" s="5"/>
      <c r="J314" s="5"/>
      <c r="K314" s="179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88">
        <f>'Données projet'!A283</f>
        <v>0</v>
      </c>
      <c r="B315" s="189">
        <f>'Données projet'!D283</f>
        <v>0</v>
      </c>
      <c r="C315" s="200"/>
      <c r="D315" s="190">
        <f t="shared" si="15"/>
        <v>0</v>
      </c>
      <c r="E315" s="202"/>
      <c r="F315" s="260"/>
      <c r="G315" s="214"/>
      <c r="H315" s="5"/>
      <c r="I315" s="5"/>
      <c r="J315" s="5"/>
      <c r="K315" s="179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88">
        <f>'Données projet'!A284</f>
        <v>0</v>
      </c>
      <c r="B316" s="189">
        <f>'Données projet'!D284</f>
        <v>0</v>
      </c>
      <c r="C316" s="200"/>
      <c r="D316" s="190">
        <f t="shared" si="15"/>
        <v>0</v>
      </c>
      <c r="E316" s="202"/>
      <c r="F316" s="260"/>
      <c r="G316" s="214"/>
      <c r="H316" s="5"/>
      <c r="I316" s="5"/>
      <c r="J316" s="5"/>
      <c r="K316" s="179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88">
        <f>'Données projet'!A285</f>
        <v>0</v>
      </c>
      <c r="B317" s="189">
        <f>'Données projet'!D285</f>
        <v>0</v>
      </c>
      <c r="C317" s="200"/>
      <c r="D317" s="190">
        <f t="shared" si="15"/>
        <v>0</v>
      </c>
      <c r="E317" s="202"/>
      <c r="F317" s="260"/>
      <c r="G317" s="214"/>
      <c r="H317" s="5"/>
      <c r="I317" s="5"/>
      <c r="J317" s="5"/>
      <c r="K317" s="179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88">
        <f>'Données projet'!A286</f>
        <v>0</v>
      </c>
      <c r="B318" s="189">
        <f>'Données projet'!D286</f>
        <v>0</v>
      </c>
      <c r="C318" s="200"/>
      <c r="D318" s="190">
        <f t="shared" si="15"/>
        <v>0</v>
      </c>
      <c r="E318" s="202"/>
      <c r="F318" s="260"/>
      <c r="G318" s="214"/>
      <c r="H318" s="5"/>
      <c r="I318" s="5"/>
      <c r="J318" s="5"/>
      <c r="K318" s="179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88">
        <f>'Données projet'!A287</f>
        <v>0</v>
      </c>
      <c r="B319" s="189">
        <f>'Données projet'!D287</f>
        <v>0</v>
      </c>
      <c r="C319" s="200"/>
      <c r="D319" s="190">
        <f t="shared" si="15"/>
        <v>0</v>
      </c>
      <c r="E319" s="202"/>
      <c r="F319" s="260"/>
      <c r="G319" s="214"/>
      <c r="H319" s="5"/>
      <c r="I319" s="5"/>
      <c r="J319" s="5"/>
      <c r="K319" s="179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88">
        <f>'Données projet'!A288</f>
        <v>0</v>
      </c>
      <c r="B320" s="189">
        <f>'Données projet'!D288</f>
        <v>0</v>
      </c>
      <c r="C320" s="200"/>
      <c r="D320" s="190">
        <f t="shared" si="15"/>
        <v>0</v>
      </c>
      <c r="E320" s="202"/>
      <c r="F320" s="260"/>
      <c r="G320" s="214"/>
      <c r="H320" s="5"/>
      <c r="I320" s="5"/>
      <c r="J320" s="5"/>
      <c r="K320" s="179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88">
        <f>'Données projet'!A289</f>
        <v>0</v>
      </c>
      <c r="B321" s="189">
        <f>'Données projet'!D289</f>
        <v>0</v>
      </c>
      <c r="C321" s="205"/>
      <c r="D321" s="190">
        <f t="shared" si="15"/>
        <v>0</v>
      </c>
      <c r="E321" s="202"/>
      <c r="F321" s="260"/>
      <c r="G321" s="214"/>
      <c r="H321" s="5"/>
      <c r="I321" s="5"/>
      <c r="J321" s="5"/>
      <c r="K321" s="179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4"/>
      <c r="H322" s="5"/>
      <c r="I322" s="5"/>
      <c r="J322" s="5"/>
      <c r="K322" s="179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4"/>
      <c r="H323" s="5"/>
      <c r="I323" s="5"/>
      <c r="J323" s="5"/>
      <c r="K323" s="179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4"/>
      <c r="H324" s="5"/>
      <c r="I324" s="5"/>
      <c r="J324" s="5"/>
      <c r="K324" s="179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4"/>
      <c r="H325" s="5"/>
      <c r="I325" s="5"/>
      <c r="J325" s="5"/>
      <c r="K325" s="179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4"/>
      <c r="H326" s="5"/>
      <c r="I326" s="5"/>
      <c r="J326" s="5"/>
      <c r="K326" s="179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4"/>
      <c r="H327" s="5"/>
      <c r="I327" s="5"/>
      <c r="J327" s="5"/>
      <c r="K327" s="179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27"/>
      <c r="G328" s="227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27"/>
      <c r="G329" s="227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27"/>
      <c r="G330" s="227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27"/>
      <c r="G331" s="227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27"/>
      <c r="G332" s="227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27"/>
      <c r="G333" s="227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27"/>
      <c r="G334" s="227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27"/>
      <c r="G335" s="227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27"/>
      <c r="G336" s="227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27"/>
      <c r="G337" s="227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27"/>
      <c r="G338" s="227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27"/>
      <c r="G339" s="227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27"/>
      <c r="G340" s="227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27"/>
      <c r="G341" s="227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27"/>
      <c r="G342" s="227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27"/>
      <c r="G343" s="227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27"/>
      <c r="G344" s="227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27"/>
      <c r="G345" s="227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27"/>
      <c r="G346" s="227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27"/>
      <c r="G347" s="227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27"/>
      <c r="G348" s="227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27"/>
      <c r="G349" s="227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27"/>
      <c r="G350" s="227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27"/>
      <c r="G351" s="227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27"/>
      <c r="G352" s="227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27"/>
      <c r="G353" s="227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27"/>
      <c r="G354" s="227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27"/>
      <c r="G355" s="227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27"/>
      <c r="G356" s="227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27"/>
      <c r="G357" s="227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27"/>
      <c r="G358" s="227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27"/>
      <c r="G359" s="227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27"/>
      <c r="G360" s="227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27"/>
      <c r="G361" s="227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27"/>
      <c r="G362" s="227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27"/>
      <c r="G363" s="227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27"/>
      <c r="G364" s="227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27"/>
      <c r="G365" s="227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27"/>
      <c r="G366" s="227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27"/>
      <c r="G367" s="227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27"/>
      <c r="G368" s="227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27"/>
      <c r="G369" s="227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27"/>
      <c r="G370" s="68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27"/>
      <c r="G371" s="68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27"/>
      <c r="G372" s="68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27"/>
      <c r="G373" s="68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27"/>
      <c r="G374" s="68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27"/>
      <c r="G375" s="68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27"/>
      <c r="G376" s="68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27"/>
      <c r="G377" s="68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27"/>
      <c r="G378" s="68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27"/>
      <c r="G379" s="68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27"/>
      <c r="G380" s="68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27"/>
      <c r="G381" s="68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27"/>
      <c r="G382" s="68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27"/>
      <c r="G383" s="68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27"/>
      <c r="G384" s="68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27"/>
      <c r="G385" s="68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27"/>
      <c r="G386" s="68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27"/>
      <c r="G387" s="68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27"/>
      <c r="G388" s="68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27"/>
      <c r="G389" s="68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27"/>
      <c r="G390" s="68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27"/>
      <c r="G391" s="68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27"/>
      <c r="G392" s="68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27"/>
      <c r="G393" s="68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27"/>
      <c r="G394" s="68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27"/>
      <c r="G395" s="68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68"/>
      <c r="G396" s="68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68"/>
      <c r="G397" s="68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68"/>
      <c r="G398" s="68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68"/>
      <c r="G399" s="68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68"/>
      <c r="G400" s="68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68"/>
      <c r="G401" s="68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68"/>
      <c r="G402" s="68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68"/>
      <c r="G403" s="68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68"/>
      <c r="G404" s="68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68"/>
      <c r="G405" s="68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68"/>
      <c r="G406" s="68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68"/>
      <c r="G407" s="68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68"/>
      <c r="G408" s="68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68"/>
      <c r="G409" s="68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68"/>
      <c r="G410" s="68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68"/>
      <c r="G411" s="68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68"/>
      <c r="G412" s="68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68"/>
      <c r="G413" s="68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68"/>
      <c r="G414" s="68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68"/>
      <c r="G415" s="68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68"/>
      <c r="G416" s="68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68"/>
      <c r="G417" s="68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68"/>
      <c r="G418" s="68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68"/>
      <c r="G419" s="68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68"/>
      <c r="G420" s="68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68"/>
      <c r="G421" s="68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68"/>
      <c r="G422" s="68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68"/>
      <c r="G423" s="68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68"/>
      <c r="G424" s="68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68"/>
      <c r="G425" s="68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68"/>
      <c r="G426" s="68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68"/>
      <c r="G427" s="68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68"/>
      <c r="G428" s="68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68"/>
      <c r="G429" s="68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68"/>
      <c r="G430" s="68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68"/>
      <c r="G431" s="68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68"/>
      <c r="G432" s="68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68"/>
      <c r="G433" s="68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68"/>
      <c r="G434" s="68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68"/>
      <c r="G435" s="68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68"/>
      <c r="G436" s="68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68"/>
      <c r="G437" s="68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68"/>
      <c r="G438" s="68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68"/>
      <c r="G439" s="68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68"/>
      <c r="G440" s="68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68"/>
      <c r="G441" s="68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Olivier GLEIZES (CNPF - C+FOR)</cp:lastModifiedBy>
  <dcterms:created xsi:type="dcterms:W3CDTF">2021-02-01T08:22:39Z</dcterms:created>
  <dcterms:modified xsi:type="dcterms:W3CDTF">2024-07-24T16:01:58Z</dcterms:modified>
</cp:coreProperties>
</file>