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10_Val de Seine-Normandie\Morsent (27)\"/>
    </mc:Choice>
  </mc:AlternateContent>
  <xr:revisionPtr revIDLastSave="0" documentId="13_ncr:1_{C246943D-3A7F-4960-A730-026BCB3B7C67}" xr6:coauthVersionLast="47" xr6:coauthVersionMax="47" xr10:uidLastSave="{00000000-0000-0000-0000-000000000000}"/>
  <bookViews>
    <workbookView xWindow="-120" yWindow="-120" windowWidth="29040" windowHeight="15840" tabRatio="866" activeTab="2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8" i="1" l="1"/>
  <c r="B98" i="1"/>
  <c r="D97" i="1"/>
  <c r="B97" i="1"/>
  <c r="D96" i="1"/>
  <c r="B96" i="1"/>
  <c r="D95" i="1"/>
  <c r="B95" i="1"/>
  <c r="D94" i="1"/>
  <c r="B94" i="1"/>
  <c r="D93" i="1"/>
  <c r="B93" i="1"/>
  <c r="D92" i="1"/>
  <c r="B92" i="1"/>
  <c r="D91" i="1"/>
  <c r="B91" i="1"/>
  <c r="D90" i="1"/>
  <c r="B90" i="1"/>
  <c r="D89" i="1"/>
  <c r="B89" i="1"/>
  <c r="B8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DI154" i="2"/>
  <c r="AC154" i="2"/>
  <c r="ED154" i="2"/>
  <c r="EA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X156" i="2" l="1"/>
  <c r="DH156" i="2"/>
  <c r="ED155" i="2"/>
  <c r="E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EA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W158" i="2"/>
  <c r="ED157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DG160" i="2"/>
  <c r="ED159" i="2"/>
  <c r="EC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DI161" i="2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DI163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Y166" i="2"/>
  <c r="EA167" i="2"/>
  <c r="EC167" i="2"/>
  <c r="DG167" i="2"/>
  <c r="EB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C168" i="2"/>
  <c r="EB168" i="2"/>
  <c r="DG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EA172" i="2"/>
  <c r="ED171" i="2"/>
  <c r="EB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D172" i="2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A175" i="2" l="1"/>
  <c r="ED174" i="2"/>
  <c r="EB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A178" i="2"/>
  <c r="ED177" i="2"/>
  <c r="EB178" i="2"/>
  <c r="HH178" i="2"/>
  <c r="HG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A179" i="2"/>
  <c r="EB179" i="2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D184" i="2"/>
  <c r="EB185" i="2"/>
  <c r="EA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B186" i="2"/>
  <c r="EA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EY192" i="2" s="1"/>
  <c r="EC192" i="2"/>
  <c r="EB192" i="2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X195" i="2" l="1"/>
  <c r="EY194" i="2"/>
  <c r="DH195" i="2"/>
  <c r="ED194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W197" i="2"/>
  <c r="EA197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V198" i="2"/>
  <c r="EY198" i="2" s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A199" i="2"/>
  <c r="EB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X202" i="2"/>
  <c r="ED201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82" i="2" a="1"/>
  <c r="BC82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64" i="2" a="1"/>
  <c r="BC164" i="2" s="1"/>
  <c r="BC185" i="2" a="1"/>
  <c r="BC185" i="2" s="1"/>
  <c r="BC7" i="2" a="1"/>
  <c r="BC7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8" i="2" l="1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BC151" i="2" a="1"/>
  <c r="BC151" i="2" s="1"/>
  <c r="BC192" i="2" a="1"/>
  <c r="BC192" i="2" s="1"/>
  <c r="BC47" i="2" a="1"/>
  <c r="BC47" i="2" s="1"/>
  <c r="BC58" i="2" a="1"/>
  <c r="BC58" i="2" s="1"/>
  <c r="BC181" i="2" a="1"/>
  <c r="BC181" i="2" s="1"/>
  <c r="BC34" i="2" a="1"/>
  <c r="BC34" i="2" s="1"/>
  <c r="BC143" i="2" a="1"/>
  <c r="BC143" i="2" s="1"/>
  <c r="BC31" i="2" a="1"/>
  <c r="BC31" i="2" s="1"/>
  <c r="BC65" i="2" a="1"/>
  <c r="BC65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4" i="2" l="1"/>
  <c r="CY137" i="2"/>
  <c r="CY12" i="2"/>
  <c r="CY171" i="2"/>
  <c r="CY107" i="2"/>
  <c r="CY4" i="2"/>
  <c r="CY10" i="2"/>
  <c r="CY37" i="2"/>
  <c r="CY178" i="2"/>
  <c r="CY9" i="2"/>
  <c r="CY76" i="2"/>
  <c r="CY108" i="2"/>
  <c r="CY40" i="2"/>
  <c r="CY180" i="2"/>
  <c r="CY158" i="2"/>
  <c r="CY128" i="2"/>
  <c r="CY15" i="2"/>
  <c r="CY176" i="2"/>
  <c r="CY112" i="2"/>
  <c r="CY149" i="2"/>
  <c r="CY21" i="2"/>
  <c r="CY25" i="2"/>
  <c r="CY138" i="2"/>
  <c r="CY35" i="2"/>
  <c r="CY118" i="2"/>
  <c r="CY65" i="2"/>
  <c r="CY81" i="2"/>
  <c r="CY129" i="2"/>
  <c r="CY7" i="2"/>
  <c r="CY117" i="2"/>
  <c r="CY139" i="2"/>
  <c r="CY196" i="2"/>
  <c r="CY38" i="2"/>
  <c r="CY39" i="2"/>
  <c r="CY59" i="2"/>
  <c r="CY199" i="2"/>
  <c r="CY110" i="2"/>
  <c r="CY51" i="2"/>
  <c r="CY61" i="2"/>
  <c r="CY148" i="2"/>
  <c r="CY67" i="2"/>
  <c r="CY184" i="2"/>
  <c r="CY89" i="2"/>
  <c r="CY30" i="2"/>
  <c r="CY121" i="2"/>
  <c r="CY135" i="2"/>
  <c r="CY44" i="2"/>
  <c r="CY144" i="2"/>
  <c r="CY41" i="2"/>
  <c r="CY49" i="2"/>
  <c r="CY151" i="2"/>
  <c r="CY147" i="2"/>
  <c r="CY163" i="2"/>
  <c r="CY126" i="2"/>
  <c r="CY63" i="2"/>
  <c r="CY57" i="2"/>
  <c r="CY142" i="2"/>
  <c r="CY34" i="2"/>
  <c r="CY6" i="2"/>
  <c r="CY55" i="2"/>
  <c r="CY18" i="2"/>
  <c r="CY93" i="2"/>
  <c r="CY79" i="2"/>
  <c r="CY53" i="2"/>
  <c r="CY189" i="2"/>
  <c r="CY3" i="2"/>
  <c r="C10" i="4" s="1"/>
  <c r="E10" i="4" s="1"/>
  <c r="F10" i="4" s="1"/>
  <c r="G10" i="4" s="1"/>
  <c r="L10" i="4" s="1"/>
  <c r="CY109" i="2"/>
  <c r="CY166" i="2"/>
  <c r="CY86" i="2"/>
  <c r="CY133" i="2"/>
  <c r="CY162" i="2"/>
  <c r="CY84" i="2"/>
  <c r="CY95" i="2"/>
  <c r="CY90" i="2"/>
  <c r="CY62" i="2"/>
  <c r="CY85" i="2"/>
  <c r="CY169" i="2"/>
  <c r="CY119" i="2"/>
  <c r="CY114" i="2"/>
  <c r="CY17" i="2"/>
  <c r="CY80" i="2"/>
  <c r="CY29" i="2"/>
  <c r="CY8" i="2"/>
  <c r="CY186" i="2"/>
  <c r="CY88" i="2"/>
  <c r="CY48" i="2"/>
  <c r="CY191" i="2"/>
  <c r="CY181" i="2"/>
  <c r="CY201" i="2"/>
  <c r="CY46" i="2"/>
  <c r="CY170" i="2"/>
  <c r="CY66" i="2"/>
  <c r="CY77" i="2"/>
  <c r="CY96" i="2"/>
  <c r="CY16" i="2"/>
  <c r="CY143" i="2"/>
  <c r="CY87" i="2"/>
  <c r="CY115" i="2"/>
  <c r="CY91" i="2"/>
  <c r="CY31" i="2"/>
  <c r="CY74" i="2"/>
  <c r="CY97" i="2"/>
  <c r="CY103" i="2"/>
  <c r="CY50" i="2"/>
  <c r="CY120" i="2"/>
  <c r="CY47" i="2"/>
  <c r="CY102" i="2"/>
  <c r="CY185" i="2"/>
  <c r="CY154" i="2"/>
  <c r="CY160" i="2"/>
  <c r="CY200" i="2"/>
  <c r="CY192" i="2"/>
  <c r="CY198" i="2"/>
  <c r="CY177" i="2"/>
  <c r="CY152" i="2"/>
  <c r="CY140" i="2"/>
  <c r="CY168" i="2"/>
  <c r="CY19" i="2"/>
  <c r="CY94" i="2"/>
  <c r="CY123" i="2"/>
  <c r="CY105" i="2"/>
  <c r="CY71" i="2"/>
  <c r="CY131" i="2"/>
  <c r="CY36" i="2"/>
  <c r="CY202" i="2"/>
  <c r="CY122" i="2"/>
  <c r="CY173" i="2"/>
  <c r="CY125" i="2"/>
  <c r="CY165" i="2"/>
  <c r="CY72" i="2"/>
  <c r="CY159" i="2"/>
  <c r="CY179" i="2"/>
  <c r="CY42" i="2"/>
  <c r="CY183" i="2"/>
  <c r="CY157" i="2"/>
  <c r="CY136" i="2"/>
  <c r="CY132" i="2"/>
  <c r="CY193" i="2"/>
  <c r="CY75" i="2"/>
  <c r="CY127" i="2"/>
  <c r="CY174" i="2"/>
  <c r="CY33" i="2"/>
  <c r="CY54" i="2"/>
  <c r="CY175" i="2"/>
  <c r="CY23" i="2"/>
  <c r="CY172" i="2"/>
  <c r="CY68" i="2"/>
  <c r="CY164" i="2"/>
  <c r="CY78" i="2"/>
  <c r="CY70" i="2"/>
  <c r="CY83" i="2"/>
  <c r="CY56" i="2"/>
  <c r="CY32" i="2"/>
  <c r="CY188" i="2"/>
  <c r="CY98" i="2"/>
  <c r="CY69" i="2"/>
  <c r="CY27" i="2"/>
  <c r="CY190" i="2"/>
  <c r="CY60" i="2"/>
  <c r="CY92" i="2"/>
  <c r="CY156" i="2"/>
  <c r="CY116" i="2"/>
  <c r="CY146" i="2"/>
  <c r="CY52" i="2"/>
  <c r="CY194" i="2"/>
  <c r="CY167" i="2"/>
  <c r="CY145" i="2"/>
  <c r="CY153" i="2"/>
  <c r="CY141" i="2"/>
  <c r="CY101" i="2"/>
  <c r="CY45" i="2"/>
  <c r="CY182" i="2"/>
  <c r="CY58" i="2"/>
  <c r="CY155" i="2"/>
  <c r="CY82" i="2"/>
  <c r="CY99" i="2"/>
  <c r="CY161" i="2"/>
  <c r="CY14" i="2"/>
  <c r="CY73" i="2"/>
  <c r="CY134" i="2"/>
  <c r="CY5" i="2"/>
  <c r="CY20" i="2"/>
  <c r="CY150" i="2"/>
  <c r="CY28" i="2"/>
  <c r="CY64" i="2"/>
  <c r="CY104" i="2"/>
  <c r="CY203" i="2"/>
  <c r="CY22" i="2"/>
  <c r="CY130" i="2"/>
  <c r="CY13" i="2"/>
  <c r="CY11" i="2"/>
  <c r="CY113" i="2"/>
  <c r="CY111" i="2"/>
  <c r="CY197" i="2"/>
  <c r="CY43" i="2"/>
  <c r="CY106" i="2"/>
  <c r="CY187" i="2"/>
  <c r="CY26" i="2"/>
  <c r="CY100" i="2"/>
  <c r="CY195" i="2"/>
  <c r="CY12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162" i="2" l="1"/>
  <c r="CD134" i="2"/>
  <c r="CD82" i="2"/>
  <c r="CD20" i="2"/>
  <c r="CD84" i="2"/>
  <c r="CD139" i="2"/>
  <c r="CD161" i="2"/>
  <c r="CD89" i="2"/>
  <c r="CD154" i="2"/>
  <c r="CD56" i="2"/>
  <c r="CD142" i="2"/>
  <c r="CD19" i="2"/>
  <c r="CD199" i="2"/>
  <c r="CD16" i="2"/>
  <c r="CD98" i="2"/>
  <c r="CD29" i="2"/>
  <c r="CD51" i="2"/>
  <c r="CD200" i="2"/>
  <c r="CD187" i="2"/>
  <c r="CD42" i="2"/>
  <c r="CD136" i="2"/>
  <c r="CD190" i="2"/>
  <c r="CD95" i="2"/>
  <c r="CD11" i="2"/>
  <c r="CD201" i="2"/>
  <c r="CD36" i="2"/>
  <c r="CD10" i="2"/>
  <c r="CD62" i="2"/>
  <c r="CD40" i="2"/>
  <c r="CD146" i="2"/>
  <c r="CD15" i="2"/>
  <c r="CD147" i="2"/>
  <c r="CD138" i="2"/>
  <c r="CD175" i="2"/>
  <c r="CD181" i="2"/>
  <c r="CD49" i="2"/>
  <c r="CD184" i="2"/>
  <c r="CD61" i="2"/>
  <c r="CD164" i="2"/>
  <c r="CD47" i="2"/>
  <c r="CD178" i="2"/>
  <c r="CD106" i="2"/>
  <c r="CD157" i="2"/>
  <c r="CD170" i="2"/>
  <c r="CD3" i="2"/>
  <c r="C9" i="4" s="1"/>
  <c r="E9" i="4" s="1"/>
  <c r="F9" i="4" s="1"/>
  <c r="G9" i="4" s="1"/>
  <c r="L9" i="4" s="1"/>
  <c r="CD63" i="2"/>
  <c r="CD123" i="2"/>
  <c r="CD31" i="2"/>
  <c r="CD186" i="2"/>
  <c r="CD144" i="2"/>
  <c r="CD194" i="2"/>
  <c r="CD33" i="2"/>
  <c r="CD197" i="2"/>
  <c r="CD77" i="2"/>
  <c r="CD67" i="2"/>
  <c r="CD28" i="2"/>
  <c r="CD159" i="2"/>
  <c r="CD163" i="2"/>
  <c r="CD45" i="2"/>
  <c r="CD99" i="2"/>
  <c r="CD183" i="2"/>
  <c r="CD27" i="2"/>
  <c r="CD30" i="2"/>
  <c r="CD195" i="2"/>
  <c r="CD176" i="2"/>
  <c r="CD156" i="2"/>
  <c r="CD198" i="2"/>
  <c r="CD177" i="2"/>
  <c r="CD65" i="2"/>
  <c r="CD38" i="2"/>
  <c r="CD53" i="2"/>
  <c r="CD189" i="2"/>
  <c r="CD94" i="2"/>
  <c r="CD112" i="2"/>
  <c r="CD149" i="2"/>
  <c r="CD188" i="2"/>
  <c r="CD115" i="2"/>
  <c r="CD22" i="2"/>
  <c r="CD150" i="2"/>
  <c r="CD85" i="2"/>
  <c r="CD72" i="2"/>
  <c r="CD143" i="2"/>
  <c r="CD108" i="2"/>
  <c r="CD83" i="2"/>
  <c r="CD124" i="2"/>
  <c r="CD66" i="2"/>
  <c r="CD117" i="2"/>
  <c r="CD101" i="2"/>
  <c r="CD118" i="2"/>
  <c r="CD17" i="2"/>
  <c r="CD92" i="2"/>
  <c r="CD109" i="2"/>
  <c r="CD155" i="2"/>
  <c r="CD37" i="2"/>
  <c r="CD54" i="2"/>
  <c r="CD128" i="2"/>
  <c r="CD122" i="2"/>
  <c r="CD88" i="2"/>
  <c r="CD148" i="2"/>
  <c r="CD114" i="2"/>
  <c r="CD202" i="2"/>
  <c r="CD50" i="2"/>
  <c r="CD140" i="2"/>
  <c r="CD110" i="2"/>
  <c r="CD100" i="2"/>
  <c r="CD4" i="2"/>
  <c r="CD24" i="2"/>
  <c r="CD111" i="2"/>
  <c r="CD60" i="2"/>
  <c r="CD32" i="2"/>
  <c r="CD172" i="2"/>
  <c r="CD125" i="2"/>
  <c r="CD76" i="2"/>
  <c r="CD9" i="2"/>
  <c r="CD104" i="2"/>
  <c r="CD39" i="2"/>
  <c r="CD130" i="2"/>
  <c r="CD79" i="2"/>
  <c r="CD55" i="2"/>
  <c r="CD119" i="2"/>
  <c r="CD166" i="2"/>
  <c r="CD171" i="2"/>
  <c r="CD59" i="2"/>
  <c r="CD103" i="2"/>
  <c r="CD151" i="2"/>
  <c r="CD179" i="2"/>
  <c r="CD121" i="2"/>
  <c r="CD185" i="2"/>
  <c r="CD7" i="2"/>
  <c r="CD182" i="2"/>
  <c r="CD193" i="2"/>
  <c r="CD71" i="2"/>
  <c r="CD48" i="2"/>
  <c r="CD133" i="2"/>
  <c r="CD96" i="2"/>
  <c r="CD129" i="2"/>
  <c r="CD6" i="2"/>
  <c r="CD203" i="2"/>
  <c r="CD25" i="2"/>
  <c r="CD18" i="2"/>
  <c r="CD64" i="2"/>
  <c r="CD52" i="2"/>
  <c r="CD173" i="2"/>
  <c r="CD168" i="2"/>
  <c r="CD107" i="2"/>
  <c r="CD80" i="2"/>
  <c r="CD131" i="2"/>
  <c r="CD137" i="2"/>
  <c r="CD126" i="2"/>
  <c r="CD169" i="2"/>
  <c r="CD141" i="2"/>
  <c r="CD41" i="2"/>
  <c r="CD75" i="2"/>
  <c r="CD174" i="2"/>
  <c r="CD132" i="2"/>
  <c r="CD165" i="2"/>
  <c r="CD23" i="2"/>
  <c r="CD44" i="2"/>
  <c r="CD180" i="2"/>
  <c r="CD93" i="2"/>
  <c r="CD102" i="2"/>
  <c r="CD191" i="2"/>
  <c r="CD46" i="2"/>
  <c r="CD35" i="2"/>
  <c r="CD153" i="2"/>
  <c r="CD152" i="2"/>
  <c r="CD86" i="2"/>
  <c r="CD34" i="2"/>
  <c r="CD13" i="2"/>
  <c r="CD12" i="2"/>
  <c r="CD43" i="2"/>
  <c r="CD196" i="2"/>
  <c r="CD127" i="2"/>
  <c r="CD91" i="2"/>
  <c r="CD192" i="2"/>
  <c r="CD105" i="2"/>
  <c r="CD113" i="2"/>
  <c r="CD74" i="2"/>
  <c r="CD21" i="2"/>
  <c r="CD73" i="2"/>
  <c r="CD26" i="2"/>
  <c r="CD14" i="2"/>
  <c r="CD87" i="2"/>
  <c r="CD58" i="2"/>
  <c r="CD78" i="2"/>
  <c r="CD8" i="2"/>
  <c r="CD135" i="2"/>
  <c r="CD145" i="2"/>
  <c r="CD167" i="2"/>
  <c r="CD160" i="2"/>
  <c r="CD90" i="2"/>
  <c r="CD5" i="2"/>
  <c r="CD81" i="2"/>
  <c r="CD57" i="2"/>
  <c r="CD70" i="2"/>
  <c r="CD97" i="2"/>
  <c r="CD120" i="2"/>
  <c r="CD68" i="2"/>
  <c r="CD158" i="2"/>
  <c r="CD69" i="2"/>
  <c r="CD116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38" i="2" l="1"/>
  <c r="BI47" i="2"/>
  <c r="BI161" i="2"/>
  <c r="BI55" i="2"/>
  <c r="BI173" i="2"/>
  <c r="BI116" i="2"/>
  <c r="BI89" i="2"/>
  <c r="BI190" i="2"/>
  <c r="BI169" i="2"/>
  <c r="BI30" i="2"/>
  <c r="BI99" i="2"/>
  <c r="BI96" i="2"/>
  <c r="BI148" i="2"/>
  <c r="BI27" i="2"/>
  <c r="BI82" i="2"/>
  <c r="BI184" i="2"/>
  <c r="BI119" i="2"/>
  <c r="BI65" i="2"/>
  <c r="BI35" i="2"/>
  <c r="BI46" i="2"/>
  <c r="BI63" i="2"/>
  <c r="BI56" i="2"/>
  <c r="BI172" i="2"/>
  <c r="BI193" i="2"/>
  <c r="BI126" i="2"/>
  <c r="BI186" i="2"/>
  <c r="BI149" i="2"/>
  <c r="BI197" i="2"/>
  <c r="BI135" i="2"/>
  <c r="BI159" i="2"/>
  <c r="BI48" i="2"/>
  <c r="BI94" i="2"/>
  <c r="BI202" i="2"/>
  <c r="BI181" i="2"/>
  <c r="BI100" i="2"/>
  <c r="BI4" i="2"/>
  <c r="BI39" i="2"/>
  <c r="BI111" i="2"/>
  <c r="BI140" i="2"/>
  <c r="BI151" i="2"/>
  <c r="BI59" i="2"/>
  <c r="BI107" i="2"/>
  <c r="BI16" i="2"/>
  <c r="BI83" i="2"/>
  <c r="BI28" i="2"/>
  <c r="BI201" i="2"/>
  <c r="BI71" i="2"/>
  <c r="BI128" i="2"/>
  <c r="BI168" i="2"/>
  <c r="BI97" i="2"/>
  <c r="BI102" i="2"/>
  <c r="BI41" i="2"/>
  <c r="BI153" i="2"/>
  <c r="BI144" i="2"/>
  <c r="BI69" i="2"/>
  <c r="BI58" i="2"/>
  <c r="BI40" i="2"/>
  <c r="BI64" i="2"/>
  <c r="BI86" i="2"/>
  <c r="BI200" i="2"/>
  <c r="BI166" i="2"/>
  <c r="BI43" i="2"/>
  <c r="BI124" i="2"/>
  <c r="BI136" i="2"/>
  <c r="BI182" i="2"/>
  <c r="BI175" i="2"/>
  <c r="BI26" i="2"/>
  <c r="BI101" i="2"/>
  <c r="BI92" i="2"/>
  <c r="BI21" i="2"/>
  <c r="BI155" i="2"/>
  <c r="BI198" i="2"/>
  <c r="BI31" i="2"/>
  <c r="BI29" i="2"/>
  <c r="BI183" i="2"/>
  <c r="BI45" i="2"/>
  <c r="BI104" i="2"/>
  <c r="BI73" i="2"/>
  <c r="BI162" i="2"/>
  <c r="BI158" i="2"/>
  <c r="BI25" i="2"/>
  <c r="BI167" i="2"/>
  <c r="BI108" i="2"/>
  <c r="BI88" i="2"/>
  <c r="BI192" i="2"/>
  <c r="BI52" i="2"/>
  <c r="BI32" i="2"/>
  <c r="BI22" i="2"/>
  <c r="BI72" i="2"/>
  <c r="BI196" i="2"/>
  <c r="BI110" i="2"/>
  <c r="BI106" i="2"/>
  <c r="BI163" i="2"/>
  <c r="BI160" i="2"/>
  <c r="BI112" i="2"/>
  <c r="BI19" i="2"/>
  <c r="BI44" i="2"/>
  <c r="BI176" i="2"/>
  <c r="BI103" i="2"/>
  <c r="BI132" i="2"/>
  <c r="BI170" i="2"/>
  <c r="BI154" i="2"/>
  <c r="BI118" i="2"/>
  <c r="BI61" i="2"/>
  <c r="BI121" i="2"/>
  <c r="BI12" i="2"/>
  <c r="BI9" i="2"/>
  <c r="BI74" i="2"/>
  <c r="BI91" i="2"/>
  <c r="BI78" i="2"/>
  <c r="BI129" i="2"/>
  <c r="BI13" i="2"/>
  <c r="BI177" i="2"/>
  <c r="BI80" i="2"/>
  <c r="BI36" i="2"/>
  <c r="BI150" i="2"/>
  <c r="BI53" i="2"/>
  <c r="BI75" i="2"/>
  <c r="BI189" i="2"/>
  <c r="BI122" i="2"/>
  <c r="BI66" i="2"/>
  <c r="BI54" i="2"/>
  <c r="BI57" i="2"/>
  <c r="BI87" i="2"/>
  <c r="BI79" i="2"/>
  <c r="BI120" i="2"/>
  <c r="BI77" i="2"/>
  <c r="BI17" i="2"/>
  <c r="BI15" i="2"/>
  <c r="BI194" i="2"/>
  <c r="BI174" i="2"/>
  <c r="BI76" i="2"/>
  <c r="BI33" i="2"/>
  <c r="BI191" i="2"/>
  <c r="BI85" i="2"/>
  <c r="BI123" i="2"/>
  <c r="BI81" i="2"/>
  <c r="BI24" i="2"/>
  <c r="BI113" i="2"/>
  <c r="BI20" i="2"/>
  <c r="BI84" i="2"/>
  <c r="BI7" i="2"/>
  <c r="BI164" i="2"/>
  <c r="BI185" i="2"/>
  <c r="BI23" i="2"/>
  <c r="BI145" i="2"/>
  <c r="BI90" i="2"/>
  <c r="BI51" i="2"/>
  <c r="BI49" i="2"/>
  <c r="BI5" i="2"/>
  <c r="BI68" i="2"/>
  <c r="BI147" i="2"/>
  <c r="BI131" i="2"/>
  <c r="BI93" i="2"/>
  <c r="BI156" i="2"/>
  <c r="BI98" i="2"/>
  <c r="BI141" i="2"/>
  <c r="BI188" i="2"/>
  <c r="BI34" i="2"/>
  <c r="BI10" i="2"/>
  <c r="BI142" i="2"/>
  <c r="BI187" i="2"/>
  <c r="BI195" i="2"/>
  <c r="BI171" i="2"/>
  <c r="BI50" i="2"/>
  <c r="BI130" i="2"/>
  <c r="BI134" i="2"/>
  <c r="BI6" i="2"/>
  <c r="BI115" i="2"/>
  <c r="BI180" i="2"/>
  <c r="BI165" i="2"/>
  <c r="BI138" i="2"/>
  <c r="BI139" i="2"/>
  <c r="BI3" i="2"/>
  <c r="C8" i="4" s="1"/>
  <c r="E8" i="4" s="1"/>
  <c r="F8" i="4" s="1"/>
  <c r="G8" i="4" s="1"/>
  <c r="L8" i="4" s="1"/>
  <c r="BI117" i="2"/>
  <c r="BI109" i="2"/>
  <c r="BI37" i="2"/>
  <c r="BI127" i="2"/>
  <c r="BI42" i="2"/>
  <c r="BI133" i="2"/>
  <c r="BI203" i="2"/>
  <c r="BI179" i="2"/>
  <c r="BI137" i="2"/>
  <c r="BI60" i="2"/>
  <c r="BI114" i="2"/>
  <c r="BI14" i="2"/>
  <c r="BI11" i="2"/>
  <c r="BI105" i="2"/>
  <c r="BI199" i="2"/>
  <c r="BI157" i="2"/>
  <c r="BI67" i="2"/>
  <c r="BI152" i="2"/>
  <c r="BI125" i="2"/>
  <c r="BI143" i="2"/>
  <c r="BI178" i="2"/>
  <c r="BI95" i="2"/>
  <c r="BI8" i="2"/>
  <c r="BI146" i="2"/>
  <c r="BI70" i="2"/>
  <c r="BI18" i="2"/>
  <c r="BI62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<sst xmlns="http://schemas.openxmlformats.org/spreadsheetml/2006/main" count="1183" uniqueCount="331">
  <si>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</si>
  <si>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</si>
  <si>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</si>
  <si>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</si>
  <si>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</si>
  <si>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</si>
  <si>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</si>
  <si>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</si>
  <si>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</si>
  <si>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</si>
  <si>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</si>
  <si>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</si>
  <si>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</si>
  <si>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</si>
  <si>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</si>
  <si>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</si>
  <si>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</si>
  <si>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</si>
  <si>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</si>
  <si>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</si>
  <si>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</si>
  <si>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</si>
  <si>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</si>
  <si>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</si>
  <si>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</si>
  <si>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</si>
  <si>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</si>
  <si>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</si>
  <si>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</si>
  <si>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</si>
  <si>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</si>
  <si>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</si>
  <si>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</si>
  <si>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</si>
  <si>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</si>
  <si>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</si>
  <si>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</si>
  <si>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</si>
  <si>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</si>
  <si>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</si>
  <si>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</si>
  <si>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</si>
  <si>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</si>
  <si>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</si>
  <si>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</si>
  <si>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</si>
  <si>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</si>
  <si>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</si>
  <si>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</si>
  <si>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</si>
  <si>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</si>
  <si>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</si>
  <si>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</si>
  <si>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</si>
  <si>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</si>
  <si>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</si>
  <si>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</si>
  <si>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</si>
  <si>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</si>
  <si>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</si>
  <si>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</si>
  <si>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</si>
  <si>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</si>
  <si>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</si>
  <si>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</si>
  <si>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</si>
  <si>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</si>
  <si>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</si>
  <si>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</si>
  <si>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</si>
  <si>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</si>
  <si>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</si>
  <si>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</si>
  <si>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</si>
  <si>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</si>
  <si>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</si>
  <si>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</si>
  <si>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</si>
  <si>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</si>
  <si>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</si>
  <si>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</si>
  <si>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</si>
  <si>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</si>
  <si>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</si>
  <si>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</si>
  <si>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</si>
  <si>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</si>
  <si>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</si>
  <si>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</si>
  <si>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</si>
  <si>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</si>
  <si>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</si>
  <si>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</si>
  <si>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</si>
  <si>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</si>
  <si>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</si>
  <si>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</si>
  <si>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</si>
  <si>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</si>
  <si>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</si>
  <si>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</si>
  <si>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</si>
  <si>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</si>
  <si>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</si>
  <si>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</si>
  <si>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</si>
  <si>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</si>
  <si>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</si>
  <si>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</si>
  <si>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</si>
  <si>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</si>
  <si>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</si>
  <si>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</si>
  <si>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</si>
  <si>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</si>
  <si>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</si>
  <si>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</si>
  <si>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</si>
  <si>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</si>
  <si>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</si>
  <si>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</si>
  <si>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</si>
  <si>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</si>
  <si>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</si>
  <si>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</si>
  <si>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</si>
  <si>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</si>
  <si>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</si>
  <si>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</si>
  <si>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</si>
  <si>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</si>
  <si>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</si>
  <si>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</si>
  <si>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</si>
  <si>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</si>
  <si>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</si>
  <si>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</si>
  <si>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</si>
  <si>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</si>
  <si>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</si>
  <si>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</si>
  <si>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</si>
  <si>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</si>
  <si>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</si>
  <si>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</si>
  <si>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</si>
  <si>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</si>
  <si>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</si>
  <si>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</si>
  <si>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</si>
  <si>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</si>
  <si>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</si>
  <si>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</si>
  <si>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</si>
  <si>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</si>
  <si>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</si>
  <si>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</si>
  <si>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</si>
  <si>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</si>
  <si>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</si>
  <si>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</si>
  <si>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</si>
  <si>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</si>
  <si>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</si>
  <si>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</si>
  <si>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</si>
  <si>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</si>
  <si>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</si>
  <si>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</si>
  <si>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</si>
  <si>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</si>
  <si>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</si>
  <si>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</si>
  <si>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</si>
  <si>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</si>
  <si>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</si>
  <si>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</si>
  <si>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</si>
  <si>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</si>
  <si>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</si>
  <si>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</si>
  <si>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</si>
  <si>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</si>
  <si>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</si>
  <si>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</si>
  <si>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</si>
  <si>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</si>
  <si>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</si>
  <si>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</si>
  <si>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</si>
  <si>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</si>
  <si>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</si>
  <si>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</si>
  <si>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</si>
  <si>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</si>
  <si>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</si>
  <si>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</si>
  <si>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</si>
  <si>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</si>
  <si>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</si>
  <si>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</si>
  <si>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</si>
  <si>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</si>
  <si>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</si>
  <si>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</si>
  <si>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</si>
  <si>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</si>
  <si>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</si>
  <si>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</si>
  <si>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</si>
  <si>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</si>
  <si>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</si>
  <si>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</si>
  <si>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</si>
  <si>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</si>
  <si>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</si>
  <si>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</si>
  <si>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</si>
  <si>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</si>
  <si>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</si>
  <si>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</si>
  <si>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</si>
  <si>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</si>
  <si>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</si>
  <si>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</si>
  <si>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</si>
  <si>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</si>
  <si>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</si>
  <si>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</si>
  <si>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</si>
  <si>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</si>
  <si>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</si>
  <si>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</si>
  <si>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</si>
  <si>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</si>
  <si>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</si>
  <si>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</si>
  <si>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</si>
  <si>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</si>
  <si>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</si>
  <si>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</si>
  <si>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</si>
  <si>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</si>
  <si>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</si>
  <si>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</si>
  <si>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</si>
  <si>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</si>
  <si>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</si>
  <si>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</si>
  <si>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</si>
  <si>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</si>
  <si>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</si>
  <si>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</si>
  <si>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</si>
  <si>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</si>
  <si>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</si>
  <si>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</si>
  <si>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</si>
  <si>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</si>
  <si>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</si>
  <si>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</si>
  <si>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</si>
  <si>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</si>
  <si>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</si>
  <si>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</si>
  <si>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</si>
  <si>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</si>
  <si>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</si>
  <si>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</si>
  <si>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</si>
  <si>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</si>
  <si>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</si>
  <si>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</si>
  <si>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</si>
  <si>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</si>
  <si>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</si>
  <si>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</si>
  <si>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</si>
  <si>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</si>
  <si>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</si>
  <si>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</si>
  <si>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</si>
  <si>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</si>
  <si>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</si>
  <si>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</si>
  <si>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</si>
  <si>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</si>
  <si>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</si>
  <si>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</si>
  <si>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</si>
  <si>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</si>
  <si>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</si>
  <si>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</si>
  <si>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</si>
  <si>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</si>
  <si>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</si>
  <si>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</si>
  <si>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</si>
  <si>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</si>
  <si>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</si>
  <si>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</si>
  <si>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</si>
  <si>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</si>
  <si>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</si>
  <si>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</si>
  <si>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</si>
  <si>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</si>
  <si>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</si>
  <si>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</si>
  <si>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</si>
  <si>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</si>
  <si>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</si>
  <si>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</si>
  <si>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</si>
  <si>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</si>
  <si>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</si>
  <si>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</si>
  <si>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</si>
  <si>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</si>
  <si>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</si>
  <si>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</si>
  <si>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</si>
  <si>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</si>
  <si>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</si>
  <si>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cloture</t>
  </si>
  <si>
    <t>MO expert</t>
  </si>
  <si>
    <t>prépa sol</t>
  </si>
  <si>
    <t>Etretien 1</t>
  </si>
  <si>
    <t>Entretien 2</t>
  </si>
  <si>
    <t>Entretien 3</t>
  </si>
  <si>
    <t>coût plantation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</si>
</sst>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3.0898083550192936</c:v>
                </c:pt>
                <c:pt idx="2">
                  <c:v>4.2752189748172169</c:v>
                </c:pt>
                <c:pt idx="3">
                  <c:v>5.9173307660267902</c:v>
                </c:pt>
                <c:pt idx="4">
                  <c:v>8.1927891834051447</c:v>
                </c:pt>
                <c:pt idx="5">
                  <c:v>11.346813146958874</c:v>
                </c:pt>
                <c:pt idx="6">
                  <c:v>15.71990465372509</c:v>
                </c:pt>
                <c:pt idx="7">
                  <c:v>21.784993869357283</c:v>
                </c:pt>
                <c:pt idx="8">
                  <c:v>30.199108249502064</c:v>
                </c:pt>
                <c:pt idx="9">
                  <c:v>41.875260153244504</c:v>
                </c:pt>
                <c:pt idx="10">
                  <c:v>58.082485530805059</c:v>
                </c:pt>
                <c:pt idx="11">
                  <c:v>75.154841693095705</c:v>
                </c:pt>
                <c:pt idx="12">
                  <c:v>92.127784973737278</c:v>
                </c:pt>
                <c:pt idx="13">
                  <c:v>109.02232487304228</c:v>
                </c:pt>
                <c:pt idx="14">
                  <c:v>125.85236526427531</c:v>
                </c:pt>
                <c:pt idx="15">
                  <c:v>142.62776454340624</c:v>
                </c:pt>
                <c:pt idx="16">
                  <c:v>163.91063857007143</c:v>
                </c:pt>
                <c:pt idx="17">
                  <c:v>185.12813798476131</c:v>
                </c:pt>
                <c:pt idx="18">
                  <c:v>206.2888147034578</c:v>
                </c:pt>
                <c:pt idx="19">
                  <c:v>227.39931901765999</c:v>
                </c:pt>
                <c:pt idx="20">
                  <c:v>248.46496383915087</c:v>
                </c:pt>
                <c:pt idx="21">
                  <c:v>165.2385470281877</c:v>
                </c:pt>
                <c:pt idx="22">
                  <c:v>183.99299337840969</c:v>
                </c:pt>
                <c:pt idx="23">
                  <c:v>202.70275417831508</c:v>
                </c:pt>
                <c:pt idx="24">
                  <c:v>221.37253538805251</c:v>
                </c:pt>
                <c:pt idx="25">
                  <c:v>240.0061834304438</c:v>
                </c:pt>
                <c:pt idx="26">
                  <c:v>258.60689820869152</c:v>
                </c:pt>
                <c:pt idx="27">
                  <c:v>277.17738147431248</c:v>
                </c:pt>
                <c:pt idx="28">
                  <c:v>295.71994327479518</c:v>
                </c:pt>
                <c:pt idx="29">
                  <c:v>314.23658026588947</c:v>
                </c:pt>
                <c:pt idx="30">
                  <c:v>332.72903457884468</c:v>
                </c:pt>
                <c:pt idx="31">
                  <c:v>252.22230966781126</c:v>
                </c:pt>
                <c:pt idx="32">
                  <c:v>269.11497170292427</c:v>
                </c:pt>
                <c:pt idx="33">
                  <c:v>285.98376820295522</c:v>
                </c:pt>
                <c:pt idx="34">
                  <c:v>302.83030487228291</c:v>
                </c:pt>
                <c:pt idx="35">
                  <c:v>319.65599415471291</c:v>
                </c:pt>
                <c:pt idx="36">
                  <c:v>336.462087656405</c:v>
                </c:pt>
                <c:pt idx="37">
                  <c:v>353.24970174806907</c:v>
                </c:pt>
                <c:pt idx="38">
                  <c:v>370.01983804377875</c:v>
                </c:pt>
                <c:pt idx="39">
                  <c:v>386.77339997206718</c:v>
                </c:pt>
                <c:pt idx="40">
                  <c:v>403.5112063253232</c:v>
                </c:pt>
                <c:pt idx="41">
                  <c:v>317.22685555626003</c:v>
                </c:pt>
                <c:pt idx="42">
                  <c:v>331.60893904924791</c:v>
                </c:pt>
                <c:pt idx="43">
                  <c:v>345.97727119025262</c:v>
                </c:pt>
                <c:pt idx="44">
                  <c:v>360.33250350315171</c:v>
                </c:pt>
                <c:pt idx="45">
                  <c:v>374.67523136107451</c:v>
                </c:pt>
                <c:pt idx="46">
                  <c:v>389.00600083506578</c:v>
                </c:pt>
                <c:pt idx="47">
                  <c:v>403.3253144807029</c:v>
                </c:pt>
                <c:pt idx="48">
                  <c:v>417.63363625997857</c:v>
                </c:pt>
                <c:pt idx="49">
                  <c:v>431.93139575346908</c:v>
                </c:pt>
                <c:pt idx="50">
                  <c:v>446.21899178570374</c:v>
                </c:pt>
                <c:pt idx="51">
                  <c:v>364.99057682300867</c:v>
                </c:pt>
                <c:pt idx="52">
                  <c:v>376.72320412097571</c:v>
                </c:pt>
                <c:pt idx="53">
                  <c:v>388.44787676780612</c:v>
                </c:pt>
                <c:pt idx="54">
                  <c:v>400.16486874659671</c:v>
                </c:pt>
                <c:pt idx="55">
                  <c:v>411.87443668366683</c:v>
                </c:pt>
                <c:pt idx="56">
                  <c:v>423.57682142079761</c:v>
                </c:pt>
                <c:pt idx="57">
                  <c:v>435.27224940464248</c:v>
                </c:pt>
                <c:pt idx="58">
                  <c:v>446.96093391901178</c:v>
                </c:pt>
                <c:pt idx="59">
                  <c:v>458.64307618152822</c:v>
                </c:pt>
                <c:pt idx="60">
                  <c:v>470.31886632272835</c:v>
                </c:pt>
                <c:pt idx="61">
                  <c:v>398.49147309045429</c:v>
                </c:pt>
                <c:pt idx="62">
                  <c:v>408.34374690780311</c:v>
                </c:pt>
                <c:pt idx="63">
                  <c:v>418.19088688764947</c:v>
                </c:pt>
                <c:pt idx="64">
                  <c:v>428.03303100123225</c:v>
                </c:pt>
                <c:pt idx="65">
                  <c:v>437.8703103551191</c:v>
                </c:pt>
                <c:pt idx="66">
                  <c:v>447.70284968262354</c:v>
                </c:pt>
                <c:pt idx="67">
                  <c:v>457.53076778979477</c:v>
                </c:pt>
                <c:pt idx="68">
                  <c:v>467.35417796108709</c:v>
                </c:pt>
                <c:pt idx="69">
                  <c:v>477.17318832913912</c:v>
                </c:pt>
                <c:pt idx="70">
                  <c:v>486.98790221252966</c:v>
                </c:pt>
                <c:pt idx="71">
                  <c:v>424.31959279145252</c:v>
                </c:pt>
                <c:pt idx="72">
                  <c:v>432.11701325632845</c:v>
                </c:pt>
                <c:pt idx="73">
                  <c:v>439.91141184608824</c:v>
                </c:pt>
                <c:pt idx="74">
                  <c:v>447.70284968262354</c:v>
                </c:pt>
                <c:pt idx="75">
                  <c:v>455.49138558575561</c:v>
                </c:pt>
                <c:pt idx="76">
                  <c:v>463.27707619868102</c:v>
                </c:pt>
                <c:pt idx="77">
                  <c:v>471.05997610454233</c:v>
                </c:pt>
                <c:pt idx="78">
                  <c:v>478.84013793489243</c:v>
                </c:pt>
                <c:pt idx="79">
                  <c:v>486.61761247073991</c:v>
                </c:pt>
                <c:pt idx="80">
                  <c:v>494.3924487367965</c:v>
                </c:pt>
                <c:pt idx="81">
                  <c:v>443.06544236403505</c:v>
                </c:pt>
                <c:pt idx="82">
                  <c:v>449.186602300316</c:v>
                </c:pt>
                <c:pt idx="83">
                  <c:v>455.30597754126444</c:v>
                </c:pt>
                <c:pt idx="84">
                  <c:v>461.42359547407392</c:v>
                </c:pt>
                <c:pt idx="85">
                  <c:v>467.53948269999211</c:v>
                </c:pt>
                <c:pt idx="86">
                  <c:v>473.65366506708978</c:v>
                </c:pt>
                <c:pt idx="87">
                  <c:v>479.76616770124832</c:v>
                </c:pt>
                <c:pt idx="88">
                  <c:v>485.8770150354847</c:v>
                </c:pt>
                <c:pt idx="89">
                  <c:v>491.98623083772537</c:v>
                </c:pt>
                <c:pt idx="90">
                  <c:v>498.09383823712591</c:v>
                </c:pt>
                <c:pt idx="91">
                  <c:v>455.49138558575578</c:v>
                </c:pt>
                <c:pt idx="92">
                  <c:v>461.0528802819851</c:v>
                </c:pt>
                <c:pt idx="93">
                  <c:v>466.61294333655451</c:v>
                </c:pt>
                <c:pt idx="94">
                  <c:v>472.17159422788467</c:v>
                </c:pt>
                <c:pt idx="95">
                  <c:v>477.72885193803262</c:v>
                </c:pt>
                <c:pt idx="96">
                  <c:v>483.28473497109536</c:v>
                </c:pt>
                <c:pt idx="97">
                  <c:v>488.83926137072336</c:v>
                </c:pt>
                <c:pt idx="98">
                  <c:v>494.39244873679655</c:v>
                </c:pt>
                <c:pt idx="99">
                  <c:v>499.94431424131022</c:v>
                </c:pt>
                <c:pt idx="100">
                  <c:v>505.49487464351984</c:v>
                </c:pt>
                <c:pt idx="101">
                  <c:v>461.0528802819851</c:v>
                </c:pt>
                <c:pt idx="102">
                  <c:v>461.0528802819851</c:v>
                </c:pt>
                <c:pt idx="103">
                  <c:v>461.0528802819851</c:v>
                </c:pt>
                <c:pt idx="104">
                  <c:v>461.0528802819851</c:v>
                </c:pt>
                <c:pt idx="105">
                  <c:v>461.0528802819851</c:v>
                </c:pt>
                <c:pt idx="106">
                  <c:v>461.0528802819851</c:v>
                </c:pt>
                <c:pt idx="107">
                  <c:v>461.0528802819851</c:v>
                </c:pt>
                <c:pt idx="108">
                  <c:v>461.0528802819851</c:v>
                </c:pt>
                <c:pt idx="109">
                  <c:v>461.0528802819851</c:v>
                </c:pt>
                <c:pt idx="110">
                  <c:v>461.0528802819851</c:v>
                </c:pt>
                <c:pt idx="111">
                  <c:v>461.0528802819851</c:v>
                </c:pt>
                <c:pt idx="112">
                  <c:v>461.0528802819851</c:v>
                </c:pt>
                <c:pt idx="113">
                  <c:v>461.0528802819851</c:v>
                </c:pt>
                <c:pt idx="114">
                  <c:v>461.0528802819851</c:v>
                </c:pt>
                <c:pt idx="115">
                  <c:v>461.0528802819851</c:v>
                </c:pt>
                <c:pt idx="116">
                  <c:v>461.0528802819851</c:v>
                </c:pt>
                <c:pt idx="117">
                  <c:v>461.0528802819851</c:v>
                </c:pt>
                <c:pt idx="118">
                  <c:v>461.0528802819851</c:v>
                </c:pt>
                <c:pt idx="119">
                  <c:v>461.0528802819851</c:v>
                </c:pt>
                <c:pt idx="120">
                  <c:v>461.0528802819851</c:v>
                </c:pt>
                <c:pt idx="121">
                  <c:v>461.0528802819851</c:v>
                </c:pt>
                <c:pt idx="122">
                  <c:v>461.0528802819851</c:v>
                </c:pt>
                <c:pt idx="123">
                  <c:v>461.0528802819851</c:v>
                </c:pt>
                <c:pt idx="124">
                  <c:v>461.0528802819851</c:v>
                </c:pt>
                <c:pt idx="125">
                  <c:v>461.0528802819851</c:v>
                </c:pt>
                <c:pt idx="126">
                  <c:v>461.0528802819851</c:v>
                </c:pt>
                <c:pt idx="127">
                  <c:v>461.0528802819851</c:v>
                </c:pt>
                <c:pt idx="128">
                  <c:v>461.0528802819851</c:v>
                </c:pt>
                <c:pt idx="129">
                  <c:v>461.0528802819851</c:v>
                </c:pt>
                <c:pt idx="130">
                  <c:v>461.0528802819851</c:v>
                </c:pt>
                <c:pt idx="131">
                  <c:v>461.0528802819851</c:v>
                </c:pt>
                <c:pt idx="132">
                  <c:v>461.0528802819851</c:v>
                </c:pt>
                <c:pt idx="133">
                  <c:v>461.0528802819851</c:v>
                </c:pt>
                <c:pt idx="134">
                  <c:v>461.0528802819851</c:v>
                </c:pt>
                <c:pt idx="135">
                  <c:v>461.0528802819851</c:v>
                </c:pt>
                <c:pt idx="136">
                  <c:v>461.0528802819851</c:v>
                </c:pt>
                <c:pt idx="137">
                  <c:v>461.0528802819851</c:v>
                </c:pt>
                <c:pt idx="138">
                  <c:v>461.0528802819851</c:v>
                </c:pt>
                <c:pt idx="139">
                  <c:v>461.0528802819851</c:v>
                </c:pt>
                <c:pt idx="140">
                  <c:v>461.0528802819851</c:v>
                </c:pt>
                <c:pt idx="141">
                  <c:v>461.0528802819851</c:v>
                </c:pt>
                <c:pt idx="142">
                  <c:v>461.0528802819851</c:v>
                </c:pt>
                <c:pt idx="143">
                  <c:v>461.0528802819851</c:v>
                </c:pt>
                <c:pt idx="144">
                  <c:v>461.0528802819851</c:v>
                </c:pt>
                <c:pt idx="145">
                  <c:v>461.0528802819851</c:v>
                </c:pt>
                <c:pt idx="146">
                  <c:v>461.0528802819851</c:v>
                </c:pt>
                <c:pt idx="147">
                  <c:v>461.0528802819851</c:v>
                </c:pt>
                <c:pt idx="148">
                  <c:v>461.0528802819851</c:v>
                </c:pt>
                <c:pt idx="149">
                  <c:v>461.0528802819851</c:v>
                </c:pt>
                <c:pt idx="150">
                  <c:v>461.0528802819851</c:v>
                </c:pt>
                <c:pt idx="151">
                  <c:v>461.0528802819851</c:v>
                </c:pt>
                <c:pt idx="152">
                  <c:v>461.0528802819851</c:v>
                </c:pt>
                <c:pt idx="153">
                  <c:v>461.0528802819851</c:v>
                </c:pt>
                <c:pt idx="154">
                  <c:v>461.0528802819851</c:v>
                </c:pt>
                <c:pt idx="155">
                  <c:v>461.0528802819851</c:v>
                </c:pt>
                <c:pt idx="156">
                  <c:v>461.0528802819851</c:v>
                </c:pt>
                <c:pt idx="157">
                  <c:v>461.0528802819851</c:v>
                </c:pt>
                <c:pt idx="158">
                  <c:v>461.0528802819851</c:v>
                </c:pt>
                <c:pt idx="159">
                  <c:v>461.0528802819851</c:v>
                </c:pt>
                <c:pt idx="160">
                  <c:v>461.0528802819851</c:v>
                </c:pt>
                <c:pt idx="161">
                  <c:v>461.0528802819851</c:v>
                </c:pt>
                <c:pt idx="162">
                  <c:v>461.0528802819851</c:v>
                </c:pt>
                <c:pt idx="163">
                  <c:v>461.0528802819851</c:v>
                </c:pt>
                <c:pt idx="164">
                  <c:v>461.0528802819851</c:v>
                </c:pt>
                <c:pt idx="165">
                  <c:v>461.0528802819851</c:v>
                </c:pt>
                <c:pt idx="166">
                  <c:v>461.0528802819851</c:v>
                </c:pt>
                <c:pt idx="167">
                  <c:v>461.0528802819851</c:v>
                </c:pt>
                <c:pt idx="168">
                  <c:v>461.0528802819851</c:v>
                </c:pt>
                <c:pt idx="169">
                  <c:v>461.0528802819851</c:v>
                </c:pt>
                <c:pt idx="170">
                  <c:v>461.0528802819851</c:v>
                </c:pt>
                <c:pt idx="171">
                  <c:v>461.0528802819851</c:v>
                </c:pt>
                <c:pt idx="172">
                  <c:v>461.0528802819851</c:v>
                </c:pt>
                <c:pt idx="173">
                  <c:v>461.0528802819851</c:v>
                </c:pt>
                <c:pt idx="174">
                  <c:v>461.0528802819851</c:v>
                </c:pt>
                <c:pt idx="175">
                  <c:v>461.0528802819851</c:v>
                </c:pt>
                <c:pt idx="176">
                  <c:v>461.0528802819851</c:v>
                </c:pt>
                <c:pt idx="177">
                  <c:v>461.0528802819851</c:v>
                </c:pt>
                <c:pt idx="178">
                  <c:v>461.0528802819851</c:v>
                </c:pt>
                <c:pt idx="179">
                  <c:v>461.0528802819851</c:v>
                </c:pt>
                <c:pt idx="180">
                  <c:v>461.0528802819851</c:v>
                </c:pt>
                <c:pt idx="181">
                  <c:v>461.0528802819851</c:v>
                </c:pt>
                <c:pt idx="182">
                  <c:v>461.0528802819851</c:v>
                </c:pt>
                <c:pt idx="183">
                  <c:v>461.0528802819851</c:v>
                </c:pt>
                <c:pt idx="184">
                  <c:v>461.0528802819851</c:v>
                </c:pt>
                <c:pt idx="185">
                  <c:v>461.0528802819851</c:v>
                </c:pt>
                <c:pt idx="186">
                  <c:v>461.0528802819851</c:v>
                </c:pt>
                <c:pt idx="187">
                  <c:v>461.0528802819851</c:v>
                </c:pt>
                <c:pt idx="188">
                  <c:v>461.0528802819851</c:v>
                </c:pt>
                <c:pt idx="189">
                  <c:v>461.0528802819851</c:v>
                </c:pt>
                <c:pt idx="190">
                  <c:v>461.0528802819851</c:v>
                </c:pt>
                <c:pt idx="191">
                  <c:v>461.0528802819851</c:v>
                </c:pt>
                <c:pt idx="192">
                  <c:v>461.0528802819851</c:v>
                </c:pt>
                <c:pt idx="193">
                  <c:v>461.0528802819851</c:v>
                </c:pt>
                <c:pt idx="194">
                  <c:v>461.0528802819851</c:v>
                </c:pt>
                <c:pt idx="195">
                  <c:v>461.0528802819851</c:v>
                </c:pt>
                <c:pt idx="196">
                  <c:v>461.0528802819851</c:v>
                </c:pt>
                <c:pt idx="197">
                  <c:v>461.0528802819851</c:v>
                </c:pt>
                <c:pt idx="198">
                  <c:v>461.0528802819851</c:v>
                </c:pt>
                <c:pt idx="199">
                  <c:v>461.0528802819851</c:v>
                </c:pt>
                <c:pt idx="200">
                  <c:v>461.0528802819851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2.8142206316632006</c:v>
                </c:pt>
                <c:pt idx="2">
                  <c:v>3.546022447534257</c:v>
                </c:pt>
                <c:pt idx="3">
                  <c:v>4.4688603344852975</c:v>
                </c:pt>
                <c:pt idx="4">
                  <c:v>5.632786147567022</c:v>
                </c:pt>
                <c:pt idx="5">
                  <c:v>7.1010100430012626</c:v>
                </c:pt>
                <c:pt idx="6">
                  <c:v>8.9533705968532473</c:v>
                </c:pt>
                <c:pt idx="7">
                  <c:v>11.290722715130457</c:v>
                </c:pt>
                <c:pt idx="8">
                  <c:v>14.240486718899339</c:v>
                </c:pt>
                <c:pt idx="9">
                  <c:v>17.963666684746272</c:v>
                </c:pt>
                <c:pt idx="10">
                  <c:v>22.663728052918533</c:v>
                </c:pt>
                <c:pt idx="11">
                  <c:v>46.955621542266151</c:v>
                </c:pt>
                <c:pt idx="12">
                  <c:v>70.897122004800821</c:v>
                </c:pt>
                <c:pt idx="13">
                  <c:v>94.628110745568904</c:v>
                </c:pt>
                <c:pt idx="14">
                  <c:v>118.20964174983392</c:v>
                </c:pt>
                <c:pt idx="15">
                  <c:v>141.67594470663138</c:v>
                </c:pt>
                <c:pt idx="16">
                  <c:v>165.04886131109478</c:v>
                </c:pt>
                <c:pt idx="17">
                  <c:v>188.343501604811</c:v>
                </c:pt>
                <c:pt idx="18">
                  <c:v>211.57091737527435</c:v>
                </c:pt>
                <c:pt idx="19">
                  <c:v>234.73952921379373</c:v>
                </c:pt>
                <c:pt idx="20">
                  <c:v>257.85595699105767</c:v>
                </c:pt>
                <c:pt idx="21">
                  <c:v>158.7863007099059</c:v>
                </c:pt>
                <c:pt idx="22">
                  <c:v>186.26311995847519</c:v>
                </c:pt>
                <c:pt idx="23">
                  <c:v>213.64519260214215</c:v>
                </c:pt>
                <c:pt idx="24">
                  <c:v>240.94637860003544</c:v>
                </c:pt>
                <c:pt idx="25">
                  <c:v>268.17713242968824</c:v>
                </c:pt>
                <c:pt idx="26">
                  <c:v>295.34560890488154</c:v>
                </c:pt>
                <c:pt idx="27">
                  <c:v>322.45833885482222</c:v>
                </c:pt>
                <c:pt idx="28">
                  <c:v>349.52066488969604</c:v>
                </c:pt>
                <c:pt idx="29">
                  <c:v>376.53703482084643</c:v>
                </c:pt>
                <c:pt idx="30">
                  <c:v>403.51120632532314</c:v>
                </c:pt>
                <c:pt idx="31">
                  <c:v>295.53277741228089</c:v>
                </c:pt>
                <c:pt idx="32">
                  <c:v>318.16118821698814</c:v>
                </c:pt>
                <c:pt idx="33">
                  <c:v>340.75397180192221</c:v>
                </c:pt>
                <c:pt idx="34">
                  <c:v>363.31382101236358</c:v>
                </c:pt>
                <c:pt idx="35">
                  <c:v>385.84306708196328</c:v>
                </c:pt>
                <c:pt idx="36">
                  <c:v>408.34374690780299</c:v>
                </c:pt>
                <c:pt idx="37">
                  <c:v>430.81765471685441</c:v>
                </c:pt>
                <c:pt idx="38">
                  <c:v>453.26638238669898</c:v>
                </c:pt>
                <c:pt idx="39">
                  <c:v>475.69135136158337</c:v>
                </c:pt>
                <c:pt idx="40">
                  <c:v>498.09383823712534</c:v>
                </c:pt>
                <c:pt idx="41">
                  <c:v>385.28484395959754</c:v>
                </c:pt>
                <c:pt idx="42">
                  <c:v>402.3958274365425</c:v>
                </c:pt>
                <c:pt idx="43">
                  <c:v>419.49107615312829</c:v>
                </c:pt>
                <c:pt idx="44">
                  <c:v>436.57132135859985</c:v>
                </c:pt>
                <c:pt idx="45">
                  <c:v>453.63723243721898</c:v>
                </c:pt>
                <c:pt idx="46">
                  <c:v>470.68942432064722</c:v>
                </c:pt>
                <c:pt idx="47">
                  <c:v>487.72846377041782</c:v>
                </c:pt>
                <c:pt idx="48">
                  <c:v>504.7548747369737</c:v>
                </c:pt>
                <c:pt idx="49">
                  <c:v>521.76914295819131</c:v>
                </c:pt>
                <c:pt idx="50">
                  <c:v>538.77171992708611</c:v>
                </c:pt>
                <c:pt idx="51">
                  <c:v>471.80106105258915</c:v>
                </c:pt>
                <c:pt idx="52">
                  <c:v>484.39574821221157</c:v>
                </c:pt>
                <c:pt idx="53">
                  <c:v>496.98348277481506</c:v>
                </c:pt>
                <c:pt idx="54">
                  <c:v>509.5644656291002</c:v>
                </c:pt>
                <c:pt idx="55">
                  <c:v>522.13888693652382</c:v>
                </c:pt>
                <c:pt idx="56">
                  <c:v>534.70692695410332</c:v>
                </c:pt>
                <c:pt idx="57">
                  <c:v>547.26875677585269</c:v>
                </c:pt>
                <c:pt idx="58">
                  <c:v>559.8245390026176</c:v>
                </c:pt>
                <c:pt idx="59">
                  <c:v>572.37442834871047</c:v>
                </c:pt>
                <c:pt idx="60">
                  <c:v>584.91857219258952</c:v>
                </c:pt>
                <c:pt idx="61">
                  <c:v>538.58697063109378</c:v>
                </c:pt>
                <c:pt idx="62">
                  <c:v>547.63813003167172</c:v>
                </c:pt>
                <c:pt idx="63">
                  <c:v>556.68615181759833</c:v>
                </c:pt>
                <c:pt idx="64">
                  <c:v>565.73109417983062</c:v>
                </c:pt>
                <c:pt idx="65">
                  <c:v>574.77301329675208</c:v>
                </c:pt>
                <c:pt idx="66">
                  <c:v>583.81196343502086</c:v>
                </c:pt>
                <c:pt idx="67">
                  <c:v>592.84799704385466</c:v>
                </c:pt>
                <c:pt idx="68">
                  <c:v>601.88116484326247</c:v>
                </c:pt>
                <c:pt idx="69">
                  <c:v>610.9115159067112</c:v>
                </c:pt>
                <c:pt idx="70">
                  <c:v>619.93909773864539</c:v>
                </c:pt>
                <c:pt idx="71">
                  <c:v>579.20062185262418</c:v>
                </c:pt>
                <c:pt idx="72">
                  <c:v>586.39398267854676</c:v>
                </c:pt>
                <c:pt idx="73">
                  <c:v>593.58550524628743</c:v>
                </c:pt>
                <c:pt idx="74">
                  <c:v>600.77521497162104</c:v>
                </c:pt>
                <c:pt idx="75">
                  <c:v>607.96313661229669</c:v>
                </c:pt>
                <c:pt idx="76">
                  <c:v>615.14929429282188</c:v>
                </c:pt>
                <c:pt idx="77">
                  <c:v>622.33371152802727</c:v>
                </c:pt>
                <c:pt idx="78">
                  <c:v>629.51641124548803</c:v>
                </c:pt>
                <c:pt idx="79">
                  <c:v>636.69741580686798</c:v>
                </c:pt>
                <c:pt idx="80">
                  <c:v>643.87674702825018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151.92056403664665</c:v>
                </c:pt>
                <c:pt idx="22">
                  <c:v>168.04258893965877</c:v>
                </c:pt>
                <c:pt idx="23">
                  <c:v>184.12813820679631</c:v>
                </c:pt>
                <c:pt idx="24">
                  <c:v>200.18084844254145</c:v>
                </c:pt>
                <c:pt idx="25">
                  <c:v>216.20372460175975</c:v>
                </c:pt>
                <c:pt idx="26">
                  <c:v>232.19928942325339</c:v>
                </c:pt>
                <c:pt idx="27">
                  <c:v>248.16968942779488</c:v>
                </c:pt>
                <c:pt idx="28">
                  <c:v>264.1167721479751</c:v>
                </c:pt>
                <c:pt idx="29">
                  <c:v>280.04214369956082</c:v>
                </c:pt>
                <c:pt idx="30">
                  <c:v>295.94721255485501</c:v>
                </c:pt>
                <c:pt idx="31">
                  <c:v>208.39124575488827</c:v>
                </c:pt>
                <c:pt idx="32">
                  <c:v>229.86009453547467</c:v>
                </c:pt>
                <c:pt idx="33">
                  <c:v>251.28309296155342</c:v>
                </c:pt>
                <c:pt idx="34">
                  <c:v>272.6646989766358</c:v>
                </c:pt>
                <c:pt idx="35">
                  <c:v>294.00861390700948</c:v>
                </c:pt>
                <c:pt idx="36">
                  <c:v>315.31795766675845</c:v>
                </c:pt>
                <c:pt idx="37">
                  <c:v>336.59539404232538</c:v>
                </c:pt>
                <c:pt idx="38">
                  <c:v>357.84322260194625</c:v>
                </c:pt>
                <c:pt idx="39">
                  <c:v>379.06344761508916</c:v>
                </c:pt>
                <c:pt idx="40">
                  <c:v>400.25783072357081</c:v>
                </c:pt>
                <c:pt idx="41">
                  <c:v>313.76929290842912</c:v>
                </c:pt>
                <c:pt idx="42">
                  <c:v>335.43558947776097</c:v>
                </c:pt>
                <c:pt idx="43">
                  <c:v>357.07106927741569</c:v>
                </c:pt>
                <c:pt idx="44">
                  <c:v>378.6778610090978</c:v>
                </c:pt>
                <c:pt idx="45">
                  <c:v>400.25783072357075</c:v>
                </c:pt>
                <c:pt idx="46">
                  <c:v>421.81262693312578</c:v>
                </c:pt>
                <c:pt idx="47">
                  <c:v>443.3437160197393</c:v>
                </c:pt>
                <c:pt idx="48">
                  <c:v>464.85241040566939</c:v>
                </c:pt>
                <c:pt idx="49">
                  <c:v>486.33989123889143</c:v>
                </c:pt>
                <c:pt idx="50">
                  <c:v>507.80722686130594</c:v>
                </c:pt>
                <c:pt idx="51">
                  <c:v>419.11960237942048</c:v>
                </c:pt>
                <c:pt idx="52">
                  <c:v>437.96309211649071</c:v>
                </c:pt>
                <c:pt idx="53">
                  <c:v>456.78919677852781</c:v>
                </c:pt>
                <c:pt idx="54">
                  <c:v>475.59873329316815</c:v>
                </c:pt>
                <c:pt idx="55">
                  <c:v>494.3924487367961</c:v>
                </c:pt>
                <c:pt idx="56">
                  <c:v>513.17102878971104</c:v>
                </c:pt>
                <c:pt idx="57">
                  <c:v>531.93510488968684</c:v>
                </c:pt>
                <c:pt idx="58">
                  <c:v>550.68526032404009</c:v>
                </c:pt>
                <c:pt idx="59">
                  <c:v>569.42203544921153</c:v>
                </c:pt>
                <c:pt idx="60">
                  <c:v>588.14593218796983</c:v>
                </c:pt>
                <c:pt idx="61">
                  <c:v>497.26768589837212</c:v>
                </c:pt>
                <c:pt idx="62">
                  <c:v>513.55411203705933</c:v>
                </c:pt>
                <c:pt idx="63">
                  <c:v>529.82963703400833</c:v>
                </c:pt>
                <c:pt idx="64">
                  <c:v>546.09464274073571</c:v>
                </c:pt>
                <c:pt idx="65">
                  <c:v>562.34948641975654</c:v>
                </c:pt>
                <c:pt idx="66">
                  <c:v>578.59450300758772</c:v>
                </c:pt>
                <c:pt idx="67">
                  <c:v>594.83000711050624</c:v>
                </c:pt>
                <c:pt idx="68">
                  <c:v>611.05629477119896</c:v>
                </c:pt>
                <c:pt idx="69">
                  <c:v>627.27364503811202</c:v>
                </c:pt>
                <c:pt idx="70">
                  <c:v>643.48232136416652</c:v>
                </c:pt>
                <c:pt idx="71">
                  <c:v>550.68526032404009</c:v>
                </c:pt>
                <c:pt idx="72">
                  <c:v>564.83464686291791</c:v>
                </c:pt>
                <c:pt idx="73">
                  <c:v>578.97662295224802</c:v>
                </c:pt>
                <c:pt idx="74">
                  <c:v>593.11139502123308</c:v>
                </c:pt>
                <c:pt idx="75">
                  <c:v>607.23915886223847</c:v>
                </c:pt>
                <c:pt idx="76">
                  <c:v>621.36010041874761</c:v>
                </c:pt>
                <c:pt idx="77">
                  <c:v>635.47439649799799</c:v>
                </c:pt>
                <c:pt idx="78">
                  <c:v>649.58221541705041</c:v>
                </c:pt>
                <c:pt idx="79">
                  <c:v>663.6837175898421</c:v>
                </c:pt>
                <c:pt idx="80">
                  <c:v>677.7790560617857</c:v>
                </c:pt>
                <c:pt idx="81">
                  <c:v>583.56165301259591</c:v>
                </c:pt>
                <c:pt idx="82">
                  <c:v>596.16663396016543</c:v>
                </c:pt>
                <c:pt idx="83">
                  <c:v>608.76607282046416</c:v>
                </c:pt>
                <c:pt idx="84">
                  <c:v>621.36010041874761</c:v>
                </c:pt>
                <c:pt idx="85">
                  <c:v>633.94884184663999</c:v>
                </c:pt>
                <c:pt idx="86">
                  <c:v>646.53241682467001</c:v>
                </c:pt>
                <c:pt idx="87">
                  <c:v>659.11094003512596</c:v>
                </c:pt>
                <c:pt idx="88">
                  <c:v>671.68452142819649</c:v>
                </c:pt>
                <c:pt idx="89">
                  <c:v>684.253266504007</c:v>
                </c:pt>
                <c:pt idx="90">
                  <c:v>696.81727657286876</c:v>
                </c:pt>
                <c:pt idx="91">
                  <c:v>601.32161215624558</c:v>
                </c:pt>
                <c:pt idx="92">
                  <c:v>612.58301041135337</c:v>
                </c:pt>
                <c:pt idx="93">
                  <c:v>623.84011521480909</c:v>
                </c:pt>
                <c:pt idx="94">
                  <c:v>635.09301493951546</c:v>
                </c:pt>
                <c:pt idx="95">
                  <c:v>646.3417945722922</c:v>
                </c:pt>
                <c:pt idx="96">
                  <c:v>657.58653590152937</c:v>
                </c:pt>
                <c:pt idx="97">
                  <c:v>668.82731769134693</c:v>
                </c:pt>
                <c:pt idx="98">
                  <c:v>680.06421584344059</c:v>
                </c:pt>
                <c:pt idx="99">
                  <c:v>691.29730354767969</c:v>
                </c:pt>
                <c:pt idx="100">
                  <c:v>702.52665142241415</c:v>
                </c:pt>
                <c:pt idx="101">
                  <c:v>607.62089481714133</c:v>
                </c:pt>
                <c:pt idx="102">
                  <c:v>617.54429227660387</c:v>
                </c:pt>
                <c:pt idx="103">
                  <c:v>627.46438526884356</c:v>
                </c:pt>
                <c:pt idx="104">
                  <c:v>637.38123339273795</c:v>
                </c:pt>
                <c:pt idx="105">
                  <c:v>647.29489424172436</c:v>
                </c:pt>
                <c:pt idx="106">
                  <c:v>657.20542350161338</c:v>
                </c:pt>
                <c:pt idx="107">
                  <c:v>667.11287504220002</c:v>
                </c:pt>
                <c:pt idx="108">
                  <c:v>677.01730100314978</c:v>
                </c:pt>
                <c:pt idx="109">
                  <c:v>686.91875187459846</c:v>
                </c:pt>
                <c:pt idx="110">
                  <c:v>696.8172765728682</c:v>
                </c:pt>
                <c:pt idx="111">
                  <c:v>608.19348941446708</c:v>
                </c:pt>
                <c:pt idx="112">
                  <c:v>616.7810721021084</c:v>
                </c:pt>
                <c:pt idx="113">
                  <c:v>625.36617664098787</c:v>
                </c:pt>
                <c:pt idx="114">
                  <c:v>633.94884184663977</c:v>
                </c:pt>
                <c:pt idx="115">
                  <c:v>642.52910539795425</c:v>
                </c:pt>
                <c:pt idx="116">
                  <c:v>651.1070038855247</c:v>
                </c:pt>
                <c:pt idx="117">
                  <c:v>659.68257285730897</c:v>
                </c:pt>
                <c:pt idx="118">
                  <c:v>668.25584686179923</c:v>
                </c:pt>
                <c:pt idx="119">
                  <c:v>676.82685948885705</c:v>
                </c:pt>
                <c:pt idx="120">
                  <c:v>685.39564340837785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2.8662734796075018</c:v>
                </c:pt>
                <c:pt idx="2">
                  <c:v>3.3873319816688454</c:v>
                </c:pt>
                <c:pt idx="3">
                  <c:v>4.0034606333336571</c:v>
                </c:pt>
                <c:pt idx="4">
                  <c:v>4.7320653223399596</c:v>
                </c:pt>
                <c:pt idx="5">
                  <c:v>5.5937489461774446</c:v>
                </c:pt>
                <c:pt idx="6">
                  <c:v>6.6129003739093966</c:v>
                </c:pt>
                <c:pt idx="7">
                  <c:v>7.8183922071220282</c:v>
                </c:pt>
                <c:pt idx="8">
                  <c:v>9.2444074893107366</c:v>
                </c:pt>
                <c:pt idx="9">
                  <c:v>10.931419253221842</c:v>
                </c:pt>
                <c:pt idx="10">
                  <c:v>12.927351231608034</c:v>
                </c:pt>
                <c:pt idx="11">
                  <c:v>15.288953318187046</c:v>
                </c:pt>
                <c:pt idx="12">
                  <c:v>18.083431606182749</c:v>
                </c:pt>
                <c:pt idx="13">
                  <c:v>21.390380234274556</c:v>
                </c:pt>
                <c:pt idx="14">
                  <c:v>25.304071050787371</c:v>
                </c:pt>
                <c:pt idx="15">
                  <c:v>29.936167523708747</c:v>
                </c:pt>
                <c:pt idx="16">
                  <c:v>35.418941681866485</c:v>
                </c:pt>
                <c:pt idx="17">
                  <c:v>41.909087533638413</c:v>
                </c:pt>
                <c:pt idx="18">
                  <c:v>49.592241803920693</c:v>
                </c:pt>
                <c:pt idx="19">
                  <c:v>58.688343468191341</c:v>
                </c:pt>
                <c:pt idx="20">
                  <c:v>69.457988050270131</c:v>
                </c:pt>
                <c:pt idx="21">
                  <c:v>88.604515874249628</c:v>
                </c:pt>
                <c:pt idx="22">
                  <c:v>107.64673049632451</c:v>
                </c:pt>
                <c:pt idx="23">
                  <c:v>126.60577905771989</c:v>
                </c:pt>
                <c:pt idx="24">
                  <c:v>145.49590494002624</c:v>
                </c:pt>
                <c:pt idx="25">
                  <c:v>164.32733101016137</c:v>
                </c:pt>
                <c:pt idx="26">
                  <c:v>183.10773726938677</c:v>
                </c:pt>
                <c:pt idx="27">
                  <c:v>201.84309572728614</c:v>
                </c:pt>
                <c:pt idx="28">
                  <c:v>220.5381772591908</c:v>
                </c:pt>
                <c:pt idx="29">
                  <c:v>239.19687684557539</c:v>
                </c:pt>
                <c:pt idx="30">
                  <c:v>257.82243167737909</c:v>
                </c:pt>
                <c:pt idx="31">
                  <c:v>207.18847292383805</c:v>
                </c:pt>
                <c:pt idx="32">
                  <c:v>228.33394726860402</c:v>
                </c:pt>
                <c:pt idx="33">
                  <c:v>249.43461587449633</c:v>
                </c:pt>
                <c:pt idx="34">
                  <c:v>270.49480146562342</c:v>
                </c:pt>
                <c:pt idx="35">
                  <c:v>291.51809832598582</c:v>
                </c:pt>
                <c:pt idx="36">
                  <c:v>312.50753986462513</c:v>
                </c:pt>
                <c:pt idx="37">
                  <c:v>333.46571873146576</c:v>
                </c:pt>
                <c:pt idx="38">
                  <c:v>354.39487511932111</c:v>
                </c:pt>
                <c:pt idx="39">
                  <c:v>375.2969630977293</c:v>
                </c:pt>
                <c:pt idx="40">
                  <c:v>396.17370138775294</c:v>
                </c:pt>
                <c:pt idx="41">
                  <c:v>304.76763100544389</c:v>
                </c:pt>
                <c:pt idx="42">
                  <c:v>327.16106643674817</c:v>
                </c:pt>
                <c:pt idx="43">
                  <c:v>349.52066488969604</c:v>
                </c:pt>
                <c:pt idx="44">
                  <c:v>371.84889400619704</c:v>
                </c:pt>
                <c:pt idx="45">
                  <c:v>394.14790100388433</c:v>
                </c:pt>
                <c:pt idx="46">
                  <c:v>416.41957043134624</c:v>
                </c:pt>
                <c:pt idx="47">
                  <c:v>438.66556891849217</c:v>
                </c:pt>
                <c:pt idx="48">
                  <c:v>460.88738037445069</c:v>
                </c:pt>
                <c:pt idx="49">
                  <c:v>483.08633404340503</c:v>
                </c:pt>
                <c:pt idx="50">
                  <c:v>505.26362713560337</c:v>
                </c:pt>
                <c:pt idx="51">
                  <c:v>414.19358464515182</c:v>
                </c:pt>
                <c:pt idx="52">
                  <c:v>436.23993334519031</c:v>
                </c:pt>
                <c:pt idx="53">
                  <c:v>458.26238188505073</c:v>
                </c:pt>
                <c:pt idx="54">
                  <c:v>480.26223943969472</c:v>
                </c:pt>
                <c:pt idx="55">
                  <c:v>502.24068555006193</c:v>
                </c:pt>
                <c:pt idx="56">
                  <c:v>524.1987881853928</c:v>
                </c:pt>
                <c:pt idx="57">
                  <c:v>546.13751862266372</c:v>
                </c:pt>
                <c:pt idx="58">
                  <c:v>568.05776381182022</c:v>
                </c:pt>
                <c:pt idx="59">
                  <c:v>589.96033673415036</c:v>
                </c:pt>
                <c:pt idx="60">
                  <c:v>611.84598514336142</c:v>
                </c:pt>
                <c:pt idx="61">
                  <c:v>519.76846801482941</c:v>
                </c:pt>
                <c:pt idx="62">
                  <c:v>540.30244864194128</c:v>
                </c:pt>
                <c:pt idx="63">
                  <c:v>560.82004275683369</c:v>
                </c:pt>
                <c:pt idx="64">
                  <c:v>581.32193370692278</c:v>
                </c:pt>
                <c:pt idx="65">
                  <c:v>601.80875275182643</c:v>
                </c:pt>
                <c:pt idx="66">
                  <c:v>622.28108470755717</c:v>
                </c:pt>
                <c:pt idx="67">
                  <c:v>642.73947280986852</c:v>
                </c:pt>
                <c:pt idx="68">
                  <c:v>663.18442292667976</c:v>
                </c:pt>
                <c:pt idx="69">
                  <c:v>683.61640722447521</c:v>
                </c:pt>
                <c:pt idx="70">
                  <c:v>704.03586737397018</c:v>
                </c:pt>
                <c:pt idx="71">
                  <c:v>610.0395372269636</c:v>
                </c:pt>
                <c:pt idx="72">
                  <c:v>628.29968180581488</c:v>
                </c:pt>
                <c:pt idx="73">
                  <c:v>646.54884972316245</c:v>
                </c:pt>
                <c:pt idx="74">
                  <c:v>664.78739416253609</c:v>
                </c:pt>
                <c:pt idx="75">
                  <c:v>683.01564736527234</c:v>
                </c:pt>
                <c:pt idx="76">
                  <c:v>701.23392240940484</c:v>
                </c:pt>
                <c:pt idx="77">
                  <c:v>719.44251479424065</c:v>
                </c:pt>
                <c:pt idx="78">
                  <c:v>737.64170385632281</c:v>
                </c:pt>
                <c:pt idx="79">
                  <c:v>755.83175403851749</c:v>
                </c:pt>
                <c:pt idx="80">
                  <c:v>774.01291603070547</c:v>
                </c:pt>
                <c:pt idx="81">
                  <c:v>678.20917722811055</c:v>
                </c:pt>
                <c:pt idx="82">
                  <c:v>694.42824285219115</c:v>
                </c:pt>
                <c:pt idx="83">
                  <c:v>710.63955125759185</c:v>
                </c:pt>
                <c:pt idx="84">
                  <c:v>726.84330418631168</c:v>
                </c:pt>
                <c:pt idx="85">
                  <c:v>743.03969365962223</c:v>
                </c:pt>
                <c:pt idx="86">
                  <c:v>759.22890265245906</c:v>
                </c:pt>
                <c:pt idx="87">
                  <c:v>775.41110570735873</c:v>
                </c:pt>
                <c:pt idx="88">
                  <c:v>791.58646949452748</c:v>
                </c:pt>
                <c:pt idx="89">
                  <c:v>807.75515332379609</c:v>
                </c:pt>
                <c:pt idx="90">
                  <c:v>823.91730961349674</c:v>
                </c:pt>
                <c:pt idx="91">
                  <c:v>732.84281558384134</c:v>
                </c:pt>
                <c:pt idx="92">
                  <c:v>747.63735177702301</c:v>
                </c:pt>
                <c:pt idx="93">
                  <c:v>762.4259370887321</c:v>
                </c:pt>
                <c:pt idx="94">
                  <c:v>777.20870311644478</c:v>
                </c:pt>
                <c:pt idx="95">
                  <c:v>791.98577604761658</c:v>
                </c:pt>
                <c:pt idx="96">
                  <c:v>806.75727698095568</c:v>
                </c:pt>
                <c:pt idx="97">
                  <c:v>821.52332222296673</c:v>
                </c:pt>
                <c:pt idx="98">
                  <c:v>836.28402356208392</c:v>
                </c:pt>
                <c:pt idx="99">
                  <c:v>851.0394885224664</c:v>
                </c:pt>
                <c:pt idx="100">
                  <c:v>865.78982059929149</c:v>
                </c:pt>
                <c:pt idx="101">
                  <c:v>781.00335472441873</c:v>
                </c:pt>
                <c:pt idx="102">
                  <c:v>793.98224781237093</c:v>
                </c:pt>
                <c:pt idx="103">
                  <c:v>806.95685424084456</c:v>
                </c:pt>
                <c:pt idx="104">
                  <c:v>819.92725259304473</c:v>
                </c:pt>
                <c:pt idx="105">
                  <c:v>832.89351876520675</c:v>
                </c:pt>
                <c:pt idx="106">
                  <c:v>845.85572609973644</c:v>
                </c:pt>
                <c:pt idx="107">
                  <c:v>858.813945509772</c:v>
                </c:pt>
                <c:pt idx="108">
                  <c:v>871.76824559584395</c:v>
                </c:pt>
                <c:pt idx="109">
                  <c:v>884.7186927552483</c:v>
                </c:pt>
                <c:pt idx="110">
                  <c:v>897.66535128468695</c:v>
                </c:pt>
                <c:pt idx="111">
                  <c:v>819.52822541118576</c:v>
                </c:pt>
                <c:pt idx="112">
                  <c:v>831.09843332609398</c:v>
                </c:pt>
                <c:pt idx="113">
                  <c:v>842.66540160662237</c:v>
                </c:pt>
                <c:pt idx="114">
                  <c:v>854.22918095738203</c:v>
                </c:pt>
                <c:pt idx="115">
                  <c:v>865.78982059929149</c:v>
                </c:pt>
                <c:pt idx="116">
                  <c:v>877.34736833263833</c:v>
                </c:pt>
                <c:pt idx="117">
                  <c:v>888.90187059664174</c:v>
                </c:pt>
                <c:pt idx="118">
                  <c:v>900.45337252576564</c:v>
                </c:pt>
                <c:pt idx="119">
                  <c:v>912.00191800299206</c:v>
                </c:pt>
                <c:pt idx="120">
                  <c:v>923.54754971025875</c:v>
                </c:pt>
                <c:pt idx="121">
                  <c:v>847.84955614220053</c:v>
                </c:pt>
                <c:pt idx="122">
                  <c:v>857.81729940942466</c:v>
                </c:pt>
                <c:pt idx="123">
                  <c:v>867.78272051916895</c:v>
                </c:pt>
                <c:pt idx="124">
                  <c:v>877.74584987995604</c:v>
                </c:pt>
                <c:pt idx="125">
                  <c:v>887.70671715416586</c:v>
                </c:pt>
                <c:pt idx="126">
                  <c:v>897.66535128468706</c:v>
                </c:pt>
                <c:pt idx="127">
                  <c:v>907.62178052032448</c:v>
                </c:pt>
                <c:pt idx="128">
                  <c:v>917.57603244003349</c:v>
                </c:pt>
                <c:pt idx="129">
                  <c:v>927.52813397605132</c:v>
                </c:pt>
                <c:pt idx="130">
                  <c:v>937.47811143598312</c:v>
                </c:pt>
                <c:pt idx="131">
                  <c:v>863.19891326424261</c:v>
                </c:pt>
                <c:pt idx="132">
                  <c:v>870.57262645919525</c:v>
                </c:pt>
                <c:pt idx="133">
                  <c:v>877.94508929628148</c:v>
                </c:pt>
                <c:pt idx="134">
                  <c:v>885.31631375039387</c:v>
                </c:pt>
                <c:pt idx="135">
                  <c:v>892.68631158085884</c:v>
                </c:pt>
                <c:pt idx="136">
                  <c:v>900.05509433710222</c:v>
                </c:pt>
                <c:pt idx="137">
                  <c:v>907.42267336411896</c:v>
                </c:pt>
                <c:pt idx="138">
                  <c:v>914.78905980775846</c:v>
                </c:pt>
                <c:pt idx="139">
                  <c:v>922.15426461982952</c:v>
                </c:pt>
                <c:pt idx="140">
                  <c:v>929.51829856303345</c:v>
                </c:pt>
                <c:pt idx="141">
                  <c:v>877.74584987995593</c:v>
                </c:pt>
                <c:pt idx="142">
                  <c:v>885.71472326683886</c:v>
                </c:pt>
                <c:pt idx="143">
                  <c:v>893.68216378653767</c:v>
                </c:pt>
                <c:pt idx="144">
                  <c:v>901.64818600715569</c:v>
                </c:pt>
                <c:pt idx="145">
                  <c:v>909.61280421853905</c:v>
                </c:pt>
                <c:pt idx="146">
                  <c:v>917.57603244003337</c:v>
                </c:pt>
                <c:pt idx="147">
                  <c:v>925.53788442795587</c:v>
                </c:pt>
                <c:pt idx="148">
                  <c:v>933.49837368279975</c:v>
                </c:pt>
                <c:pt idx="149">
                  <c:v>941.45751345617691</c:v>
                </c:pt>
                <c:pt idx="150">
                  <c:v>949.41531675751673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2.0328177627816819</c:v>
                </c:pt>
                <c:pt idx="2">
                  <c:v>2.5577257227440273</c:v>
                </c:pt>
                <c:pt idx="3">
                  <c:v>3.2187094631022588</c:v>
                </c:pt>
                <c:pt idx="4">
                  <c:v>4.0511760336466702</c:v>
                </c:pt>
                <c:pt idx="5">
                  <c:v>5.0997774008014733</c:v>
                </c:pt>
                <c:pt idx="6">
                  <c:v>6.4208320962061336</c:v>
                </c:pt>
                <c:pt idx="7">
                  <c:v>8.0853830808869755</c:v>
                </c:pt>
                <c:pt idx="8">
                  <c:v>10.183059425174006</c:v>
                </c:pt>
                <c:pt idx="9">
                  <c:v>12.826953665044144</c:v>
                </c:pt>
                <c:pt idx="10">
                  <c:v>16.159782670778661</c:v>
                </c:pt>
                <c:pt idx="11">
                  <c:v>20.361670660565185</c:v>
                </c:pt>
                <c:pt idx="12">
                  <c:v>25.659982542276879</c:v>
                </c:pt>
                <c:pt idx="13">
                  <c:v>32.341749048589733</c:v>
                </c:pt>
                <c:pt idx="14">
                  <c:v>40.76936844468792</c:v>
                </c:pt>
                <c:pt idx="15">
                  <c:v>51.400450910649454</c:v>
                </c:pt>
                <c:pt idx="16">
                  <c:v>64.812901130910859</c:v>
                </c:pt>
                <c:pt idx="17">
                  <c:v>81.736624947223348</c:v>
                </c:pt>
                <c:pt idx="18">
                  <c:v>103.09361333926567</c:v>
                </c:pt>
                <c:pt idx="19">
                  <c:v>130.04862198979387</c:v>
                </c:pt>
                <c:pt idx="20">
                  <c:v>164.07325323089393</c:v>
                </c:pt>
                <c:pt idx="21">
                  <c:v>132.69393085556803</c:v>
                </c:pt>
                <c:pt idx="22">
                  <c:v>151.59473555620181</c:v>
                </c:pt>
                <c:pt idx="23">
                  <c:v>170.4393719593314</c:v>
                </c:pt>
                <c:pt idx="24">
                  <c:v>189.2349292745572</c:v>
                </c:pt>
                <c:pt idx="25">
                  <c:v>207.9869703071802</c:v>
                </c:pt>
                <c:pt idx="26">
                  <c:v>226.69997130248001</c:v>
                </c:pt>
                <c:pt idx="27">
                  <c:v>245.37760837408052</c:v>
                </c:pt>
                <c:pt idx="28">
                  <c:v>264.0229518894086</c:v>
                </c:pt>
                <c:pt idx="29">
                  <c:v>282.63860294103654</c:v>
                </c:pt>
                <c:pt idx="30">
                  <c:v>301.22679191692964</c:v>
                </c:pt>
                <c:pt idx="31">
                  <c:v>225.22041883707629</c:v>
                </c:pt>
                <c:pt idx="32">
                  <c:v>243.09508307999488</c:v>
                </c:pt>
                <c:pt idx="33">
                  <c:v>260.9398660103613</c:v>
                </c:pt>
                <c:pt idx="34">
                  <c:v>278.7570984695862</c:v>
                </c:pt>
                <c:pt idx="35">
                  <c:v>296.54878892259609</c:v>
                </c:pt>
                <c:pt idx="36">
                  <c:v>314.31668512200895</c:v>
                </c:pt>
                <c:pt idx="37">
                  <c:v>332.06232108561727</c:v>
                </c:pt>
                <c:pt idx="38">
                  <c:v>349.78705349902822</c:v>
                </c:pt>
                <c:pt idx="39">
                  <c:v>367.49209034996051</c:v>
                </c:pt>
                <c:pt idx="40">
                  <c:v>385.1785137538775</c:v>
                </c:pt>
                <c:pt idx="41">
                  <c:v>306.57110217476543</c:v>
                </c:pt>
                <c:pt idx="42">
                  <c:v>321.25740024962471</c:v>
                </c:pt>
                <c:pt idx="43">
                  <c:v>335.92885047360363</c:v>
                </c:pt>
                <c:pt idx="44">
                  <c:v>350.58619263421946</c:v>
                </c:pt>
                <c:pt idx="45">
                  <c:v>365.23009960908388</c:v>
                </c:pt>
                <c:pt idx="46">
                  <c:v>379.86118591400549</c:v>
                </c:pt>
                <c:pt idx="47">
                  <c:v>394.48001486506854</c:v>
                </c:pt>
                <c:pt idx="48">
                  <c:v>409.08710462349342</c:v>
                </c:pt>
                <c:pt idx="49">
                  <c:v>423.68293333202706</c:v>
                </c:pt>
                <c:pt idx="50">
                  <c:v>438.26794350661703</c:v>
                </c:pt>
                <c:pt idx="51">
                  <c:v>370.28589478268333</c:v>
                </c:pt>
                <c:pt idx="52">
                  <c:v>381.98831004710291</c:v>
                </c:pt>
                <c:pt idx="53">
                  <c:v>393.68293140308919</c:v>
                </c:pt>
                <c:pt idx="54">
                  <c:v>405.37002304691276</c:v>
                </c:pt>
                <c:pt idx="55">
                  <c:v>417.04983269531681</c:v>
                </c:pt>
                <c:pt idx="56">
                  <c:v>428.72259305599874</c:v>
                </c:pt>
                <c:pt idx="57">
                  <c:v>440.38852312957806</c:v>
                </c:pt>
                <c:pt idx="58">
                  <c:v>452.04782936640748</c:v>
                </c:pt>
                <c:pt idx="59">
                  <c:v>463.70070669781438</c:v>
                </c:pt>
                <c:pt idx="60">
                  <c:v>475.34733945827901</c:v>
                </c:pt>
                <c:pt idx="61">
                  <c:v>422.09119450330462</c:v>
                </c:pt>
                <c:pt idx="62">
                  <c:v>431.10935477142363</c:v>
                </c:pt>
                <c:pt idx="63">
                  <c:v>440.12346267465938</c:v>
                </c:pt>
                <c:pt idx="64">
                  <c:v>449.13361294375437</c:v>
                </c:pt>
                <c:pt idx="65">
                  <c:v>458.13989619719604</c:v>
                </c:pt>
                <c:pt idx="66">
                  <c:v>467.14239919881032</c:v>
                </c:pt>
                <c:pt idx="67">
                  <c:v>476.14120509446002</c:v>
                </c:pt>
                <c:pt idx="68">
                  <c:v>485.13639362991461</c:v>
                </c:pt>
                <c:pt idx="69">
                  <c:v>494.12804135171729</c:v>
                </c:pt>
                <c:pt idx="70">
                  <c:v>503.11622179266897</c:v>
                </c:pt>
                <c:pt idx="71">
                  <c:v>462.24444221453541</c:v>
                </c:pt>
                <c:pt idx="72">
                  <c:v>468.99539408994292</c:v>
                </c:pt>
                <c:pt idx="73">
                  <c:v>475.74427579982193</c:v>
                </c:pt>
                <c:pt idx="74">
                  <c:v>482.49112087009553</c:v>
                </c:pt>
                <c:pt idx="75">
                  <c:v>489.23596181209018</c:v>
                </c:pt>
                <c:pt idx="76">
                  <c:v>495.97883016711211</c:v>
                </c:pt>
                <c:pt idx="77">
                  <c:v>502.71975654847284</c:v>
                </c:pt>
                <c:pt idx="78">
                  <c:v>509.45877068114413</c:v>
                </c:pt>
                <c:pt idx="79">
                  <c:v>516.19590143920186</c:v>
                </c:pt>
                <c:pt idx="80">
                  <c:v>522.93117688121595</c:v>
                </c:pt>
                <c:pt idx="81">
                  <c:v>9.3922404915174053E-12</c:v>
                </c:pt>
                <c:pt idx="82">
                  <c:v>9.3922404915174053E-12</c:v>
                </c:pt>
                <c:pt idx="83">
                  <c:v>9.3922404915174053E-12</c:v>
                </c:pt>
                <c:pt idx="84">
                  <c:v>9.3922404915174053E-12</c:v>
                </c:pt>
                <c:pt idx="85">
                  <c:v>9.3922404915174053E-12</c:v>
                </c:pt>
                <c:pt idx="86">
                  <c:v>9.3922404915174053E-12</c:v>
                </c:pt>
                <c:pt idx="87">
                  <c:v>9.3922404915174053E-12</c:v>
                </c:pt>
                <c:pt idx="88">
                  <c:v>9.3922404915174053E-12</c:v>
                </c:pt>
                <c:pt idx="89">
                  <c:v>9.3922404915174053E-12</c:v>
                </c:pt>
                <c:pt idx="90">
                  <c:v>9.3922404915174053E-12</c:v>
                </c:pt>
                <c:pt idx="91">
                  <c:v>9.3922404915174053E-12</c:v>
                </c:pt>
                <c:pt idx="92">
                  <c:v>9.3922404915174053E-12</c:v>
                </c:pt>
                <c:pt idx="93">
                  <c:v>9.3922404915174053E-12</c:v>
                </c:pt>
                <c:pt idx="94">
                  <c:v>9.3922404915174053E-12</c:v>
                </c:pt>
                <c:pt idx="95">
                  <c:v>9.3922404915174053E-12</c:v>
                </c:pt>
                <c:pt idx="96">
                  <c:v>9.3922404915174053E-12</c:v>
                </c:pt>
                <c:pt idx="97">
                  <c:v>9.3922404915174053E-12</c:v>
                </c:pt>
                <c:pt idx="98">
                  <c:v>9.3922404915174053E-12</c:v>
                </c:pt>
                <c:pt idx="99">
                  <c:v>9.3922404915174053E-12</c:v>
                </c:pt>
                <c:pt idx="100">
                  <c:v>9.3922404915174053E-12</c:v>
                </c:pt>
                <c:pt idx="101">
                  <c:v>9.3922404915174053E-12</c:v>
                </c:pt>
                <c:pt idx="102">
                  <c:v>9.3922404915174053E-12</c:v>
                </c:pt>
                <c:pt idx="103">
                  <c:v>9.3922404915174053E-12</c:v>
                </c:pt>
                <c:pt idx="104">
                  <c:v>9.3922404915174053E-12</c:v>
                </c:pt>
                <c:pt idx="105">
                  <c:v>9.3922404915174053E-12</c:v>
                </c:pt>
                <c:pt idx="106">
                  <c:v>9.3922404915174053E-12</c:v>
                </c:pt>
                <c:pt idx="107">
                  <c:v>9.3922404915174053E-12</c:v>
                </c:pt>
                <c:pt idx="108">
                  <c:v>9.3922404915174053E-12</c:v>
                </c:pt>
                <c:pt idx="109">
                  <c:v>9.3922404915174053E-12</c:v>
                </c:pt>
                <c:pt idx="110">
                  <c:v>9.3922404915174053E-12</c:v>
                </c:pt>
                <c:pt idx="111">
                  <c:v>9.3922404915174053E-12</c:v>
                </c:pt>
                <c:pt idx="112">
                  <c:v>9.3922404915174053E-12</c:v>
                </c:pt>
                <c:pt idx="113">
                  <c:v>9.3922404915174053E-12</c:v>
                </c:pt>
                <c:pt idx="114">
                  <c:v>9.3922404915174053E-12</c:v>
                </c:pt>
                <c:pt idx="115">
                  <c:v>9.3922404915174053E-12</c:v>
                </c:pt>
                <c:pt idx="116">
                  <c:v>9.3922404915174053E-12</c:v>
                </c:pt>
                <c:pt idx="117">
                  <c:v>9.3922404915174053E-12</c:v>
                </c:pt>
                <c:pt idx="118">
                  <c:v>9.3922404915174053E-12</c:v>
                </c:pt>
                <c:pt idx="119">
                  <c:v>9.3922404915174053E-12</c:v>
                </c:pt>
                <c:pt idx="120">
                  <c:v>9.3922404915174053E-12</c:v>
                </c:pt>
                <c:pt idx="121">
                  <c:v>9.3922404915174053E-12</c:v>
                </c:pt>
                <c:pt idx="122">
                  <c:v>9.3922404915174053E-12</c:v>
                </c:pt>
                <c:pt idx="123">
                  <c:v>9.3922404915174053E-12</c:v>
                </c:pt>
                <c:pt idx="124">
                  <c:v>9.3922404915174053E-12</c:v>
                </c:pt>
                <c:pt idx="125">
                  <c:v>9.3922404915174053E-12</c:v>
                </c:pt>
                <c:pt idx="126">
                  <c:v>9.3922404915174053E-12</c:v>
                </c:pt>
                <c:pt idx="127">
                  <c:v>9.3922404915174053E-12</c:v>
                </c:pt>
                <c:pt idx="128">
                  <c:v>9.3922404915174053E-12</c:v>
                </c:pt>
                <c:pt idx="129">
                  <c:v>9.3922404915174053E-12</c:v>
                </c:pt>
                <c:pt idx="130">
                  <c:v>9.3922404915174053E-12</c:v>
                </c:pt>
                <c:pt idx="131">
                  <c:v>9.3922404915174053E-12</c:v>
                </c:pt>
                <c:pt idx="132">
                  <c:v>9.3922404915174053E-12</c:v>
                </c:pt>
                <c:pt idx="133">
                  <c:v>9.3922404915174053E-12</c:v>
                </c:pt>
                <c:pt idx="134">
                  <c:v>9.3922404915174053E-12</c:v>
                </c:pt>
                <c:pt idx="135">
                  <c:v>9.3922404915174053E-12</c:v>
                </c:pt>
                <c:pt idx="136">
                  <c:v>9.3922404915174053E-12</c:v>
                </c:pt>
                <c:pt idx="137">
                  <c:v>9.3922404915174053E-12</c:v>
                </c:pt>
                <c:pt idx="138">
                  <c:v>9.3922404915174053E-12</c:v>
                </c:pt>
                <c:pt idx="139">
                  <c:v>9.3922404915174053E-12</c:v>
                </c:pt>
                <c:pt idx="140">
                  <c:v>9.3922404915174053E-12</c:v>
                </c:pt>
                <c:pt idx="141">
                  <c:v>9.3922404915174053E-12</c:v>
                </c:pt>
                <c:pt idx="142">
                  <c:v>9.3922404915174053E-12</c:v>
                </c:pt>
                <c:pt idx="143">
                  <c:v>9.3922404915174053E-12</c:v>
                </c:pt>
                <c:pt idx="144">
                  <c:v>9.3922404915174053E-12</c:v>
                </c:pt>
                <c:pt idx="145">
                  <c:v>9.3922404915174053E-12</c:v>
                </c:pt>
                <c:pt idx="146">
                  <c:v>9.3922404915174053E-12</c:v>
                </c:pt>
                <c:pt idx="147">
                  <c:v>9.3922404915174053E-12</c:v>
                </c:pt>
                <c:pt idx="148">
                  <c:v>9.3922404915174053E-12</c:v>
                </c:pt>
                <c:pt idx="149">
                  <c:v>9.3922404915174053E-12</c:v>
                </c:pt>
                <c:pt idx="150">
                  <c:v>9.3922404915174053E-12</c:v>
                </c:pt>
                <c:pt idx="151">
                  <c:v>9.3922404915174053E-12</c:v>
                </c:pt>
                <c:pt idx="152">
                  <c:v>9.3922404915174053E-12</c:v>
                </c:pt>
                <c:pt idx="153">
                  <c:v>9.3922404915174053E-12</c:v>
                </c:pt>
                <c:pt idx="154">
                  <c:v>9.3922404915174053E-12</c:v>
                </c:pt>
                <c:pt idx="155">
                  <c:v>9.3922404915174053E-12</c:v>
                </c:pt>
                <c:pt idx="156">
                  <c:v>9.3922404915174053E-12</c:v>
                </c:pt>
                <c:pt idx="157">
                  <c:v>9.3922404915174053E-12</c:v>
                </c:pt>
                <c:pt idx="158">
                  <c:v>9.3922404915174053E-12</c:v>
                </c:pt>
                <c:pt idx="159">
                  <c:v>9.3922404915174053E-12</c:v>
                </c:pt>
                <c:pt idx="160">
                  <c:v>9.3922404915174053E-12</c:v>
                </c:pt>
                <c:pt idx="161">
                  <c:v>9.3922404915174053E-12</c:v>
                </c:pt>
                <c:pt idx="162">
                  <c:v>9.3922404915174053E-12</c:v>
                </c:pt>
                <c:pt idx="163">
                  <c:v>9.3922404915174053E-12</c:v>
                </c:pt>
                <c:pt idx="164">
                  <c:v>9.3922404915174053E-12</c:v>
                </c:pt>
                <c:pt idx="165">
                  <c:v>9.3922404915174053E-12</c:v>
                </c:pt>
                <c:pt idx="166">
                  <c:v>9.3922404915174053E-12</c:v>
                </c:pt>
                <c:pt idx="167">
                  <c:v>9.3922404915174053E-12</c:v>
                </c:pt>
                <c:pt idx="168">
                  <c:v>9.3922404915174053E-12</c:v>
                </c:pt>
                <c:pt idx="169">
                  <c:v>9.3922404915174053E-12</c:v>
                </c:pt>
                <c:pt idx="170">
                  <c:v>9.3922404915174053E-12</c:v>
                </c:pt>
                <c:pt idx="171">
                  <c:v>9.3922404915174053E-12</c:v>
                </c:pt>
                <c:pt idx="172">
                  <c:v>9.3922404915174053E-12</c:v>
                </c:pt>
                <c:pt idx="173">
                  <c:v>9.3922404915174053E-12</c:v>
                </c:pt>
                <c:pt idx="174">
                  <c:v>9.3922404915174053E-12</c:v>
                </c:pt>
                <c:pt idx="175">
                  <c:v>9.3922404915174053E-12</c:v>
                </c:pt>
                <c:pt idx="176">
                  <c:v>9.3922404915174053E-12</c:v>
                </c:pt>
                <c:pt idx="177">
                  <c:v>9.3922404915174053E-12</c:v>
                </c:pt>
                <c:pt idx="178">
                  <c:v>9.3922404915174053E-12</c:v>
                </c:pt>
                <c:pt idx="179">
                  <c:v>9.3922404915174053E-12</c:v>
                </c:pt>
                <c:pt idx="180">
                  <c:v>9.3922404915174053E-12</c:v>
                </c:pt>
                <c:pt idx="181">
                  <c:v>9.3922404915174053E-12</c:v>
                </c:pt>
                <c:pt idx="182">
                  <c:v>9.3922404915174053E-12</c:v>
                </c:pt>
                <c:pt idx="183">
                  <c:v>9.3922404915174053E-12</c:v>
                </c:pt>
                <c:pt idx="184">
                  <c:v>9.3922404915174053E-12</c:v>
                </c:pt>
                <c:pt idx="185">
                  <c:v>9.3922404915174053E-12</c:v>
                </c:pt>
                <c:pt idx="186">
                  <c:v>9.3922404915174053E-12</c:v>
                </c:pt>
                <c:pt idx="187">
                  <c:v>9.3922404915174053E-12</c:v>
                </c:pt>
                <c:pt idx="188">
                  <c:v>9.3922404915174053E-12</c:v>
                </c:pt>
                <c:pt idx="189">
                  <c:v>9.3922404915174053E-12</c:v>
                </c:pt>
                <c:pt idx="190">
                  <c:v>9.3922404915174053E-12</c:v>
                </c:pt>
                <c:pt idx="191">
                  <c:v>9.3922404915174053E-12</c:v>
                </c:pt>
                <c:pt idx="192">
                  <c:v>9.3922404915174053E-12</c:v>
                </c:pt>
                <c:pt idx="193">
                  <c:v>9.3922404915174053E-12</c:v>
                </c:pt>
                <c:pt idx="194">
                  <c:v>9.3922404915174053E-12</c:v>
                </c:pt>
                <c:pt idx="195">
                  <c:v>9.3922404915174053E-12</c:v>
                </c:pt>
                <c:pt idx="196">
                  <c:v>9.3922404915174053E-12</c:v>
                </c:pt>
                <c:pt idx="197">
                  <c:v>9.3922404915174053E-12</c:v>
                </c:pt>
                <c:pt idx="198">
                  <c:v>9.3922404915174053E-12</c:v>
                </c:pt>
                <c:pt idx="199">
                  <c:v>9.3922404915174053E-12</c:v>
                </c:pt>
                <c:pt idx="200">
                  <c:v>9.3922404915174053E-12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F20" sqref="F20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9.5500000000000007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13</v>
      </c>
      <c r="C9" s="32">
        <v>0.12</v>
      </c>
      <c r="D9" s="33">
        <f t="shared" ref="D9:D18" si="0">C9*$C$5</f>
        <v>1.1460000000000001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21</v>
      </c>
      <c r="C10" s="32">
        <v>0.06</v>
      </c>
      <c r="D10" s="33">
        <f t="shared" si="0"/>
        <v>0.57300000000000006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14</v>
      </c>
      <c r="C11" s="32">
        <v>0.35</v>
      </c>
      <c r="D11" s="33">
        <f t="shared" si="0"/>
        <v>3.3425000000000002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6</v>
      </c>
      <c r="C12" s="32">
        <v>0.06</v>
      </c>
      <c r="D12" s="33">
        <f t="shared" si="0"/>
        <v>0.57300000000000006</v>
      </c>
      <c r="E12" s="34">
        <v>150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164</v>
      </c>
      <c r="C13" s="32">
        <v>0.25</v>
      </c>
      <c r="D13" s="33">
        <f t="shared" si="0"/>
        <v>2.3875000000000002</v>
      </c>
      <c r="E13" s="34">
        <v>100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27</v>
      </c>
      <c r="C14" s="32">
        <v>0.08</v>
      </c>
      <c r="D14" s="33">
        <f t="shared" si="0"/>
        <v>0.76400000000000012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36</v>
      </c>
      <c r="C15" s="32">
        <v>0.08</v>
      </c>
      <c r="D15" s="33">
        <f t="shared" si="0"/>
        <v>0.76400000000000012</v>
      </c>
      <c r="E15" s="34">
        <v>62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9.5500000000000007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rouge d'Amérique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29</v>
      </c>
      <c r="C36" s="60"/>
      <c r="D36" s="60"/>
      <c r="E36" s="51"/>
      <c r="F36" s="51">
        <v>0.25</v>
      </c>
      <c r="G36" s="51">
        <v>0.25</v>
      </c>
      <c r="H36" s="51">
        <v>0.5</v>
      </c>
      <c r="I36" s="49">
        <f>IFERROR(B36/A36,"")</f>
        <v>2.9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15</v>
      </c>
      <c r="B37" s="60">
        <v>73</v>
      </c>
      <c r="C37" s="60"/>
      <c r="D37" s="60"/>
      <c r="E37" s="51"/>
      <c r="F37" s="51">
        <v>0.25</v>
      </c>
      <c r="G37" s="51">
        <v>0.25</v>
      </c>
      <c r="H37" s="51">
        <v>0.5</v>
      </c>
      <c r="I37" s="53">
        <f t="shared" ref="I37:I55" si="1">IF(A37&lt;&gt;0,(B37-(B36-D36))/(A37-A36),"")</f>
        <v>8.8000000000000007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20</v>
      </c>
      <c r="B38" s="60">
        <v>129</v>
      </c>
      <c r="C38" s="60">
        <v>1</v>
      </c>
      <c r="D38" s="60">
        <v>54</v>
      </c>
      <c r="E38" s="51">
        <v>0.1</v>
      </c>
      <c r="F38" s="51">
        <v>0.45</v>
      </c>
      <c r="G38" s="51">
        <v>0.45</v>
      </c>
      <c r="H38" s="51"/>
      <c r="I38" s="53">
        <f t="shared" si="1"/>
        <v>11.2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30</v>
      </c>
      <c r="B39" s="60">
        <v>174</v>
      </c>
      <c r="C39" s="60">
        <v>2</v>
      </c>
      <c r="D39" s="60">
        <v>52</v>
      </c>
      <c r="E39" s="51">
        <v>0.2</v>
      </c>
      <c r="F39" s="51">
        <v>0.4</v>
      </c>
      <c r="G39" s="51">
        <v>0.4</v>
      </c>
      <c r="H39" s="51"/>
      <c r="I39" s="49">
        <f t="shared" si="1"/>
        <v>9.9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40</v>
      </c>
      <c r="B40" s="60">
        <v>212</v>
      </c>
      <c r="C40" s="60">
        <v>3</v>
      </c>
      <c r="D40" s="60">
        <v>54</v>
      </c>
      <c r="E40" s="51"/>
      <c r="F40" s="51"/>
      <c r="G40" s="51"/>
      <c r="H40" s="51"/>
      <c r="I40" s="49">
        <f t="shared" si="1"/>
        <v>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50</v>
      </c>
      <c r="B41" s="60">
        <v>235</v>
      </c>
      <c r="C41" s="60">
        <v>4</v>
      </c>
      <c r="D41" s="60">
        <v>50</v>
      </c>
      <c r="E41" s="51"/>
      <c r="F41" s="51"/>
      <c r="G41" s="51"/>
      <c r="H41" s="51"/>
      <c r="I41" s="53">
        <f t="shared" si="1"/>
        <v>7.7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60</v>
      </c>
      <c r="B42" s="60">
        <v>248</v>
      </c>
      <c r="C42" s="60">
        <v>5</v>
      </c>
      <c r="D42" s="60">
        <v>44</v>
      </c>
      <c r="E42" s="51"/>
      <c r="F42" s="51"/>
      <c r="G42" s="51"/>
      <c r="H42" s="51"/>
      <c r="I42" s="53">
        <f t="shared" si="1"/>
        <v>6.3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70</v>
      </c>
      <c r="B43" s="60">
        <v>257</v>
      </c>
      <c r="C43" s="60">
        <v>6</v>
      </c>
      <c r="D43" s="60">
        <v>38</v>
      </c>
      <c r="E43" s="51"/>
      <c r="F43" s="51"/>
      <c r="G43" s="51"/>
      <c r="H43" s="51"/>
      <c r="I43" s="49">
        <f t="shared" si="1"/>
        <v>5.3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80</v>
      </c>
      <c r="B44" s="60">
        <v>261</v>
      </c>
      <c r="C44" s="60">
        <v>7</v>
      </c>
      <c r="D44" s="60">
        <v>31</v>
      </c>
      <c r="E44" s="51"/>
      <c r="F44" s="51"/>
      <c r="G44" s="51"/>
      <c r="H44" s="51"/>
      <c r="I44" s="49">
        <f t="shared" si="1"/>
        <v>4.2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90</v>
      </c>
      <c r="B45" s="60">
        <v>263</v>
      </c>
      <c r="C45" s="60">
        <v>8</v>
      </c>
      <c r="D45" s="60">
        <v>26</v>
      </c>
      <c r="E45" s="51"/>
      <c r="F45" s="51"/>
      <c r="G45" s="51"/>
      <c r="H45" s="51"/>
      <c r="I45" s="49">
        <f t="shared" si="1"/>
        <v>3.3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100</v>
      </c>
      <c r="B46" s="60">
        <v>267</v>
      </c>
      <c r="C46" s="60">
        <v>9</v>
      </c>
      <c r="D46" s="60">
        <v>24</v>
      </c>
      <c r="E46" s="51"/>
      <c r="F46" s="51"/>
      <c r="G46" s="51"/>
      <c r="H46" s="51"/>
      <c r="I46" s="49">
        <f t="shared" si="1"/>
        <v>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Erable champêtre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10</v>
      </c>
      <c r="B62" s="60">
        <v>11</v>
      </c>
      <c r="C62" s="60">
        <v>1</v>
      </c>
      <c r="D62" s="60">
        <v>0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1.1000000000000001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20</v>
      </c>
      <c r="B63" s="60">
        <v>134</v>
      </c>
      <c r="C63" s="60">
        <v>2</v>
      </c>
      <c r="D63" s="60">
        <v>67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12.3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30</v>
      </c>
      <c r="B64" s="60">
        <v>212</v>
      </c>
      <c r="C64" s="60">
        <v>3</v>
      </c>
      <c r="D64" s="60">
        <v>70</v>
      </c>
      <c r="E64" s="51">
        <v>0.1</v>
      </c>
      <c r="F64" s="51">
        <v>0.45</v>
      </c>
      <c r="G64" s="51">
        <v>0.45</v>
      </c>
      <c r="H64" s="51"/>
      <c r="I64" s="49">
        <f>IF(A64&lt;&gt;0,(B64-(B63-D63))/(A64-A63),"")</f>
        <v>14.5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40</v>
      </c>
      <c r="B65" s="60">
        <v>263</v>
      </c>
      <c r="C65" s="60">
        <v>4</v>
      </c>
      <c r="D65" s="60">
        <v>70</v>
      </c>
      <c r="E65" s="51"/>
      <c r="F65" s="51"/>
      <c r="G65" s="51"/>
      <c r="H65" s="51"/>
      <c r="I65" s="49">
        <f>IF(A65&lt;&gt;0,(B65-(B64-D64))/(A65-A64),"")</f>
        <v>12.1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50</v>
      </c>
      <c r="B66" s="60">
        <v>285</v>
      </c>
      <c r="C66" s="60">
        <v>5</v>
      </c>
      <c r="D66" s="60">
        <v>43</v>
      </c>
      <c r="E66" s="51"/>
      <c r="F66" s="51"/>
      <c r="G66" s="51"/>
      <c r="H66" s="51"/>
      <c r="I66" s="49">
        <f t="shared" ref="I66:I81" si="2">IF(A66&lt;&gt;0,(B66-(B65-D65))/(A66-A65),"")</f>
        <v>9.1999999999999993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60</v>
      </c>
      <c r="B67" s="60">
        <v>310</v>
      </c>
      <c r="C67" s="60">
        <v>6</v>
      </c>
      <c r="D67" s="60">
        <v>30</v>
      </c>
      <c r="E67" s="51"/>
      <c r="F67" s="51"/>
      <c r="G67" s="51"/>
      <c r="H67" s="51"/>
      <c r="I67" s="49">
        <f t="shared" si="2"/>
        <v>6.8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70</v>
      </c>
      <c r="B68" s="60">
        <v>329</v>
      </c>
      <c r="C68" s="60">
        <v>7</v>
      </c>
      <c r="D68" s="60">
        <v>26</v>
      </c>
      <c r="E68" s="51"/>
      <c r="F68" s="51"/>
      <c r="G68" s="51"/>
      <c r="H68" s="51"/>
      <c r="I68" s="49">
        <f t="shared" si="2"/>
        <v>4.9000000000000004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80</v>
      </c>
      <c r="B69" s="50">
        <v>342</v>
      </c>
      <c r="C69" s="50">
        <v>8</v>
      </c>
      <c r="D69" s="50">
        <v>342</v>
      </c>
      <c r="E69" s="51"/>
      <c r="F69" s="51"/>
      <c r="G69" s="51"/>
      <c r="H69" s="51"/>
      <c r="I69" s="49">
        <f t="shared" si="2"/>
        <v>3.9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f>67+6</f>
        <v>73</v>
      </c>
      <c r="C88" s="60">
        <v>1</v>
      </c>
      <c r="D88" s="60">
        <v>6</v>
      </c>
      <c r="E88" s="51"/>
      <c r="F88" s="51">
        <v>0.25</v>
      </c>
      <c r="G88" s="51">
        <v>0.25</v>
      </c>
      <c r="H88" s="87">
        <v>0.5</v>
      </c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f>93+28+28</f>
        <v>149</v>
      </c>
      <c r="C89" s="60">
        <v>2</v>
      </c>
      <c r="D89" s="60">
        <f>28+28</f>
        <v>56</v>
      </c>
      <c r="E89" s="51">
        <v>0.1</v>
      </c>
      <c r="F89" s="51">
        <v>0.45</v>
      </c>
      <c r="G89" s="51">
        <v>0.45</v>
      </c>
      <c r="H89" s="87"/>
      <c r="I89" s="53">
        <f t="shared" ref="I89:I107" si="3">IF(A89&lt;&gt;0,(B89-(B88-D88))/(A89-A88),"")</f>
        <v>8.1999999999999993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f>147+28+28</f>
        <v>203</v>
      </c>
      <c r="C90" s="60">
        <v>3</v>
      </c>
      <c r="D90" s="60">
        <f>28+28</f>
        <v>56</v>
      </c>
      <c r="E90" s="87"/>
      <c r="F90" s="87"/>
      <c r="G90" s="87"/>
      <c r="H90" s="87"/>
      <c r="I90" s="53">
        <f t="shared" si="3"/>
        <v>11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f>203+28+28</f>
        <v>259</v>
      </c>
      <c r="C91" s="60">
        <v>4</v>
      </c>
      <c r="D91" s="60">
        <f>28+28</f>
        <v>56</v>
      </c>
      <c r="E91" s="87"/>
      <c r="F91" s="87"/>
      <c r="G91" s="87"/>
      <c r="H91" s="87"/>
      <c r="I91" s="53">
        <f t="shared" si="3"/>
        <v>11.2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f>245+28+28</f>
        <v>301</v>
      </c>
      <c r="C92" s="60">
        <v>5</v>
      </c>
      <c r="D92" s="60">
        <f t="shared" ref="D92:D95" si="4">28+28</f>
        <v>56</v>
      </c>
      <c r="E92" s="87"/>
      <c r="F92" s="87"/>
      <c r="G92" s="87"/>
      <c r="H92" s="87"/>
      <c r="I92" s="53">
        <f t="shared" si="3"/>
        <v>9.8000000000000007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f>274+28+28</f>
        <v>330</v>
      </c>
      <c r="C93" s="60">
        <v>6</v>
      </c>
      <c r="D93" s="60">
        <f t="shared" si="4"/>
        <v>56</v>
      </c>
      <c r="E93" s="87"/>
      <c r="F93" s="87"/>
      <c r="G93" s="87"/>
      <c r="H93" s="87"/>
      <c r="I93" s="53">
        <f t="shared" si="3"/>
        <v>8.5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292+28+28</f>
        <v>348</v>
      </c>
      <c r="C94" s="60">
        <v>7</v>
      </c>
      <c r="D94" s="60">
        <f t="shared" si="4"/>
        <v>56</v>
      </c>
      <c r="E94" s="87"/>
      <c r="F94" s="87"/>
      <c r="G94" s="87"/>
      <c r="H94" s="87"/>
      <c r="I94" s="53">
        <f t="shared" si="3"/>
        <v>7.4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f>302+28+28</f>
        <v>358</v>
      </c>
      <c r="C95" s="60">
        <v>8</v>
      </c>
      <c r="D95" s="60">
        <f t="shared" si="4"/>
        <v>56</v>
      </c>
      <c r="E95" s="87"/>
      <c r="F95" s="87"/>
      <c r="G95" s="87"/>
      <c r="H95" s="87"/>
      <c r="I95" s="53">
        <f t="shared" si="3"/>
        <v>6.6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f>306+28+27</f>
        <v>361</v>
      </c>
      <c r="C96" s="60">
        <v>9</v>
      </c>
      <c r="D96" s="60">
        <f>28+27</f>
        <v>55</v>
      </c>
      <c r="E96" s="87"/>
      <c r="F96" s="87"/>
      <c r="G96" s="87"/>
      <c r="H96" s="87"/>
      <c r="I96" s="53">
        <f t="shared" si="3"/>
        <v>5.9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110</v>
      </c>
      <c r="B97" s="60">
        <f>307+26+25</f>
        <v>358</v>
      </c>
      <c r="C97" s="60">
        <v>10</v>
      </c>
      <c r="D97" s="60">
        <f>26+25</f>
        <v>51</v>
      </c>
      <c r="E97" s="87"/>
      <c r="F97" s="87"/>
      <c r="G97" s="87"/>
      <c r="H97" s="87"/>
      <c r="I97" s="53">
        <f t="shared" si="3"/>
        <v>5.2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120</v>
      </c>
      <c r="B98" s="60">
        <f>305+24+23</f>
        <v>352</v>
      </c>
      <c r="C98" s="60">
        <v>11</v>
      </c>
      <c r="D98" s="60">
        <f>B98</f>
        <v>352</v>
      </c>
      <c r="E98" s="87"/>
      <c r="F98" s="87"/>
      <c r="G98" s="87"/>
      <c r="H98" s="87"/>
      <c r="I98" s="53">
        <f t="shared" si="3"/>
        <v>4.5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Charme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v>32</v>
      </c>
      <c r="C114" s="50"/>
      <c r="D114" s="60">
        <v>0</v>
      </c>
      <c r="E114" s="51"/>
      <c r="F114" s="51"/>
      <c r="G114" s="51"/>
      <c r="H114" s="51"/>
      <c r="I114" s="53">
        <f>IFERROR(B114/A114,"")</f>
        <v>1.6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v>123</v>
      </c>
      <c r="C115" s="50">
        <v>1</v>
      </c>
      <c r="D115" s="60">
        <v>35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5">IF(A115&lt;&gt;0,(B115-(B114-D114))/(A115-A114),"")</f>
        <v>9.1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v>191</v>
      </c>
      <c r="C116" s="50">
        <v>2</v>
      </c>
      <c r="D116" s="60">
        <v>56</v>
      </c>
      <c r="E116" s="51"/>
      <c r="F116" s="51"/>
      <c r="G116" s="51"/>
      <c r="H116" s="51"/>
      <c r="I116" s="53">
        <f t="shared" si="5"/>
        <v>10.3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v>245</v>
      </c>
      <c r="C117" s="50">
        <v>3</v>
      </c>
      <c r="D117" s="60">
        <v>56</v>
      </c>
      <c r="E117" s="51"/>
      <c r="F117" s="51"/>
      <c r="G117" s="51"/>
      <c r="H117" s="51"/>
      <c r="I117" s="53">
        <f t="shared" si="5"/>
        <v>11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v>298</v>
      </c>
      <c r="C118" s="50">
        <v>4</v>
      </c>
      <c r="D118" s="60">
        <v>56</v>
      </c>
      <c r="E118" s="51"/>
      <c r="F118" s="51"/>
      <c r="G118" s="51"/>
      <c r="H118" s="51"/>
      <c r="I118" s="53">
        <f t="shared" si="5"/>
        <v>10.9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v>344</v>
      </c>
      <c r="C119" s="50">
        <v>5</v>
      </c>
      <c r="D119" s="60">
        <v>56</v>
      </c>
      <c r="E119" s="51"/>
      <c r="F119" s="51"/>
      <c r="G119" s="51"/>
      <c r="H119" s="51"/>
      <c r="I119" s="53">
        <f t="shared" si="5"/>
        <v>10.199999999999999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v>379</v>
      </c>
      <c r="C120" s="60">
        <v>6</v>
      </c>
      <c r="D120" s="60">
        <v>56</v>
      </c>
      <c r="E120" s="87"/>
      <c r="F120" s="87"/>
      <c r="G120" s="87"/>
      <c r="H120" s="87"/>
      <c r="I120" s="53">
        <f t="shared" si="5"/>
        <v>9.1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v>404</v>
      </c>
      <c r="C121" s="60">
        <v>7</v>
      </c>
      <c r="D121" s="60">
        <v>53</v>
      </c>
      <c r="E121" s="87"/>
      <c r="F121" s="87"/>
      <c r="G121" s="87"/>
      <c r="H121" s="87"/>
      <c r="I121" s="53">
        <f t="shared" si="5"/>
        <v>8.1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v>425</v>
      </c>
      <c r="C122" s="60">
        <v>8</v>
      </c>
      <c r="D122" s="60">
        <v>49</v>
      </c>
      <c r="E122" s="87"/>
      <c r="F122" s="87"/>
      <c r="G122" s="87"/>
      <c r="H122" s="87"/>
      <c r="I122" s="53">
        <f t="shared" si="5"/>
        <v>7.4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110</v>
      </c>
      <c r="B123" s="60">
        <v>441</v>
      </c>
      <c r="C123" s="60">
        <v>9</v>
      </c>
      <c r="D123" s="60">
        <v>45</v>
      </c>
      <c r="E123" s="87"/>
      <c r="F123" s="87"/>
      <c r="G123" s="87"/>
      <c r="H123" s="87"/>
      <c r="I123" s="53">
        <f t="shared" si="5"/>
        <v>6.5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120</v>
      </c>
      <c r="B124" s="60">
        <v>454</v>
      </c>
      <c r="C124" s="60">
        <v>10</v>
      </c>
      <c r="D124" s="60">
        <v>43</v>
      </c>
      <c r="E124" s="87"/>
      <c r="F124" s="87"/>
      <c r="G124" s="87"/>
      <c r="H124" s="87"/>
      <c r="I124" s="53">
        <f t="shared" si="5"/>
        <v>5.8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130</v>
      </c>
      <c r="B125" s="60">
        <v>461</v>
      </c>
      <c r="C125" s="60">
        <v>11</v>
      </c>
      <c r="D125" s="60">
        <v>41</v>
      </c>
      <c r="E125" s="87"/>
      <c r="F125" s="87"/>
      <c r="G125" s="87"/>
      <c r="H125" s="87"/>
      <c r="I125" s="53">
        <f t="shared" si="5"/>
        <v>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140</v>
      </c>
      <c r="B126" s="60">
        <v>457</v>
      </c>
      <c r="C126" s="60">
        <v>12</v>
      </c>
      <c r="D126" s="60">
        <v>30</v>
      </c>
      <c r="E126" s="65"/>
      <c r="F126" s="65"/>
      <c r="G126" s="65"/>
      <c r="H126" s="65"/>
      <c r="I126" s="53">
        <f t="shared" si="5"/>
        <v>3.7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150</v>
      </c>
      <c r="B127" s="60">
        <v>467</v>
      </c>
      <c r="C127" s="60">
        <v>13</v>
      </c>
      <c r="D127" s="60">
        <v>467</v>
      </c>
      <c r="E127" s="65"/>
      <c r="F127" s="65"/>
      <c r="G127" s="65"/>
      <c r="H127" s="65"/>
      <c r="I127" s="53">
        <f t="shared" si="5"/>
        <v>4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Cèdre de l'Atlas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20</v>
      </c>
      <c r="B140" s="60">
        <v>158</v>
      </c>
      <c r="C140" s="50">
        <v>1</v>
      </c>
      <c r="D140" s="60">
        <v>12.5</v>
      </c>
      <c r="E140" s="51"/>
      <c r="F140" s="51">
        <v>0.5</v>
      </c>
      <c r="G140" s="51">
        <v>0.5</v>
      </c>
      <c r="H140" s="51"/>
      <c r="I140" s="57">
        <f>IFERROR(B140/A140,"")</f>
        <v>7.9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30</v>
      </c>
      <c r="B141" s="60">
        <v>237.5</v>
      </c>
      <c r="C141" s="50">
        <v>2</v>
      </c>
      <c r="D141" s="60">
        <v>45.9</v>
      </c>
      <c r="E141" s="51">
        <v>0.2</v>
      </c>
      <c r="F141" s="51">
        <v>0.4</v>
      </c>
      <c r="G141" s="51">
        <v>0.4</v>
      </c>
      <c r="H141" s="51"/>
      <c r="I141" s="57">
        <f t="shared" ref="I141:I159" si="6">IF(A141&lt;&gt;0,(B141-(B140-D140))/(A141-A140),"")</f>
        <v>9.1999999999999993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40</v>
      </c>
      <c r="B142" s="60">
        <v>291.60000000000002</v>
      </c>
      <c r="C142" s="50">
        <v>3</v>
      </c>
      <c r="D142" s="60">
        <v>83.4</v>
      </c>
      <c r="E142" s="51"/>
      <c r="F142" s="51"/>
      <c r="G142" s="51"/>
      <c r="H142" s="51"/>
      <c r="I142" s="57">
        <f t="shared" si="6"/>
        <v>10.000000000000004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v>323.2</v>
      </c>
      <c r="C143" s="50">
        <v>4</v>
      </c>
      <c r="D143" s="60">
        <v>83.4</v>
      </c>
      <c r="E143" s="51"/>
      <c r="F143" s="51"/>
      <c r="G143" s="51"/>
      <c r="H143" s="51"/>
      <c r="I143" s="57">
        <f t="shared" si="6"/>
        <v>11.499999999999996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60</v>
      </c>
      <c r="B144" s="60">
        <v>374.79999999999995</v>
      </c>
      <c r="C144" s="50">
        <v>5</v>
      </c>
      <c r="D144" s="60">
        <v>83.4</v>
      </c>
      <c r="E144" s="51"/>
      <c r="F144" s="51"/>
      <c r="G144" s="51"/>
      <c r="H144" s="51"/>
      <c r="I144" s="57">
        <f t="shared" si="6"/>
        <v>13.499999999999996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70</v>
      </c>
      <c r="B145" s="60">
        <v>446.4</v>
      </c>
      <c r="C145" s="50">
        <v>6</v>
      </c>
      <c r="D145" s="60">
        <v>83.4</v>
      </c>
      <c r="E145" s="51"/>
      <c r="F145" s="51"/>
      <c r="G145" s="51"/>
      <c r="H145" s="51"/>
      <c r="I145" s="57">
        <f t="shared" si="6"/>
        <v>15.5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80</v>
      </c>
      <c r="B146" s="60">
        <v>533</v>
      </c>
      <c r="C146" s="50">
        <v>7</v>
      </c>
      <c r="D146" s="60">
        <v>83.4</v>
      </c>
      <c r="E146" s="51"/>
      <c r="F146" s="51"/>
      <c r="G146" s="51"/>
      <c r="H146" s="51"/>
      <c r="I146" s="57">
        <f t="shared" si="6"/>
        <v>17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90</v>
      </c>
      <c r="B147" s="60">
        <v>624.6</v>
      </c>
      <c r="C147" s="50">
        <v>8</v>
      </c>
      <c r="D147" s="60">
        <v>83.4</v>
      </c>
      <c r="E147" s="51"/>
      <c r="F147" s="51"/>
      <c r="G147" s="51"/>
      <c r="H147" s="51"/>
      <c r="I147" s="57">
        <f>IF(A147&lt;&gt;0,(B147-(B146-D146))/(A147-A146),"")</f>
        <v>17.5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100</v>
      </c>
      <c r="B148" s="60">
        <v>726.2</v>
      </c>
      <c r="C148" s="50">
        <v>9</v>
      </c>
      <c r="D148" s="60">
        <v>726.2</v>
      </c>
      <c r="E148" s="51"/>
      <c r="F148" s="51"/>
      <c r="G148" s="51"/>
      <c r="H148" s="51"/>
      <c r="I148" s="57">
        <f t="shared" si="6"/>
        <v>18.5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Mélèze d'Europe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20</v>
      </c>
      <c r="B166" s="60">
        <v>118</v>
      </c>
      <c r="C166" s="60">
        <v>1</v>
      </c>
      <c r="D166" s="60">
        <v>37</v>
      </c>
      <c r="E166" s="51"/>
      <c r="F166" s="51">
        <v>0.5</v>
      </c>
      <c r="G166" s="51">
        <v>0.5</v>
      </c>
      <c r="H166" s="51"/>
      <c r="I166" s="49">
        <f>IFERROR(B166/A166,"")</f>
        <v>5.9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30</v>
      </c>
      <c r="B167" s="60">
        <v>220</v>
      </c>
      <c r="C167" s="60">
        <v>2</v>
      </c>
      <c r="D167" s="60">
        <v>70</v>
      </c>
      <c r="E167" s="51">
        <v>0.2</v>
      </c>
      <c r="F167" s="51">
        <v>0.4</v>
      </c>
      <c r="G167" s="51">
        <v>0.4</v>
      </c>
      <c r="H167" s="51"/>
      <c r="I167" s="49">
        <f t="shared" ref="I167:I185" si="7">IF(A167&lt;&gt;0,(B167-(B166-D166))/(A167-A166),"")</f>
        <v>13.9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40</v>
      </c>
      <c r="B168" s="60">
        <v>283</v>
      </c>
      <c r="C168" s="60">
        <v>3</v>
      </c>
      <c r="D168" s="60">
        <v>70</v>
      </c>
      <c r="E168" s="51"/>
      <c r="F168" s="51"/>
      <c r="G168" s="51"/>
      <c r="H168" s="51"/>
      <c r="I168" s="49">
        <f t="shared" si="7"/>
        <v>13.3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50</v>
      </c>
      <c r="B169" s="60">
        <v>323</v>
      </c>
      <c r="C169" s="60">
        <v>4</v>
      </c>
      <c r="D169" s="60">
        <v>60</v>
      </c>
      <c r="E169" s="51"/>
      <c r="F169" s="51"/>
      <c r="G169" s="51"/>
      <c r="H169" s="51"/>
      <c r="I169" s="49">
        <f t="shared" si="7"/>
        <v>11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60</v>
      </c>
      <c r="B170" s="60">
        <v>351</v>
      </c>
      <c r="C170" s="60">
        <v>5</v>
      </c>
      <c r="D170" s="60">
        <v>47</v>
      </c>
      <c r="E170" s="51"/>
      <c r="F170" s="51"/>
      <c r="G170" s="51"/>
      <c r="H170" s="51"/>
      <c r="I170" s="49">
        <f t="shared" si="7"/>
        <v>8.8000000000000007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70</v>
      </c>
      <c r="B171" s="60">
        <v>372</v>
      </c>
      <c r="C171" s="60">
        <v>6</v>
      </c>
      <c r="D171" s="60">
        <v>36</v>
      </c>
      <c r="E171" s="51"/>
      <c r="F171" s="51"/>
      <c r="G171" s="51"/>
      <c r="H171" s="51"/>
      <c r="I171" s="49">
        <f t="shared" si="7"/>
        <v>6.8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80</v>
      </c>
      <c r="B172" s="60">
        <v>387</v>
      </c>
      <c r="C172" s="60">
        <v>7</v>
      </c>
      <c r="D172" s="60">
        <v>387</v>
      </c>
      <c r="E172" s="51"/>
      <c r="F172" s="51"/>
      <c r="G172" s="51"/>
      <c r="H172" s="51"/>
      <c r="I172" s="49">
        <f t="shared" si="7"/>
        <v>5.0999999999999996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Pin maritime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12</v>
      </c>
      <c r="B192" s="60">
        <v>36</v>
      </c>
      <c r="C192" s="60"/>
      <c r="D192" s="60">
        <v>0</v>
      </c>
      <c r="E192" s="51"/>
      <c r="F192" s="51"/>
      <c r="G192" s="51"/>
      <c r="H192" s="51"/>
      <c r="I192" s="49">
        <f>IFERROR(B192/A192,"")</f>
        <v>3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16</v>
      </c>
      <c r="B193" s="60">
        <v>81</v>
      </c>
      <c r="C193" s="60">
        <v>1</v>
      </c>
      <c r="D193" s="60">
        <v>15</v>
      </c>
      <c r="E193" s="51"/>
      <c r="F193" s="51">
        <v>0.5</v>
      </c>
      <c r="G193" s="51">
        <v>0.5</v>
      </c>
      <c r="H193" s="51"/>
      <c r="I193" s="49">
        <f t="shared" ref="I193:I211" si="8">IF(A193&lt;&gt;0,(B193-(B192-D192))/(A193-A192),"")</f>
        <v>11.25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20</v>
      </c>
      <c r="B194" s="60">
        <v>119</v>
      </c>
      <c r="C194" s="60">
        <v>2</v>
      </c>
      <c r="D194" s="60">
        <v>22</v>
      </c>
      <c r="E194" s="51">
        <v>0.1</v>
      </c>
      <c r="F194" s="51">
        <v>0.45</v>
      </c>
      <c r="G194" s="51">
        <v>0.45</v>
      </c>
      <c r="H194" s="51"/>
      <c r="I194" s="49">
        <f t="shared" si="8"/>
        <v>13.25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24</v>
      </c>
      <c r="B195" s="60">
        <v>157</v>
      </c>
      <c r="C195" s="60">
        <v>3</v>
      </c>
      <c r="D195" s="60">
        <v>31</v>
      </c>
      <c r="E195" s="51">
        <v>0.2</v>
      </c>
      <c r="F195" s="51">
        <v>0.4</v>
      </c>
      <c r="G195" s="51">
        <v>0.4</v>
      </c>
      <c r="H195" s="51"/>
      <c r="I195" s="49">
        <f t="shared" si="8"/>
        <v>15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28</v>
      </c>
      <c r="B196" s="60">
        <v>190</v>
      </c>
      <c r="C196" s="60">
        <v>4</v>
      </c>
      <c r="D196" s="60">
        <v>35</v>
      </c>
      <c r="E196" s="51">
        <v>0.3</v>
      </c>
      <c r="F196" s="51">
        <v>0.35</v>
      </c>
      <c r="G196" s="51">
        <v>0.35</v>
      </c>
      <c r="H196" s="51"/>
      <c r="I196" s="49">
        <f t="shared" si="8"/>
        <v>16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34</v>
      </c>
      <c r="B197" s="60">
        <v>244</v>
      </c>
      <c r="C197" s="60">
        <v>5</v>
      </c>
      <c r="D197" s="60">
        <v>46</v>
      </c>
      <c r="E197" s="51"/>
      <c r="F197" s="51"/>
      <c r="G197" s="51"/>
      <c r="H197" s="51"/>
      <c r="I197" s="49">
        <f t="shared" si="8"/>
        <v>14.833333333333334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40</v>
      </c>
      <c r="B198" s="60">
        <v>275</v>
      </c>
      <c r="C198" s="60">
        <v>6</v>
      </c>
      <c r="D198" s="60">
        <v>41</v>
      </c>
      <c r="E198" s="51"/>
      <c r="F198" s="51"/>
      <c r="G198" s="51"/>
      <c r="H198" s="51"/>
      <c r="I198" s="49">
        <f t="shared" si="8"/>
        <v>12.833333333333334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>
        <v>46</v>
      </c>
      <c r="B199" s="50">
        <v>293</v>
      </c>
      <c r="C199" s="50">
        <v>7</v>
      </c>
      <c r="D199" s="50">
        <v>29</v>
      </c>
      <c r="E199" s="51"/>
      <c r="F199" s="51"/>
      <c r="G199" s="51"/>
      <c r="H199" s="51"/>
      <c r="I199" s="49">
        <f t="shared" si="8"/>
        <v>9.8333333333333339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>
        <v>54</v>
      </c>
      <c r="B200" s="50">
        <v>311</v>
      </c>
      <c r="C200" s="50">
        <v>8</v>
      </c>
      <c r="D200" s="50">
        <v>16</v>
      </c>
      <c r="E200" s="51"/>
      <c r="F200" s="51"/>
      <c r="G200" s="51"/>
      <c r="H200" s="51"/>
      <c r="I200" s="49">
        <f t="shared" si="8"/>
        <v>5.875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>
        <v>62</v>
      </c>
      <c r="B201" s="50">
        <v>316</v>
      </c>
      <c r="C201" s="50">
        <v>9</v>
      </c>
      <c r="D201" s="50">
        <v>316</v>
      </c>
      <c r="E201" s="51"/>
      <c r="F201" s="51"/>
      <c r="G201" s="51"/>
      <c r="H201" s="51"/>
      <c r="I201" s="49">
        <f t="shared" si="8"/>
        <v>2.625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abSelected="1" zoomScaleNormal="100" workbookViewId="0">
      <selection activeCell="C21" sqref="C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rouge d'Amérique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Erable champêtre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Charme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Cèdre de l'Atlas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Mélèze d'Europe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Pin maritime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368.41876532159154</v>
      </c>
      <c r="T3" s="59">
        <f>IF('Données projet'!E9&gt;30,$R$33-$H$33,LOOKUP('Données projet'!$E$9,$A$3:$A$203,R3:R203)-LOOKUP('Données projet'!$E$9,$A$3:$A$203,$H$3:$H$203))</f>
        <v>369.39570124551125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402.82278346470082</v>
      </c>
      <c r="AO3" s="59">
        <f>IF('Données projet'!E10&gt;30,$AM$33-$H$33,LOOKUP('Données projet'!$E$10,$A$3:$A$203,AM3:AM203)-LOOKUP('Données projet'!$E$10,$A$3:$A$203,$H$3:$H$203))</f>
        <v>440.17787299198977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469.68830256438338</v>
      </c>
      <c r="BJ3" s="59">
        <f>IF('Données projet'!E11&gt;30,$BH$33-$H$33,LOOKUP('Données projet'!$E$11,$A$3:$A$203,BH3:BH203)-LOOKUP('Données projet'!$E$11,$A$3:$A$203,$H$3:$H$203))</f>
        <v>332.61387922152159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609.40025883662452</v>
      </c>
      <c r="CE3" s="59">
        <f>IF('Données projet'!E12&gt;30,$CC$33-$H$33,LOOKUP('Données projet'!$E$12,$A$3:$A$203,CC3:CC203)-LOOKUP('Données projet'!$E$12,$A$3:$A$203,$H$3:$H$203))</f>
        <v>294.48909834404577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346.16623654404509</v>
      </c>
      <c r="CZ3" s="59">
        <f>IF('Données projet'!E13&gt;30,$CX$33-$H$33,LOOKUP('Données projet'!$E$13,$A$3:$A$203,CX3:CX203)-LOOKUP('Données projet'!$E$13,$A$3:$A$203,$H$3:$H$203))</f>
        <v>281.80933156559087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256.66666666666669</v>
      </c>
      <c r="DT3" s="59">
        <f ca="1">AVERAGE(OFFSET($DS$3,0,0,'Données projet'!$E$14+1,1))-AVERAGE(OFFSET($H$3,0,0,'Données projet'!$E$14+1,1))</f>
        <v>319.97171762304686</v>
      </c>
      <c r="DU3" s="59">
        <f>IF('Données projet'!E14&gt;30,$DS$33-$H$33,LOOKUP('Données projet'!$E$14,$A$3:$A$203,DS3:DS203)-LOOKUP('Données projet'!$E$14,$A$3:$A$203,$H$3:$H$203))</f>
        <v>337.89345858359621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256.66666666666669</v>
      </c>
      <c r="EO3" s="59">
        <f ca="1">AVERAGE(OFFSET($EN$3,0,0,'Données projet'!$E$15+1,1))-AVERAGE(OFFSET($H$3,0,0,'Données projet'!$E$15+1,1))</f>
        <v>258.46015871559956</v>
      </c>
      <c r="EP3" s="59">
        <f>IF('Données projet'!E15&gt;30,$EN$33-$H$33,LOOKUP('Données projet'!$E$15,$A$3:$A$203,EN3:EN203)-LOOKUP('Données projet'!$E$15,$A$3:$A$203,$H$3:$H$203))</f>
        <v>280.26155987300996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2.9</v>
      </c>
      <c r="N4" s="13">
        <f>IF('Données projet'!$A$36&gt;35,N3+M4-V3,IF(A4&lt;'Données projet'!$A$36,$K$205^A4,IF(A4='Données projet'!$A$36,'Données projet'!$B$36,N3+M4-V3)))</f>
        <v>1.4003603312913959</v>
      </c>
      <c r="O4" s="13">
        <f>N4*VLOOKUP('Données projet'!$B$9,Paramètres!$A$1:$I$89,3,0)*VLOOKUP('Données projet'!$B$9,Paramètres!$A$1:$I$89,5,0)</f>
        <v>1.2233547854161635</v>
      </c>
      <c r="P4" s="13">
        <f>EXP(-1.0587+0.8836*LN(O4)+0.284)</f>
        <v>0.55069785861405296</v>
      </c>
      <c r="Q4" s="20">
        <f t="shared" ref="Q4:Q34" si="2">(O4+P4)*0.475*44/12</f>
        <v>3.0898083550192936</v>
      </c>
      <c r="R4" s="59">
        <f t="shared" si="0"/>
        <v>260.97869724390813</v>
      </c>
      <c r="S4" s="59">
        <f ca="1">AVERAGE(OFFSET($R$3,0,0,'Données projet'!$E$9+1,1))-AVERAGE(OFFSET($H$3,0,0,'Données projet'!$E$9+1,1))</f>
        <v>368.41876532159154</v>
      </c>
      <c r="T4" s="59">
        <f>$T$3</f>
        <v>369.39570124551125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1.1000000000000001</v>
      </c>
      <c r="AI4" s="13">
        <f>IF('Données projet'!$A$62&gt;35,AI3+AH4-AQ3,IF(A4&lt;'Données projet'!$A$62,$AF$205^A4,IF(A4='Données projet'!$A$62,'Données projet'!$B$62,AI3+AH4-AQ3)))</f>
        <v>1.2709816152101407</v>
      </c>
      <c r="AJ4" s="13">
        <f>AI4*VLOOKUP('Données projet'!$B$10,Paramètres!$A$1:$I$89,3,0)*VLOOKUP('Données projet'!$B$10,Paramètres!$A$1:$I$89,5,0)</f>
        <v>1.1103295390475791</v>
      </c>
      <c r="AK4" s="13">
        <f>EXP(-1.0587+0.8836*LN(AJ4)+0.284)</f>
        <v>0.50549091932363655</v>
      </c>
      <c r="AL4" s="20">
        <f t="shared" ref="AL4:AL67" si="4">(AJ4+AK4)*0.475*44/12</f>
        <v>2.8142206316632006</v>
      </c>
      <c r="AM4" s="59">
        <f t="shared" ref="AM4:AM67" si="5">AL4+(AD4+AE4)*44/12</f>
        <v>260.70310952055206</v>
      </c>
      <c r="AN4" s="59">
        <f ca="1">AVERAGE(OFFSET($AM$3,0,0,'Données projet'!$E$10+1,1))-AVERAGE(OFFSET($H$3,0,0,'Données projet'!$E$10+1,1))</f>
        <v>402.82278346470082</v>
      </c>
      <c r="AO4" s="59">
        <f>$AO$3</f>
        <v>440.17787299198977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1.1212920291467359</v>
      </c>
      <c r="BF4" s="13">
        <f>EXP(-1.0587+0.8836*LN(BE4)+0.284)</f>
        <v>0.50989827066551541</v>
      </c>
      <c r="BG4" s="20">
        <f t="shared" ref="BG4:BG67" si="7">(BE4+BF4)*0.475*44/12</f>
        <v>2.8409897721730037</v>
      </c>
      <c r="BH4" s="59">
        <f t="shared" ref="BH4:BH67" si="8">BG4+(AY4+AZ4)*44/12</f>
        <v>260.72987866106189</v>
      </c>
      <c r="BI4" s="59">
        <f ca="1">AVERAGE(OFFSET($BH$3,0,0,'Données projet'!$E$11+1,1))-AVERAGE(OFFSET($H$3,0,0,'Données projet'!$E$11+1,1))</f>
        <v>469.68830256438338</v>
      </c>
      <c r="BJ4" s="59">
        <f>$BJ$3</f>
        <v>332.61387922152159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1.6</v>
      </c>
      <c r="BY4" s="12">
        <f>IF('Données projet'!$A$114&gt;35,BY3+BX4-CG3,IF(A4&lt;'Données projet'!$A$114,$BV$205^A4,IF(A4='Données projet'!$A$114,'Données projet'!$B$114,BY3+BX4-CG3)))</f>
        <v>1.189207115002721</v>
      </c>
      <c r="BZ4" s="13">
        <f>BY4*VLOOKUP('Données projet'!$B$12,Paramètres!$A$1:$I$89,3,0)*VLOOKUP('Données projet'!$B$12,Paramètres!$A$1:$I$89,5,0)</f>
        <v>1.1316494906365893</v>
      </c>
      <c r="CA4" s="13">
        <f>EXP(-1.0587+0.8836*LN(BZ4)+0.284)</f>
        <v>0.51405777038207245</v>
      </c>
      <c r="CB4" s="20">
        <f t="shared" ref="CB4:CB67" si="10">(BZ4+CA4)*0.475*44/12</f>
        <v>2.8662734796075018</v>
      </c>
      <c r="CC4" s="59">
        <f t="shared" ref="CC4:CC67" si="11">CB4+(BT4+BU4)*44/12</f>
        <v>260.75516236849637</v>
      </c>
      <c r="CD4" s="59">
        <f ca="1">AVERAGE(OFFSET($CC$3,0,0,'Données projet'!$E$12+1,1))-AVERAGE(OFFSET($H$3,0,0,'Données projet'!$E$12+1,1))</f>
        <v>609.40025883662452</v>
      </c>
      <c r="CE4" s="59">
        <f>$CE$3</f>
        <v>294.48909834404577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7.9</v>
      </c>
      <c r="CT4" s="12">
        <f>IF('Données projet'!$A$140&gt;35,CT3+CS4-DB3,IF(A4&lt;'Données projet'!$A$140,$CQ$205^A4,IF(A4='Données projet'!$A$140,'Données projet'!$B$140,CT3+CS4-DB3)))</f>
        <v>1.2880503926580862</v>
      </c>
      <c r="CU4" s="17">
        <f>CT4*VLOOKUP('Données projet'!$B$13,Paramètres!$A$1:$I$89,3,0)*VLOOKUP('Données projet'!$B$13,Paramètres!$A$1:$I$89,5,0)</f>
        <v>0.60280758376398436</v>
      </c>
      <c r="CV4" s="13">
        <f>EXP(-1.0587+0.8836*LN(CU4)+0.284)</f>
        <v>0.29465781953181042</v>
      </c>
      <c r="CW4" s="20">
        <f t="shared" ref="CW4:CW67" si="13">(CU4+CV4)*0.475*44/12</f>
        <v>1.5630855774068424</v>
      </c>
      <c r="CX4" s="59">
        <f t="shared" ref="CX4:CX67" si="14">CW4+(CO4+CP4)*44/12</f>
        <v>259.45197446629572</v>
      </c>
      <c r="CY4" s="59">
        <f ca="1">AVERAGE(OFFSET($CX$3,0,0,'Données projet'!$E$13+1,1))-AVERAGE(OFFSET($H$3,0,0,'Données projet'!$E$13+1,1))</f>
        <v>346.16623654404509</v>
      </c>
      <c r="CZ4" s="59">
        <f>$CZ$3</f>
        <v>281.80933156559087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5.9</v>
      </c>
      <c r="DO4" s="12">
        <f>IF('Données projet'!$A$166&gt;35,DO3+DN4-DW3,IF(A4&lt;'Données projet'!$A$166,$DL$205^A4,IF(A4='Données projet'!$A$166,'Données projet'!$B$166,DO3+DN4-DW3)))</f>
        <v>1.2693871579679339</v>
      </c>
      <c r="DP4" s="17">
        <f>DO4*VLOOKUP('Données projet'!$B$14,Paramètres!$A$1:$I$89,3,0)*VLOOKUP('Données projet'!$B$14,Paramètres!$A$1:$I$89,5,0)</f>
        <v>0.79209758657199081</v>
      </c>
      <c r="DQ4" s="13">
        <f>EXP(-1.0587+0.8836*LN(DP4)+0.284)</f>
        <v>0.37507050689117594</v>
      </c>
      <c r="DR4" s="20">
        <f t="shared" ref="DR4:DR67" si="16">(DP4+DQ4)*0.475*44/12</f>
        <v>2.0328177627816819</v>
      </c>
      <c r="DS4" s="59">
        <f t="shared" ref="DS4:DS67" si="17">DR4+(DJ4+DK4)*44/12</f>
        <v>259.92170665167055</v>
      </c>
      <c r="DT4" s="59">
        <f ca="1">AVERAGE(OFFSET($DS$3,0,0,'Données projet'!$E$14+1,1))-AVERAGE(OFFSET($H$3,0,0,'Données projet'!$E$14+1,1))</f>
        <v>319.97171762304686</v>
      </c>
      <c r="DU4" s="59">
        <f>$DU$3</f>
        <v>337.89345858359621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3</v>
      </c>
      <c r="EJ4" s="12">
        <f>IF('Données projet'!$A$192&gt;35,EJ3+EI4-ER3,IF(A4&lt;'Données projet'!$A$192,$EG$205^A4,IF(A4='Données projet'!$A$192,'Données projet'!$B$192,EJ3+EI4-ER3)))</f>
        <v>1.3480061545972777</v>
      </c>
      <c r="EK4" s="17">
        <f>EJ4*VLOOKUP('Données projet'!$B$15,Paramètres!$A$1:$I$89,3,0)*VLOOKUP('Données projet'!$B$15,Paramètres!$A$1:$I$89,5,0)</f>
        <v>0.80610768044917203</v>
      </c>
      <c r="EL4" s="13">
        <f>EXP(-1.0587+0.8836*LN(EK4)+0.284)</f>
        <v>0.38092631183578585</v>
      </c>
      <c r="EM4" s="20">
        <f t="shared" ref="EM4:EM67" si="19">(EK4+EL4)*0.475*44/12</f>
        <v>2.0674175365629677</v>
      </c>
      <c r="EN4" s="59">
        <f t="shared" ref="EN4:EN67" si="20">EM4+(EE4+EF4)*44/12</f>
        <v>259.95630642545183</v>
      </c>
      <c r="EO4" s="59">
        <f ca="1">AVERAGE(OFFSET($EN$3,0,0,'Données projet'!$E$15+1,1))-AVERAGE(OFFSET($H$3,0,0,'Données projet'!$E$15+1,1))</f>
        <v>258.46015871559956</v>
      </c>
      <c r="EP4" s="59">
        <f>$EP$3</f>
        <v>280.26155987300996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2.9</v>
      </c>
      <c r="N5" s="13">
        <f>IF('Données projet'!$A$36&gt;35,N4+M5-V4,IF(A5&lt;'Données projet'!$A$36,$K$205^A5,IF(A5='Données projet'!$A$36,'Données projet'!$B$36,N4+M5-V4)))</f>
        <v>1.9610090574545482</v>
      </c>
      <c r="O5" s="13">
        <f>N5*VLOOKUP('Données projet'!$B$9,Paramètres!$A$1:$I$89,3,0)*VLOOKUP('Données projet'!$B$9,Paramètres!$A$1:$I$89,5,0)</f>
        <v>1.7131375125922934</v>
      </c>
      <c r="P5" s="13">
        <f t="shared" ref="P5:P68" si="33">EXP(-1.0587+0.8836*LN(O5)+0.284)</f>
        <v>0.74153366912094132</v>
      </c>
      <c r="Q5" s="20">
        <f t="shared" si="2"/>
        <v>4.2752189748172169</v>
      </c>
      <c r="R5" s="59">
        <f t="shared" si="0"/>
        <v>263.38633008592836</v>
      </c>
      <c r="S5" s="59">
        <f ca="1">AVERAGE(OFFSET($R$3,0,0,'Données projet'!$E$9+1,1))-AVERAGE(OFFSET($H$3,0,0,'Données projet'!$E$9+1,1))</f>
        <v>368.41876532159154</v>
      </c>
      <c r="T5" s="59">
        <f t="shared" ref="T5:T68" si="34">$T$3</f>
        <v>369.39570124551125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1.1000000000000001</v>
      </c>
      <c r="AI5" s="13">
        <f>IF('Données projet'!$A$62&gt;35,AI4+AH5-AQ4,IF(A5&lt;'Données projet'!$A$62,$AF$205^A5,IF(A5='Données projet'!$A$62,'Données projet'!$B$62,AI4+AH5-AQ4)))</f>
        <v>1.6153942662021783</v>
      </c>
      <c r="AJ5" s="13">
        <f>AI5*VLOOKUP('Données projet'!$B$10,Paramètres!$A$1:$I$89,3,0)*VLOOKUP('Données projet'!$B$10,Paramètres!$A$1:$I$89,5,0)</f>
        <v>1.4112084309542232</v>
      </c>
      <c r="AK5" s="13">
        <f t="shared" ref="AK5:AK68" si="35">EXP(-1.0587+0.8836*LN(AJ5)+0.284)</f>
        <v>0.62478531882621136</v>
      </c>
      <c r="AL5" s="20">
        <f t="shared" si="4"/>
        <v>3.546022447534257</v>
      </c>
      <c r="AM5" s="59">
        <f t="shared" si="5"/>
        <v>262.6571335586454</v>
      </c>
      <c r="AN5" s="59">
        <f ca="1">AVERAGE(OFFSET($AM$3,0,0,'Données projet'!$E$10+1,1))-AVERAGE(OFFSET($H$3,0,0,'Données projet'!$E$10+1,1))</f>
        <v>402.82278346470082</v>
      </c>
      <c r="AO5" s="59">
        <f t="shared" ref="AO5:AO68" si="36">$AO$3</f>
        <v>440.17787299198977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1.3895842336737447</v>
      </c>
      <c r="BF5" s="13">
        <f t="shared" ref="BF5:BF68" si="37">EXP(-1.0587+0.8836*LN(BE5)+0.284)</f>
        <v>0.61631841327304715</v>
      </c>
      <c r="BG5" s="20">
        <f t="shared" si="7"/>
        <v>3.4936137767656628</v>
      </c>
      <c r="BH5" s="59">
        <f t="shared" si="8"/>
        <v>262.60472488787678</v>
      </c>
      <c r="BI5" s="59">
        <f ca="1">AVERAGE(OFFSET($BH$3,0,0,'Données projet'!$E$11+1,1))-AVERAGE(OFFSET($H$3,0,0,'Données projet'!$E$11+1,1))</f>
        <v>469.68830256438338</v>
      </c>
      <c r="BJ5" s="59">
        <f t="shared" ref="BJ5:BJ68" si="38">$BJ$3</f>
        <v>332.61387922152159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1.6</v>
      </c>
      <c r="BY5" s="12">
        <f>IF('Données projet'!$A$114&gt;35,BY4+BX5-CG4,IF(A5&lt;'Données projet'!$A$114,$BV$205^A5,IF(A5='Données projet'!$A$114,'Données projet'!$B$114,BY4+BX5-CG4)))</f>
        <v>1.4142135623730949</v>
      </c>
      <c r="BZ5" s="13">
        <f>BY5*VLOOKUP('Données projet'!$B$12,Paramètres!$A$1:$I$89,3,0)*VLOOKUP('Données projet'!$B$12,Paramètres!$A$1:$I$89,5,0)</f>
        <v>1.3457656259542372</v>
      </c>
      <c r="CA5" s="13">
        <f t="shared" ref="CA5:CA68" si="39">EXP(-1.0587+0.8836*LN(BZ5)+0.284)</f>
        <v>0.59911398074557853</v>
      </c>
      <c r="CB5" s="20">
        <f t="shared" si="10"/>
        <v>3.3873319816688454</v>
      </c>
      <c r="CC5" s="59">
        <f t="shared" si="11"/>
        <v>262.49844309278001</v>
      </c>
      <c r="CD5" s="59">
        <f ca="1">AVERAGE(OFFSET($CC$3,0,0,'Données projet'!$E$12+1,1))-AVERAGE(OFFSET($H$3,0,0,'Données projet'!$E$12+1,1))</f>
        <v>609.40025883662452</v>
      </c>
      <c r="CE5" s="59">
        <f t="shared" ref="CE5:CE68" si="40">$CE$3</f>
        <v>294.48909834404577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7.9</v>
      </c>
      <c r="CT5" s="12">
        <f>IF('Données projet'!$A$140&gt;35,CT4+CS5-DB4,IF(A5&lt;'Données projet'!$A$140,$CQ$205^A5,IF(A5='Données projet'!$A$140,'Données projet'!$B$140,CT4+CS5-DB4)))</f>
        <v>1.6590738140266501</v>
      </c>
      <c r="CU5" s="17">
        <f>CT5*VLOOKUP('Données projet'!$B$13,Paramètres!$A$1:$I$89,3,0)*VLOOKUP('Données projet'!$B$13,Paramètres!$A$1:$I$89,5,0)</f>
        <v>0.77644654496447219</v>
      </c>
      <c r="CV5" s="13">
        <f t="shared" ref="CV5:CV68" si="41">EXP(-1.0587+0.8836*LN(CU5)+0.284)</f>
        <v>0.36851455096495994</v>
      </c>
      <c r="CW5" s="20">
        <f t="shared" si="13"/>
        <v>1.9941405754104276</v>
      </c>
      <c r="CX5" s="59">
        <f t="shared" si="14"/>
        <v>261.10525168652157</v>
      </c>
      <c r="CY5" s="59">
        <f ca="1">AVERAGE(OFFSET($CX$3,0,0,'Données projet'!$E$13+1,1))-AVERAGE(OFFSET($H$3,0,0,'Données projet'!$E$13+1,1))</f>
        <v>346.16623654404509</v>
      </c>
      <c r="CZ5" s="59">
        <f t="shared" ref="CZ5:CZ68" si="42">$CZ$3</f>
        <v>281.80933156559087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5.9</v>
      </c>
      <c r="DO5" s="12">
        <f>IF('Données projet'!$A$166&gt;35,DO4+DN5-DW4,IF(A5&lt;'Données projet'!$A$166,$DL$205^A5,IF(A5='Données projet'!$A$166,'Données projet'!$B$166,DO4+DN5-DW4)))</f>
        <v>1.6113437568139084</v>
      </c>
      <c r="DP5" s="17">
        <f>DO5*VLOOKUP('Données projet'!$B$14,Paramètres!$A$1:$I$89,3,0)*VLOOKUP('Données projet'!$B$14,Paramètres!$A$1:$I$89,5,0)</f>
        <v>1.0054785042518788</v>
      </c>
      <c r="DQ5" s="13">
        <f t="shared" ref="DQ5:DQ68" si="43">EXP(-1.0587+0.8836*LN(DP5)+0.284)</f>
        <v>0.46307214995521828</v>
      </c>
      <c r="DR5" s="20">
        <f t="shared" si="16"/>
        <v>2.5577257227440273</v>
      </c>
      <c r="DS5" s="59">
        <f t="shared" si="17"/>
        <v>261.66883683385515</v>
      </c>
      <c r="DT5" s="59">
        <f ca="1">AVERAGE(OFFSET($DS$3,0,0,'Données projet'!$E$14+1,1))-AVERAGE(OFFSET($H$3,0,0,'Données projet'!$E$14+1,1))</f>
        <v>319.97171762304686</v>
      </c>
      <c r="DU5" s="59">
        <f t="shared" ref="DU5:DU68" si="44">$DU$3</f>
        <v>337.89345858359621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3</v>
      </c>
      <c r="EJ5" s="12">
        <f>IF('Données projet'!$A$192&gt;35,EJ4+EI5-ER4,IF(A5&lt;'Données projet'!$A$192,$EG$205^A5,IF(A5='Données projet'!$A$192,'Données projet'!$B$192,EJ4+EI5-ER4)))</f>
        <v>1.8171205928321397</v>
      </c>
      <c r="EK5" s="17">
        <f>EJ5*VLOOKUP('Données projet'!$B$15,Paramètres!$A$1:$I$89,3,0)*VLOOKUP('Données projet'!$B$15,Paramètres!$A$1:$I$89,5,0)</f>
        <v>1.0866381145136197</v>
      </c>
      <c r="EL5" s="13">
        <f t="shared" ref="EL5:EL68" si="45">EXP(-1.0587+0.8836*LN(EK5)+0.284)</f>
        <v>0.49594865026181029</v>
      </c>
      <c r="EM5" s="20">
        <f t="shared" si="19"/>
        <v>2.7563386153172069</v>
      </c>
      <c r="EN5" s="59">
        <f t="shared" si="20"/>
        <v>261.86744972642833</v>
      </c>
      <c r="EO5" s="59">
        <f ca="1">AVERAGE(OFFSET($EN$3,0,0,'Données projet'!$E$15+1,1))-AVERAGE(OFFSET($H$3,0,0,'Données projet'!$E$15+1,1))</f>
        <v>258.46015871559956</v>
      </c>
      <c r="EP5" s="59">
        <f t="shared" ref="EP5:EP68" si="46">$EP$3</f>
        <v>280.26155987300996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2.9</v>
      </c>
      <c r="N6" s="13">
        <f>IF('Données projet'!$A$36&gt;35,N5+M6-V5,IF(A6&lt;'Données projet'!$A$36,$K$205^A6,IF(A6='Données projet'!$A$36,'Données projet'!$B$36,N5+M6-V5)))</f>
        <v>2.7461192933624794</v>
      </c>
      <c r="O6" s="13">
        <f>N6*VLOOKUP('Données projet'!$B$9,Paramètres!$A$1:$I$89,3,0)*VLOOKUP('Données projet'!$B$9,Paramètres!$A$1:$I$89,5,0)</f>
        <v>2.3990098146814622</v>
      </c>
      <c r="P6" s="13">
        <f t="shared" si="33"/>
        <v>0.99850067298942213</v>
      </c>
      <c r="Q6" s="20">
        <f t="shared" si="2"/>
        <v>5.9173307660267902</v>
      </c>
      <c r="R6" s="59">
        <f t="shared" si="0"/>
        <v>266.25066409936011</v>
      </c>
      <c r="S6" s="59">
        <f ca="1">AVERAGE(OFFSET($R$3,0,0,'Données projet'!$E$9+1,1))-AVERAGE(OFFSET($H$3,0,0,'Données projet'!$E$9+1,1))</f>
        <v>368.41876532159154</v>
      </c>
      <c r="T6" s="59">
        <f t="shared" si="34"/>
        <v>369.39570124551125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1.1000000000000001</v>
      </c>
      <c r="AI6" s="13">
        <f>IF('Données projet'!$A$62&gt;35,AI5+AH6-AQ5,IF(A6&lt;'Données projet'!$A$62,$AF$205^A6,IF(A6='Données projet'!$A$62,'Données projet'!$B$62,AI5+AH6-AQ5)))</f>
        <v>2.0531364136588448</v>
      </c>
      <c r="AJ6" s="13">
        <f>AI6*VLOOKUP('Données projet'!$B$10,Paramètres!$A$1:$I$89,3,0)*VLOOKUP('Données projet'!$B$10,Paramètres!$A$1:$I$89,5,0)</f>
        <v>1.7936199709723673</v>
      </c>
      <c r="AK6" s="13">
        <f t="shared" si="35"/>
        <v>0.77223285265555475</v>
      </c>
      <c r="AL6" s="20">
        <f t="shared" si="4"/>
        <v>4.4688603344852975</v>
      </c>
      <c r="AM6" s="59">
        <f t="shared" si="5"/>
        <v>264.80219366781859</v>
      </c>
      <c r="AN6" s="59">
        <f ca="1">AVERAGE(OFFSET($AM$3,0,0,'Données projet'!$E$10+1,1))-AVERAGE(OFFSET($H$3,0,0,'Données projet'!$E$10+1,1))</f>
        <v>402.82278346470082</v>
      </c>
      <c r="AO6" s="59">
        <f t="shared" si="36"/>
        <v>440.17787299198977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1.7220708720671365</v>
      </c>
      <c r="BF6" s="13">
        <f t="shared" si="37"/>
        <v>0.74494935243383209</v>
      </c>
      <c r="BG6" s="20">
        <f t="shared" si="7"/>
        <v>4.2967268910058536</v>
      </c>
      <c r="BH6" s="59">
        <f t="shared" si="8"/>
        <v>264.63006022433916</v>
      </c>
      <c r="BI6" s="59">
        <f ca="1">AVERAGE(OFFSET($BH$3,0,0,'Données projet'!$E$11+1,1))-AVERAGE(OFFSET($H$3,0,0,'Données projet'!$E$11+1,1))</f>
        <v>469.68830256438338</v>
      </c>
      <c r="BJ6" s="59">
        <f t="shared" si="38"/>
        <v>332.61387922152159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1.6</v>
      </c>
      <c r="BY6" s="12">
        <f>IF('Données projet'!$A$114&gt;35,BY5+BX6-CG5,IF(A6&lt;'Données projet'!$A$114,$BV$205^A6,IF(A6='Données projet'!$A$114,'Données projet'!$B$114,BY5+BX6-CG5)))</f>
        <v>1.6817928305074288</v>
      </c>
      <c r="BZ6" s="13">
        <f>BY6*VLOOKUP('Données projet'!$B$12,Paramètres!$A$1:$I$89,3,0)*VLOOKUP('Données projet'!$B$12,Paramètres!$A$1:$I$89,5,0)</f>
        <v>1.6003940575108693</v>
      </c>
      <c r="CA6" s="13">
        <f t="shared" si="39"/>
        <v>0.69824362669984286</v>
      </c>
      <c r="CB6" s="20">
        <f t="shared" si="10"/>
        <v>4.0034606333336571</v>
      </c>
      <c r="CC6" s="59">
        <f t="shared" si="11"/>
        <v>264.33679396666696</v>
      </c>
      <c r="CD6" s="59">
        <f ca="1">AVERAGE(OFFSET($CC$3,0,0,'Données projet'!$E$12+1,1))-AVERAGE(OFFSET($H$3,0,0,'Données projet'!$E$12+1,1))</f>
        <v>609.40025883662452</v>
      </c>
      <c r="CE6" s="59">
        <f t="shared" si="40"/>
        <v>294.48909834404577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7.9</v>
      </c>
      <c r="CT6" s="12">
        <f>IF('Données projet'!$A$140&gt;35,CT5+CS6-DB5,IF(A6&lt;'Données projet'!$A$140,$CQ$205^A6,IF(A6='Données projet'!$A$140,'Données projet'!$B$140,CT5+CS6-DB5)))</f>
        <v>2.1369706776057753</v>
      </c>
      <c r="CU6" s="17">
        <f>CT6*VLOOKUP('Données projet'!$B$13,Paramètres!$A$1:$I$89,3,0)*VLOOKUP('Données projet'!$B$13,Paramètres!$A$1:$I$89,5,0)</f>
        <v>1.0001022771195029</v>
      </c>
      <c r="CV6" s="13">
        <f t="shared" si="41"/>
        <v>0.46088365986243646</v>
      </c>
      <c r="CW6" s="20">
        <f t="shared" si="13"/>
        <v>2.5445505069102112</v>
      </c>
      <c r="CX6" s="59">
        <f t="shared" si="14"/>
        <v>262.8778838402435</v>
      </c>
      <c r="CY6" s="59">
        <f ca="1">AVERAGE(OFFSET($CX$3,0,0,'Données projet'!$E$13+1,1))-AVERAGE(OFFSET($H$3,0,0,'Données projet'!$E$13+1,1))</f>
        <v>346.16623654404509</v>
      </c>
      <c r="CZ6" s="59">
        <f t="shared" si="42"/>
        <v>281.80933156559087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5.9</v>
      </c>
      <c r="DO6" s="12">
        <f>IF('Données projet'!$A$166&gt;35,DO5+DN6-DW5,IF(A6&lt;'Données projet'!$A$166,$DL$205^A6,IF(A6='Données projet'!$A$166,'Données projet'!$B$166,DO5+DN6-DW5)))</f>
        <v>2.0454190719713807</v>
      </c>
      <c r="DP6" s="17">
        <f>DO6*VLOOKUP('Données projet'!$B$14,Paramètres!$A$1:$I$89,3,0)*VLOOKUP('Données projet'!$B$14,Paramètres!$A$1:$I$89,5,0)</f>
        <v>1.2763415009101415</v>
      </c>
      <c r="DQ6" s="13">
        <f t="shared" si="43"/>
        <v>0.57172134871794966</v>
      </c>
      <c r="DR6" s="20">
        <f t="shared" si="16"/>
        <v>3.2187094631022588</v>
      </c>
      <c r="DS6" s="59">
        <f t="shared" si="17"/>
        <v>263.55204279643556</v>
      </c>
      <c r="DT6" s="59">
        <f ca="1">AVERAGE(OFFSET($DS$3,0,0,'Données projet'!$E$14+1,1))-AVERAGE(OFFSET($H$3,0,0,'Données projet'!$E$14+1,1))</f>
        <v>319.97171762304686</v>
      </c>
      <c r="DU6" s="59">
        <f t="shared" si="44"/>
        <v>337.89345858359621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3</v>
      </c>
      <c r="EJ6" s="12">
        <f>IF('Données projet'!$A$192&gt;35,EJ5+EI6-ER5,IF(A6&lt;'Données projet'!$A$192,$EG$205^A6,IF(A6='Données projet'!$A$192,'Données projet'!$B$192,EJ5+EI6-ER5)))</f>
        <v>2.4494897427831783</v>
      </c>
      <c r="EK6" s="17">
        <f>EJ6*VLOOKUP('Données projet'!$B$15,Paramètres!$A$1:$I$89,3,0)*VLOOKUP('Données projet'!$B$15,Paramètres!$A$1:$I$89,5,0)</f>
        <v>1.4647948661843406</v>
      </c>
      <c r="EL6" s="13">
        <f t="shared" si="45"/>
        <v>0.64570247854798968</v>
      </c>
      <c r="EM6" s="20">
        <f t="shared" si="19"/>
        <v>3.6757828754088084</v>
      </c>
      <c r="EN6" s="59">
        <f t="shared" si="20"/>
        <v>264.00911620874211</v>
      </c>
      <c r="EO6" s="59">
        <f ca="1">AVERAGE(OFFSET($EN$3,0,0,'Données projet'!$E$15+1,1))-AVERAGE(OFFSET($H$3,0,0,'Données projet'!$E$15+1,1))</f>
        <v>258.46015871559956</v>
      </c>
      <c r="EP6" s="59">
        <f t="shared" si="46"/>
        <v>280.26155987300996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2.9</v>
      </c>
      <c r="N7" s="13">
        <f>IF('Données projet'!$A$36&gt;35,N6+M7-V6,IF(A7&lt;'Données projet'!$A$36,$K$205^A7,IF(A7='Données projet'!$A$36,'Données projet'!$B$36,N6+M7-V6)))</f>
        <v>3.8455565234187756</v>
      </c>
      <c r="O7" s="13">
        <f>N7*VLOOKUP('Données projet'!$B$9,Paramètres!$A$1:$I$89,3,0)*VLOOKUP('Données projet'!$B$9,Paramètres!$A$1:$I$89,5,0)</f>
        <v>3.3594781788586427</v>
      </c>
      <c r="P7" s="13">
        <f t="shared" si="33"/>
        <v>1.3445156106562728</v>
      </c>
      <c r="Q7" s="20">
        <f t="shared" si="2"/>
        <v>8.1927891834051447</v>
      </c>
      <c r="R7" s="59">
        <f t="shared" si="0"/>
        <v>269.74834473896067</v>
      </c>
      <c r="S7" s="59">
        <f ca="1">AVERAGE(OFFSET($R$3,0,0,'Données projet'!$E$9+1,1))-AVERAGE(OFFSET($H$3,0,0,'Données projet'!$E$9+1,1))</f>
        <v>368.41876532159154</v>
      </c>
      <c r="T7" s="59">
        <f t="shared" si="34"/>
        <v>369.39570124551125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1.1000000000000001</v>
      </c>
      <c r="AI7" s="13">
        <f>IF('Données projet'!$A$62&gt;35,AI6+AH7-AQ6,IF(A7&lt;'Données projet'!$A$62,$AF$205^A7,IF(A7='Données projet'!$A$62,'Données projet'!$B$62,AI6+AH7-AQ6)))</f>
        <v>2.6094986352788743</v>
      </c>
      <c r="AJ7" s="13">
        <f>AI7*VLOOKUP('Données projet'!$B$10,Paramètres!$A$1:$I$89,3,0)*VLOOKUP('Données projet'!$B$10,Paramètres!$A$1:$I$89,5,0)</f>
        <v>2.2796580077796249</v>
      </c>
      <c r="AK7" s="13">
        <f t="shared" si="35"/>
        <v>0.95447757934019706</v>
      </c>
      <c r="AL7" s="20">
        <f t="shared" si="4"/>
        <v>5.632786147567022</v>
      </c>
      <c r="AM7" s="59">
        <f t="shared" si="5"/>
        <v>267.18834170312255</v>
      </c>
      <c r="AN7" s="59">
        <f ca="1">AVERAGE(OFFSET($AM$3,0,0,'Données projet'!$E$10+1,1))-AVERAGE(OFFSET($H$3,0,0,'Données projet'!$E$10+1,1))</f>
        <v>402.82278346470082</v>
      </c>
      <c r="AO7" s="59">
        <f t="shared" si="36"/>
        <v>440.17787299198977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2.1341117843442179</v>
      </c>
      <c r="BF7" s="13">
        <f t="shared" si="37"/>
        <v>0.90042667189585779</v>
      </c>
      <c r="BG7" s="20">
        <f t="shared" si="7"/>
        <v>5.2851544779514645</v>
      </c>
      <c r="BH7" s="59">
        <f t="shared" si="8"/>
        <v>266.84071003350698</v>
      </c>
      <c r="BI7" s="59">
        <f ca="1">AVERAGE(OFFSET($BH$3,0,0,'Données projet'!$E$11+1,1))-AVERAGE(OFFSET($H$3,0,0,'Données projet'!$E$11+1,1))</f>
        <v>469.68830256438338</v>
      </c>
      <c r="BJ7" s="59">
        <f t="shared" si="38"/>
        <v>332.61387922152159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1.6</v>
      </c>
      <c r="BY7" s="12">
        <f>IF('Données projet'!$A$114&gt;35,BY6+BX7-CG6,IF(A7&lt;'Données projet'!$A$114,$BV$205^A7,IF(A7='Données projet'!$A$114,'Données projet'!$B$114,BY6+BX7-CG6)))</f>
        <v>1.9999999999999996</v>
      </c>
      <c r="BZ7" s="13">
        <f>BY7*VLOOKUP('Données projet'!$B$12,Paramètres!$A$1:$I$89,3,0)*VLOOKUP('Données projet'!$B$12,Paramètres!$A$1:$I$89,5,0)</f>
        <v>1.9031999999999998</v>
      </c>
      <c r="CA7" s="13">
        <f t="shared" si="39"/>
        <v>0.81377530469280024</v>
      </c>
      <c r="CB7" s="20">
        <f t="shared" si="10"/>
        <v>4.7320653223399596</v>
      </c>
      <c r="CC7" s="59">
        <f t="shared" si="11"/>
        <v>266.28762087789551</v>
      </c>
      <c r="CD7" s="59">
        <f ca="1">AVERAGE(OFFSET($CC$3,0,0,'Données projet'!$E$12+1,1))-AVERAGE(OFFSET($H$3,0,0,'Données projet'!$E$12+1,1))</f>
        <v>609.40025883662452</v>
      </c>
      <c r="CE7" s="59">
        <f t="shared" si="40"/>
        <v>294.48909834404577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7.9</v>
      </c>
      <c r="CT7" s="12">
        <f>IF('Données projet'!$A$140&gt;35,CT6+CS7-DB6,IF(A7&lt;'Données projet'!$A$140,$CQ$205^A7,IF(A7='Données projet'!$A$140,'Données projet'!$B$140,CT6+CS7-DB6)))</f>
        <v>2.7525259203889356</v>
      </c>
      <c r="CU7" s="17">
        <f>CT7*VLOOKUP('Données projet'!$B$13,Paramètres!$A$1:$I$89,3,0)*VLOOKUP('Données projet'!$B$13,Paramètres!$A$1:$I$89,5,0)</f>
        <v>1.2881821307420218</v>
      </c>
      <c r="CV7" s="13">
        <f t="shared" si="41"/>
        <v>0.57640532069082717</v>
      </c>
      <c r="CW7" s="20">
        <f t="shared" si="13"/>
        <v>3.2474898112455457</v>
      </c>
      <c r="CX7" s="59">
        <f t="shared" si="14"/>
        <v>264.80304536680109</v>
      </c>
      <c r="CY7" s="59">
        <f ca="1">AVERAGE(OFFSET($CX$3,0,0,'Données projet'!$E$13+1,1))-AVERAGE(OFFSET($H$3,0,0,'Données projet'!$E$13+1,1))</f>
        <v>346.16623654404509</v>
      </c>
      <c r="CZ7" s="59">
        <f t="shared" si="42"/>
        <v>281.80933156559087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5.9</v>
      </c>
      <c r="DO7" s="12">
        <f>IF('Données projet'!$A$166&gt;35,DO6+DN7-DW6,IF(A7&lt;'Données projet'!$A$166,$DL$205^A7,IF(A7='Données projet'!$A$166,'Données projet'!$B$166,DO6+DN7-DW6)))</f>
        <v>2.5964287026231601</v>
      </c>
      <c r="DP7" s="17">
        <f>DO7*VLOOKUP('Données projet'!$B$14,Paramètres!$A$1:$I$89,3,0)*VLOOKUP('Données projet'!$B$14,Paramètres!$A$1:$I$89,5,0)</f>
        <v>1.6201715104368517</v>
      </c>
      <c r="DQ7" s="13">
        <f t="shared" si="43"/>
        <v>0.70586257586745638</v>
      </c>
      <c r="DR7" s="20">
        <f t="shared" si="16"/>
        <v>4.0511760336466702</v>
      </c>
      <c r="DS7" s="59">
        <f t="shared" si="17"/>
        <v>265.60673158920224</v>
      </c>
      <c r="DT7" s="59">
        <f ca="1">AVERAGE(OFFSET($DS$3,0,0,'Données projet'!$E$14+1,1))-AVERAGE(OFFSET($H$3,0,0,'Données projet'!$E$14+1,1))</f>
        <v>319.97171762304686</v>
      </c>
      <c r="DU7" s="59">
        <f t="shared" si="44"/>
        <v>337.89345858359621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3</v>
      </c>
      <c r="EJ7" s="12">
        <f>IF('Données projet'!$A$192&gt;35,EJ6+EI7-ER6,IF(A7&lt;'Données projet'!$A$192,$EG$205^A7,IF(A7='Données projet'!$A$192,'Données projet'!$B$192,EJ6+EI7-ER6)))</f>
        <v>3.3019272488946267</v>
      </c>
      <c r="EK7" s="17">
        <f>EJ7*VLOOKUP('Données projet'!$B$15,Paramètres!$A$1:$I$89,3,0)*VLOOKUP('Données projet'!$B$15,Paramètres!$A$1:$I$89,5,0)</f>
        <v>1.974552494838987</v>
      </c>
      <c r="EL7" s="13">
        <f t="shared" si="45"/>
        <v>0.84067511945625772</v>
      </c>
      <c r="EM7" s="20">
        <f t="shared" si="19"/>
        <v>4.9031880948975504</v>
      </c>
      <c r="EN7" s="59">
        <f t="shared" si="20"/>
        <v>266.45874365045307</v>
      </c>
      <c r="EO7" s="59">
        <f ca="1">AVERAGE(OFFSET($EN$3,0,0,'Données projet'!$E$15+1,1))-AVERAGE(OFFSET($H$3,0,0,'Données projet'!$E$15+1,1))</f>
        <v>258.46015871559956</v>
      </c>
      <c r="EP7" s="59">
        <f t="shared" si="46"/>
        <v>280.26155987300996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2.9</v>
      </c>
      <c r="N8" s="13">
        <f>IF('Données projet'!$A$36&gt;35,N7+M8-V7,IF(A8&lt;'Données projet'!$A$36,$K$205^A8,IF(A8='Données projet'!$A$36,'Données projet'!$B$36,N7+M8-V7)))</f>
        <v>5.3851648071345055</v>
      </c>
      <c r="O8" s="13">
        <f>N8*VLOOKUP('Données projet'!$B$9,Paramètres!$A$1:$I$89,3,0)*VLOOKUP('Données projet'!$B$9,Paramètres!$A$1:$I$89,5,0)</f>
        <v>4.7044799755127045</v>
      </c>
      <c r="P8" s="13">
        <f t="shared" si="33"/>
        <v>1.8104366638895204</v>
      </c>
      <c r="Q8" s="20">
        <f t="shared" si="2"/>
        <v>11.346813146958874</v>
      </c>
      <c r="R8" s="59">
        <f t="shared" si="0"/>
        <v>274.12459092473665</v>
      </c>
      <c r="S8" s="59">
        <f ca="1">AVERAGE(OFFSET($R$3,0,0,'Données projet'!$E$9+1,1))-AVERAGE(OFFSET($H$3,0,0,'Données projet'!$E$9+1,1))</f>
        <v>368.41876532159154</v>
      </c>
      <c r="T8" s="59">
        <f t="shared" si="34"/>
        <v>369.39570124551125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1.1000000000000001</v>
      </c>
      <c r="AI8" s="13">
        <f>IF('Données projet'!$A$62&gt;35,AI7+AH8-AQ7,IF(A8&lt;'Données projet'!$A$62,$AF$205^A8,IF(A8='Données projet'!$A$62,'Données projet'!$B$62,AI7+AH8-AQ7)))</f>
        <v>3.3166247903554016</v>
      </c>
      <c r="AJ8" s="13">
        <f>AI8*VLOOKUP('Données projet'!$B$10,Paramètres!$A$1:$I$89,3,0)*VLOOKUP('Données projet'!$B$10,Paramètres!$A$1:$I$89,5,0)</f>
        <v>2.8974034168544791</v>
      </c>
      <c r="AK8" s="13">
        <f t="shared" si="35"/>
        <v>1.1797315360649065</v>
      </c>
      <c r="AL8" s="20">
        <f t="shared" si="4"/>
        <v>7.1010100430012626</v>
      </c>
      <c r="AM8" s="59">
        <f t="shared" si="5"/>
        <v>269.87878782077905</v>
      </c>
      <c r="AN8" s="59">
        <f ca="1">AVERAGE(OFFSET($AM$3,0,0,'Données projet'!$E$10+1,1))-AVERAGE(OFFSET($H$3,0,0,'Données projet'!$E$10+1,1))</f>
        <v>402.82278346470082</v>
      </c>
      <c r="AO8" s="59">
        <f t="shared" si="36"/>
        <v>440.17787299198977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2.6447419684939089</v>
      </c>
      <c r="BF8" s="13">
        <f t="shared" si="37"/>
        <v>1.0883534414958294</v>
      </c>
      <c r="BG8" s="20">
        <f t="shared" si="7"/>
        <v>6.5018078390654601</v>
      </c>
      <c r="BH8" s="59">
        <f t="shared" si="8"/>
        <v>269.27958561684324</v>
      </c>
      <c r="BI8" s="59">
        <f ca="1">AVERAGE(OFFSET($BH$3,0,0,'Données projet'!$E$11+1,1))-AVERAGE(OFFSET($H$3,0,0,'Données projet'!$E$11+1,1))</f>
        <v>469.68830256438338</v>
      </c>
      <c r="BJ8" s="59">
        <f t="shared" si="38"/>
        <v>332.61387922152159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1.6</v>
      </c>
      <c r="BY8" s="12">
        <f>IF('Données projet'!$A$114&gt;35,BY7+BX8-CG7,IF(A8&lt;'Données projet'!$A$114,$BV$205^A8,IF(A8='Données projet'!$A$114,'Données projet'!$B$114,BY7+BX8-CG7)))</f>
        <v>2.3784142300054416</v>
      </c>
      <c r="BZ8" s="13">
        <f>BY8*VLOOKUP('Données projet'!$B$12,Paramètres!$A$1:$I$89,3,0)*VLOOKUP('Données projet'!$B$12,Paramètres!$A$1:$I$89,5,0)</f>
        <v>2.2632989812731781</v>
      </c>
      <c r="CA8" s="13">
        <f t="shared" si="39"/>
        <v>0.9484229016995176</v>
      </c>
      <c r="CB8" s="20">
        <f t="shared" si="10"/>
        <v>5.5937489461774446</v>
      </c>
      <c r="CC8" s="59">
        <f t="shared" si="11"/>
        <v>268.37152672395524</v>
      </c>
      <c r="CD8" s="59">
        <f ca="1">AVERAGE(OFFSET($CC$3,0,0,'Données projet'!$E$12+1,1))-AVERAGE(OFFSET($H$3,0,0,'Données projet'!$E$12+1,1))</f>
        <v>609.40025883662452</v>
      </c>
      <c r="CE8" s="59">
        <f t="shared" si="40"/>
        <v>294.48909834404577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7.9</v>
      </c>
      <c r="CT8" s="12">
        <f>IF('Données projet'!$A$140&gt;35,CT7+CS8-DB7,IF(A8&lt;'Données projet'!$A$140,$CQ$205^A8,IF(A8='Données projet'!$A$140,'Données projet'!$B$140,CT7+CS8-DB7)))</f>
        <v>3.5453920925585285</v>
      </c>
      <c r="CU8" s="17">
        <f>CT8*VLOOKUP('Données projet'!$B$13,Paramètres!$A$1:$I$89,3,0)*VLOOKUP('Données projet'!$B$13,Paramètres!$A$1:$I$89,5,0)</f>
        <v>1.6592434993173915</v>
      </c>
      <c r="CV8" s="13">
        <f t="shared" si="41"/>
        <v>0.72088277944126433</v>
      </c>
      <c r="CW8" s="20">
        <f t="shared" si="13"/>
        <v>4.1453866021713255</v>
      </c>
      <c r="CX8" s="59">
        <f t="shared" si="14"/>
        <v>266.92316437994907</v>
      </c>
      <c r="CY8" s="59">
        <f ca="1">AVERAGE(OFFSET($CX$3,0,0,'Données projet'!$E$13+1,1))-AVERAGE(OFFSET($H$3,0,0,'Données projet'!$E$13+1,1))</f>
        <v>346.16623654404509</v>
      </c>
      <c r="CZ8" s="59">
        <f t="shared" si="42"/>
        <v>281.80933156559087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5.9</v>
      </c>
      <c r="DO8" s="12">
        <f>IF('Données projet'!$A$166&gt;35,DO7+DN8-DW7,IF(A8&lt;'Données projet'!$A$166,$DL$205^A8,IF(A8='Données projet'!$A$166,'Données projet'!$B$166,DO7+DN8-DW7)))</f>
        <v>3.2958732516891831</v>
      </c>
      <c r="DP8" s="17">
        <f>DO8*VLOOKUP('Données projet'!$B$14,Paramètres!$A$1:$I$89,3,0)*VLOOKUP('Données projet'!$B$14,Paramètres!$A$1:$I$89,5,0)</f>
        <v>2.0566249090540505</v>
      </c>
      <c r="DQ8" s="13">
        <f t="shared" si="43"/>
        <v>0.87147694786545582</v>
      </c>
      <c r="DR8" s="20">
        <f t="shared" si="16"/>
        <v>5.0997774008014733</v>
      </c>
      <c r="DS8" s="59">
        <f t="shared" si="17"/>
        <v>267.87755517857926</v>
      </c>
      <c r="DT8" s="59">
        <f ca="1">AVERAGE(OFFSET($DS$3,0,0,'Données projet'!$E$14+1,1))-AVERAGE(OFFSET($H$3,0,0,'Données projet'!$E$14+1,1))</f>
        <v>319.97171762304686</v>
      </c>
      <c r="DU8" s="59">
        <f t="shared" si="44"/>
        <v>337.89345858359621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3</v>
      </c>
      <c r="EJ8" s="12">
        <f>IF('Données projet'!$A$192&gt;35,EJ7+EI8-ER7,IF(A8&lt;'Données projet'!$A$192,$EG$205^A8,IF(A8='Données projet'!$A$192,'Données projet'!$B$192,EJ7+EI8-ER7)))</f>
        <v>4.4510182535424141</v>
      </c>
      <c r="EK8" s="17">
        <f>EJ8*VLOOKUP('Données projet'!$B$15,Paramètres!$A$1:$I$89,3,0)*VLOOKUP('Données projet'!$B$15,Paramètres!$A$1:$I$89,5,0)</f>
        <v>2.6617089156183638</v>
      </c>
      <c r="EL8" s="13">
        <f t="shared" si="45"/>
        <v>1.0945205879680817</v>
      </c>
      <c r="EM8" s="20">
        <f t="shared" si="19"/>
        <v>6.5420997187463925</v>
      </c>
      <c r="EN8" s="59">
        <f t="shared" si="20"/>
        <v>269.31987749652416</v>
      </c>
      <c r="EO8" s="59">
        <f ca="1">AVERAGE(OFFSET($EN$3,0,0,'Données projet'!$E$15+1,1))-AVERAGE(OFFSET($H$3,0,0,'Données projet'!$E$15+1,1))</f>
        <v>258.46015871559956</v>
      </c>
      <c r="EP8" s="59">
        <f t="shared" si="46"/>
        <v>280.26155987300996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2.9</v>
      </c>
      <c r="N9" s="13">
        <f>IF('Données projet'!$A$36&gt;35,N8+M9-V8,IF(A9&lt;'Données projet'!$A$36,$K$205^A9,IF(A9='Données projet'!$A$36,'Données projet'!$B$36,N8+M9-V8)))</f>
        <v>7.5411711733776423</v>
      </c>
      <c r="O9" s="13">
        <f>N9*VLOOKUP('Données projet'!$B$9,Paramètres!$A$1:$I$89,3,0)*VLOOKUP('Données projet'!$B$9,Paramètres!$A$1:$I$89,5,0)</f>
        <v>6.5879671370627086</v>
      </c>
      <c r="P9" s="13">
        <f t="shared" si="33"/>
        <v>2.4378154392387783</v>
      </c>
      <c r="Q9" s="20">
        <f t="shared" si="2"/>
        <v>15.71990465372509</v>
      </c>
      <c r="R9" s="59">
        <f t="shared" si="0"/>
        <v>279.71990465372511</v>
      </c>
      <c r="S9" s="59">
        <f ca="1">AVERAGE(OFFSET($R$3,0,0,'Données projet'!$E$9+1,1))-AVERAGE(OFFSET($H$3,0,0,'Données projet'!$E$9+1,1))</f>
        <v>368.41876532159154</v>
      </c>
      <c r="T9" s="59">
        <f t="shared" si="34"/>
        <v>369.39570124551125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1.1000000000000001</v>
      </c>
      <c r="AI9" s="13">
        <f>IF('Données projet'!$A$62&gt;35,AI8+AH9-AQ8,IF(A9&lt;'Données projet'!$A$62,$AF$205^A9,IF(A9='Données projet'!$A$62,'Données projet'!$B$62,AI8+AH9-AQ8)))</f>
        <v>4.2153691330919028</v>
      </c>
      <c r="AJ9" s="13">
        <f>AI9*VLOOKUP('Données projet'!$B$10,Paramètres!$A$1:$I$89,3,0)*VLOOKUP('Données projet'!$B$10,Paramètres!$A$1:$I$89,5,0)</f>
        <v>3.6825464746690866</v>
      </c>
      <c r="AK9" s="13">
        <f t="shared" si="35"/>
        <v>1.4581447771126821</v>
      </c>
      <c r="AL9" s="20">
        <f t="shared" si="4"/>
        <v>8.9533705968532473</v>
      </c>
      <c r="AM9" s="59">
        <f t="shared" si="5"/>
        <v>272.95337059685323</v>
      </c>
      <c r="AN9" s="59">
        <f ca="1">AVERAGE(OFFSET($AM$3,0,0,'Données projet'!$E$10+1,1))-AVERAGE(OFFSET($H$3,0,0,'Données projet'!$E$10+1,1))</f>
        <v>402.82278346470082</v>
      </c>
      <c r="AO9" s="59">
        <f t="shared" si="36"/>
        <v>440.17787299198977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3.2775509376901719</v>
      </c>
      <c r="BF9" s="13">
        <f t="shared" si="37"/>
        <v>1.315502139804245</v>
      </c>
      <c r="BG9" s="20">
        <f t="shared" si="7"/>
        <v>7.9995674433027766</v>
      </c>
      <c r="BH9" s="59">
        <f t="shared" si="8"/>
        <v>271.99956744330279</v>
      </c>
      <c r="BI9" s="59">
        <f ca="1">AVERAGE(OFFSET($BH$3,0,0,'Données projet'!$E$11+1,1))-AVERAGE(OFFSET($H$3,0,0,'Données projet'!$E$11+1,1))</f>
        <v>469.68830256438338</v>
      </c>
      <c r="BJ9" s="59">
        <f t="shared" si="38"/>
        <v>332.61387922152159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1.6</v>
      </c>
      <c r="BY9" s="12">
        <f>IF('Données projet'!$A$114&gt;35,BY8+BX9-CG8,IF(A9&lt;'Données projet'!$A$114,$BV$205^A9,IF(A9='Données projet'!$A$114,'Données projet'!$B$114,BY8+BX9-CG8)))</f>
        <v>2.8284271247461894</v>
      </c>
      <c r="BZ9" s="13">
        <f>BY9*VLOOKUP('Données projet'!$B$12,Paramètres!$A$1:$I$89,3,0)*VLOOKUP('Données projet'!$B$12,Paramètres!$A$1:$I$89,5,0)</f>
        <v>2.6915312519084735</v>
      </c>
      <c r="CA9" s="13">
        <f t="shared" si="39"/>
        <v>1.1053493455514676</v>
      </c>
      <c r="CB9" s="20">
        <f t="shared" si="10"/>
        <v>6.6129003739093966</v>
      </c>
      <c r="CC9" s="59">
        <f t="shared" si="11"/>
        <v>270.61290037390938</v>
      </c>
      <c r="CD9" s="59">
        <f ca="1">AVERAGE(OFFSET($CC$3,0,0,'Données projet'!$E$12+1,1))-AVERAGE(OFFSET($H$3,0,0,'Données projet'!$E$12+1,1))</f>
        <v>609.40025883662452</v>
      </c>
      <c r="CE9" s="59">
        <f t="shared" si="40"/>
        <v>294.48909834404577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7.9</v>
      </c>
      <c r="CT9" s="12">
        <f>IF('Données projet'!$A$140&gt;35,CT8+CS9-DB8,IF(A9&lt;'Données projet'!$A$140,$CQ$205^A9,IF(A9='Données projet'!$A$140,'Données projet'!$B$140,CT8+CS9-DB8)))</f>
        <v>4.566643676946887</v>
      </c>
      <c r="CU9" s="17">
        <f>CT9*VLOOKUP('Données projet'!$B$13,Paramètres!$A$1:$I$89,3,0)*VLOOKUP('Données projet'!$B$13,Paramètres!$A$1:$I$89,5,0)</f>
        <v>2.1371892408111433</v>
      </c>
      <c r="CV9" s="13">
        <f t="shared" si="41"/>
        <v>0.9015738804633705</v>
      </c>
      <c r="CW9" s="20">
        <f t="shared" si="13"/>
        <v>5.292512436219778</v>
      </c>
      <c r="CX9" s="59">
        <f t="shared" si="14"/>
        <v>269.29251243621979</v>
      </c>
      <c r="CY9" s="59">
        <f ca="1">AVERAGE(OFFSET($CX$3,0,0,'Données projet'!$E$13+1,1))-AVERAGE(OFFSET($H$3,0,0,'Données projet'!$E$13+1,1))</f>
        <v>346.16623654404509</v>
      </c>
      <c r="CZ9" s="59">
        <f t="shared" si="42"/>
        <v>281.80933156559087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5.9</v>
      </c>
      <c r="DO9" s="12">
        <f>IF('Données projet'!$A$166&gt;35,DO8+DN9-DW8,IF(A9&lt;'Données projet'!$A$166,$DL$205^A9,IF(A9='Données projet'!$A$166,'Données projet'!$B$166,DO8+DN9-DW8)))</f>
        <v>4.1837391799842649</v>
      </c>
      <c r="DP9" s="17">
        <f>DO9*VLOOKUP('Données projet'!$B$14,Paramètres!$A$1:$I$89,3,0)*VLOOKUP('Données projet'!$B$14,Paramètres!$A$1:$I$89,5,0)</f>
        <v>2.6106532483101814</v>
      </c>
      <c r="DQ9" s="13">
        <f t="shared" si="43"/>
        <v>1.075948912190948</v>
      </c>
      <c r="DR9" s="20">
        <f t="shared" si="16"/>
        <v>6.4208320962061336</v>
      </c>
      <c r="DS9" s="59">
        <f t="shared" si="17"/>
        <v>270.42083209620614</v>
      </c>
      <c r="DT9" s="59">
        <f ca="1">AVERAGE(OFFSET($DS$3,0,0,'Données projet'!$E$14+1,1))-AVERAGE(OFFSET($H$3,0,0,'Données projet'!$E$14+1,1))</f>
        <v>319.97171762304686</v>
      </c>
      <c r="DU9" s="59">
        <f t="shared" si="44"/>
        <v>337.89345858359621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3</v>
      </c>
      <c r="EJ9" s="12">
        <f>IF('Données projet'!$A$192&gt;35,EJ8+EI9-ER8,IF(A9&lt;'Données projet'!$A$192,$EG$205^A9,IF(A9='Données projet'!$A$192,'Données projet'!$B$192,EJ8+EI9-ER8)))</f>
        <v>6</v>
      </c>
      <c r="EK9" s="17">
        <f>EJ9*VLOOKUP('Données projet'!$B$15,Paramètres!$A$1:$I$89,3,0)*VLOOKUP('Données projet'!$B$15,Paramètres!$A$1:$I$89,5,0)</f>
        <v>3.5880000000000005</v>
      </c>
      <c r="EL9" s="13">
        <f t="shared" si="45"/>
        <v>1.4250157876217819</v>
      </c>
      <c r="EM9" s="20">
        <f t="shared" si="19"/>
        <v>8.7310024967746021</v>
      </c>
      <c r="EN9" s="59">
        <f t="shared" si="20"/>
        <v>272.73100249677458</v>
      </c>
      <c r="EO9" s="59">
        <f ca="1">AVERAGE(OFFSET($EN$3,0,0,'Données projet'!$E$15+1,1))-AVERAGE(OFFSET($H$3,0,0,'Données projet'!$E$15+1,1))</f>
        <v>258.46015871559956</v>
      </c>
      <c r="EP9" s="59">
        <f t="shared" si="46"/>
        <v>280.26155987300996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2.9</v>
      </c>
      <c r="N10" s="13">
        <f>IF('Données projet'!$A$36&gt;35,N9+M10-V9,IF(A10&lt;'Données projet'!$A$36,$K$205^A10,IF(A10='Données projet'!$A$36,'Données projet'!$B$36,N9+M10-V9)))</f>
        <v>10.560356962676241</v>
      </c>
      <c r="O10" s="13">
        <f>N10*VLOOKUP('Données projet'!$B$9,Paramètres!$A$1:$I$89,3,0)*VLOOKUP('Données projet'!$B$9,Paramètres!$A$1:$I$89,5,0)</f>
        <v>9.2255278425939657</v>
      </c>
      <c r="P10" s="13">
        <f t="shared" si="33"/>
        <v>3.282602608711652</v>
      </c>
      <c r="Q10" s="20">
        <f t="shared" si="2"/>
        <v>21.784993869357283</v>
      </c>
      <c r="R10" s="59">
        <f t="shared" si="0"/>
        <v>287.00721609157949</v>
      </c>
      <c r="S10" s="59">
        <f ca="1">AVERAGE(OFFSET($R$3,0,0,'Données projet'!$E$9+1,1))-AVERAGE(OFFSET($H$3,0,0,'Données projet'!$E$9+1,1))</f>
        <v>368.41876532159154</v>
      </c>
      <c r="T10" s="59">
        <f t="shared" si="34"/>
        <v>369.39570124551125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1.1000000000000001</v>
      </c>
      <c r="AI10" s="13">
        <f>IF('Données projet'!$A$62&gt;35,AI9+AH10-AQ9,IF(A10&lt;'Données projet'!$A$62,$AF$205^A10,IF(A10='Données projet'!$A$62,'Données projet'!$B$62,AI9+AH10-AQ9)))</f>
        <v>5.3576566694841175</v>
      </c>
      <c r="AJ10" s="13">
        <f>AI10*VLOOKUP('Données projet'!$B$10,Paramètres!$A$1:$I$89,3,0)*VLOOKUP('Données projet'!$B$10,Paramètres!$A$1:$I$89,5,0)</f>
        <v>4.6804488664613251</v>
      </c>
      <c r="AK10" s="13">
        <f t="shared" si="35"/>
        <v>1.8022627403121443</v>
      </c>
      <c r="AL10" s="20">
        <f t="shared" si="4"/>
        <v>11.290722715130457</v>
      </c>
      <c r="AM10" s="59">
        <f t="shared" si="5"/>
        <v>276.5129449373527</v>
      </c>
      <c r="AN10" s="59">
        <f ca="1">AVERAGE(OFFSET($AM$3,0,0,'Données projet'!$E$10+1,1))-AVERAGE(OFFSET($H$3,0,0,'Données projet'!$E$10+1,1))</f>
        <v>402.82278346470082</v>
      </c>
      <c r="AO10" s="59">
        <f t="shared" si="36"/>
        <v>440.17787299198977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4.0617724818240486</v>
      </c>
      <c r="BF10" s="13">
        <f t="shared" si="37"/>
        <v>1.590058719758437</v>
      </c>
      <c r="BG10" s="20">
        <f t="shared" si="7"/>
        <v>9.8436060094228282</v>
      </c>
      <c r="BH10" s="59">
        <f t="shared" si="8"/>
        <v>275.06582823164507</v>
      </c>
      <c r="BI10" s="59">
        <f ca="1">AVERAGE(OFFSET($BH$3,0,0,'Données projet'!$E$11+1,1))-AVERAGE(OFFSET($H$3,0,0,'Données projet'!$E$11+1,1))</f>
        <v>469.68830256438338</v>
      </c>
      <c r="BJ10" s="59">
        <f t="shared" si="38"/>
        <v>332.61387922152159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1.6</v>
      </c>
      <c r="BY10" s="12">
        <f>IF('Données projet'!$A$114&gt;35,BY9+BX10-CG9,IF(A10&lt;'Données projet'!$A$114,$BV$205^A10,IF(A10='Données projet'!$A$114,'Données projet'!$B$114,BY9+BX10-CG9)))</f>
        <v>3.3635856610148567</v>
      </c>
      <c r="BZ10" s="13">
        <f>BY10*VLOOKUP('Données projet'!$B$12,Paramètres!$A$1:$I$89,3,0)*VLOOKUP('Données projet'!$B$12,Paramètres!$A$1:$I$89,5,0)</f>
        <v>3.2007881150217377</v>
      </c>
      <c r="CA10" s="13">
        <f t="shared" si="39"/>
        <v>1.2882409034215325</v>
      </c>
      <c r="CB10" s="20">
        <f t="shared" si="10"/>
        <v>7.8183922071220282</v>
      </c>
      <c r="CC10" s="59">
        <f t="shared" si="11"/>
        <v>273.04061442934426</v>
      </c>
      <c r="CD10" s="59">
        <f ca="1">AVERAGE(OFFSET($CC$3,0,0,'Données projet'!$E$12+1,1))-AVERAGE(OFFSET($H$3,0,0,'Données projet'!$E$12+1,1))</f>
        <v>609.40025883662452</v>
      </c>
      <c r="CE10" s="59">
        <f t="shared" si="40"/>
        <v>294.48909834404577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7.9</v>
      </c>
      <c r="CT10" s="12">
        <f>IF('Données projet'!$A$140&gt;35,CT9+CS10-DB9,IF(A10&lt;'Données projet'!$A$140,$CQ$205^A10,IF(A10='Données projet'!$A$140,'Données projet'!$B$140,CT9+CS10-DB9)))</f>
        <v>5.8820671812210037</v>
      </c>
      <c r="CU10" s="17">
        <f>CT10*VLOOKUP('Données projet'!$B$13,Paramètres!$A$1:$I$89,3,0)*VLOOKUP('Données projet'!$B$13,Paramètres!$A$1:$I$89,5,0)</f>
        <v>2.7528074408114294</v>
      </c>
      <c r="CV10" s="13">
        <f t="shared" si="41"/>
        <v>1.1275556652411438</v>
      </c>
      <c r="CW10" s="20">
        <f t="shared" si="13"/>
        <v>6.7582990763748976</v>
      </c>
      <c r="CX10" s="59">
        <f t="shared" si="14"/>
        <v>271.98052129859713</v>
      </c>
      <c r="CY10" s="59">
        <f ca="1">AVERAGE(OFFSET($CX$3,0,0,'Données projet'!$E$13+1,1))-AVERAGE(OFFSET($H$3,0,0,'Données projet'!$E$13+1,1))</f>
        <v>346.16623654404509</v>
      </c>
      <c r="CZ10" s="59">
        <f t="shared" si="42"/>
        <v>281.80933156559087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5.9</v>
      </c>
      <c r="DO10" s="12">
        <f>IF('Données projet'!$A$166&gt;35,DO9+DN10-DW9,IF(A10&lt;'Données projet'!$A$166,$DL$205^A10,IF(A10='Données projet'!$A$166,'Données projet'!$B$166,DO9+DN10-DW9)))</f>
        <v>5.3107847873593199</v>
      </c>
      <c r="DP10" s="17">
        <f>DO10*VLOOKUP('Données projet'!$B$14,Paramètres!$A$1:$I$89,3,0)*VLOOKUP('Données projet'!$B$14,Paramètres!$A$1:$I$89,5,0)</f>
        <v>3.3139297073122154</v>
      </c>
      <c r="DQ10" s="13">
        <f t="shared" si="43"/>
        <v>1.3283955065941828</v>
      </c>
      <c r="DR10" s="20">
        <f t="shared" si="16"/>
        <v>8.0853830808869755</v>
      </c>
      <c r="DS10" s="59">
        <f t="shared" si="17"/>
        <v>273.3076053031092</v>
      </c>
      <c r="DT10" s="59">
        <f ca="1">AVERAGE(OFFSET($DS$3,0,0,'Données projet'!$E$14+1,1))-AVERAGE(OFFSET($H$3,0,0,'Données projet'!$E$14+1,1))</f>
        <v>319.97171762304686</v>
      </c>
      <c r="DU10" s="59">
        <f t="shared" si="44"/>
        <v>337.89345858359621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3</v>
      </c>
      <c r="EJ10" s="12">
        <f>IF('Données projet'!$A$192&gt;35,EJ9+EI10-ER9,IF(A10&lt;'Données projet'!$A$192,$EG$205^A10,IF(A10='Données projet'!$A$192,'Données projet'!$B$192,EJ9+EI10-ER9)))</f>
        <v>8.0880369275836674</v>
      </c>
      <c r="EK10" s="17">
        <f>EJ10*VLOOKUP('Données projet'!$B$15,Paramètres!$A$1:$I$89,3,0)*VLOOKUP('Données projet'!$B$15,Paramètres!$A$1:$I$89,5,0)</f>
        <v>4.836646082695033</v>
      </c>
      <c r="EL10" s="13">
        <f t="shared" si="45"/>
        <v>1.8553054344470195</v>
      </c>
      <c r="EM10" s="20">
        <f t="shared" si="19"/>
        <v>11.65514889235574</v>
      </c>
      <c r="EN10" s="59">
        <f t="shared" si="20"/>
        <v>276.87737111457795</v>
      </c>
      <c r="EO10" s="59">
        <f ca="1">AVERAGE(OFFSET($EN$3,0,0,'Données projet'!$E$15+1,1))-AVERAGE(OFFSET($H$3,0,0,'Données projet'!$E$15+1,1))</f>
        <v>258.46015871559956</v>
      </c>
      <c r="EP10" s="59">
        <f t="shared" si="46"/>
        <v>280.26155987300996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2.9</v>
      </c>
      <c r="N11" s="13">
        <f>IF('Données projet'!$A$36&gt;35,N10+M11-V10,IF(A11&lt;'Données projet'!$A$36,$K$205^A11,IF(A11='Données projet'!$A$36,'Données projet'!$B$36,N10+M11-V10)))</f>
        <v>14.7883049748087</v>
      </c>
      <c r="O11" s="13">
        <f>N11*VLOOKUP('Données projet'!$B$9,Paramètres!$A$1:$I$89,3,0)*VLOOKUP('Données projet'!$B$9,Paramètres!$A$1:$I$89,5,0)</f>
        <v>12.919063225992881</v>
      </c>
      <c r="P11" s="13">
        <f t="shared" si="33"/>
        <v>4.4201376828121335</v>
      </c>
      <c r="Q11" s="20">
        <f t="shared" si="2"/>
        <v>30.199108249502064</v>
      </c>
      <c r="R11" s="59">
        <f t="shared" si="0"/>
        <v>296.6435526939465</v>
      </c>
      <c r="S11" s="59">
        <f ca="1">AVERAGE(OFFSET($R$3,0,0,'Données projet'!$E$9+1,1))-AVERAGE(OFFSET($H$3,0,0,'Données projet'!$E$9+1,1))</f>
        <v>368.41876532159154</v>
      </c>
      <c r="T11" s="59">
        <f t="shared" si="34"/>
        <v>369.39570124551125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1.1000000000000001</v>
      </c>
      <c r="AI11" s="13">
        <f>IF('Données projet'!$A$62&gt;35,AI10+AH11-AQ10,IF(A11&lt;'Données projet'!$A$62,$AF$205^A11,IF(A11='Données projet'!$A$62,'Données projet'!$B$62,AI10+AH11-AQ10)))</f>
        <v>6.8094831275223076</v>
      </c>
      <c r="AJ11" s="13">
        <f>AI11*VLOOKUP('Données projet'!$B$10,Paramètres!$A$1:$I$89,3,0)*VLOOKUP('Données projet'!$B$10,Paramètres!$A$1:$I$89,5,0)</f>
        <v>5.9487644602034884</v>
      </c>
      <c r="AK11" s="13">
        <f t="shared" si="35"/>
        <v>2.2275915506478068</v>
      </c>
      <c r="AL11" s="20">
        <f t="shared" si="4"/>
        <v>14.240486718899339</v>
      </c>
      <c r="AM11" s="59">
        <f t="shared" si="5"/>
        <v>280.68493116334378</v>
      </c>
      <c r="AN11" s="59">
        <f ca="1">AVERAGE(OFFSET($AM$3,0,0,'Données projet'!$E$10+1,1))-AVERAGE(OFFSET($H$3,0,0,'Données projet'!$E$10+1,1))</f>
        <v>402.82278346470082</v>
      </c>
      <c r="AO11" s="59">
        <f t="shared" si="36"/>
        <v>440.17787299198977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5.0336351769196082</v>
      </c>
      <c r="BF11" s="13">
        <f t="shared" si="37"/>
        <v>1.9219176128866391</v>
      </c>
      <c r="BG11" s="20">
        <f t="shared" si="7"/>
        <v>12.11425444224588</v>
      </c>
      <c r="BH11" s="59">
        <f t="shared" si="8"/>
        <v>278.55869888669031</v>
      </c>
      <c r="BI11" s="59">
        <f ca="1">AVERAGE(OFFSET($BH$3,0,0,'Données projet'!$E$11+1,1))-AVERAGE(OFFSET($H$3,0,0,'Données projet'!$E$11+1,1))</f>
        <v>469.68830256438338</v>
      </c>
      <c r="BJ11" s="59">
        <f t="shared" si="38"/>
        <v>332.61387922152159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1.6</v>
      </c>
      <c r="BY11" s="12">
        <f>IF('Données projet'!$A$114&gt;35,BY10+BX11-CG10,IF(A11&lt;'Données projet'!$A$114,$BV$205^A11,IF(A11='Données projet'!$A$114,'Données projet'!$B$114,BY10+BX11-CG10)))</f>
        <v>3.9999999999999982</v>
      </c>
      <c r="BZ11" s="13">
        <f>BY11*VLOOKUP('Données projet'!$B$12,Paramètres!$A$1:$I$89,3,0)*VLOOKUP('Données projet'!$B$12,Paramètres!$A$1:$I$89,5,0)</f>
        <v>3.8063999999999987</v>
      </c>
      <c r="CA11" s="13">
        <f t="shared" si="39"/>
        <v>1.5013937737669318</v>
      </c>
      <c r="CB11" s="20">
        <f t="shared" si="10"/>
        <v>9.2444074893107366</v>
      </c>
      <c r="CC11" s="59">
        <f t="shared" si="11"/>
        <v>275.68885193375519</v>
      </c>
      <c r="CD11" s="59">
        <f ca="1">AVERAGE(OFFSET($CC$3,0,0,'Données projet'!$E$12+1,1))-AVERAGE(OFFSET($H$3,0,0,'Données projet'!$E$12+1,1))</f>
        <v>609.40025883662452</v>
      </c>
      <c r="CE11" s="59">
        <f t="shared" si="40"/>
        <v>294.48909834404577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7.9</v>
      </c>
      <c r="CT11" s="12">
        <f>IF('Données projet'!$A$140&gt;35,CT10+CS11-DB10,IF(A11&lt;'Données projet'!$A$140,$CQ$205^A11,IF(A11='Données projet'!$A$140,'Données projet'!$B$140,CT10+CS11-DB10)))</f>
        <v>7.5763989424129567</v>
      </c>
      <c r="CU11" s="17">
        <f>CT11*VLOOKUP('Données projet'!$B$13,Paramètres!$A$1:$I$89,3,0)*VLOOKUP('Données projet'!$B$13,Paramètres!$A$1:$I$89,5,0)</f>
        <v>3.5457547050492639</v>
      </c>
      <c r="CV11" s="13">
        <f t="shared" si="41"/>
        <v>1.4101803587787649</v>
      </c>
      <c r="CW11" s="20">
        <f t="shared" si="13"/>
        <v>8.631586902833817</v>
      </c>
      <c r="CX11" s="59">
        <f t="shared" si="14"/>
        <v>275.07603134727827</v>
      </c>
      <c r="CY11" s="59">
        <f ca="1">AVERAGE(OFFSET($CX$3,0,0,'Données projet'!$E$13+1,1))-AVERAGE(OFFSET($H$3,0,0,'Données projet'!$E$13+1,1))</f>
        <v>346.16623654404509</v>
      </c>
      <c r="CZ11" s="59">
        <f t="shared" si="42"/>
        <v>281.80933156559087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5.9</v>
      </c>
      <c r="DO11" s="12">
        <f>IF('Données projet'!$A$166&gt;35,DO10+DN11-DW10,IF(A11&lt;'Données projet'!$A$166,$DL$205^A11,IF(A11='Données projet'!$A$166,'Données projet'!$B$166,DO10+DN11-DW10)))</f>
        <v>6.7414420078053858</v>
      </c>
      <c r="DP11" s="17">
        <f>DO11*VLOOKUP('Données projet'!$B$14,Paramètres!$A$1:$I$89,3,0)*VLOOKUP('Données projet'!$B$14,Paramètres!$A$1:$I$89,5,0)</f>
        <v>4.2066598128705603</v>
      </c>
      <c r="DQ11" s="13">
        <f t="shared" si="43"/>
        <v>1.6400728714398731</v>
      </c>
      <c r="DR11" s="20">
        <f t="shared" si="16"/>
        <v>10.183059425174006</v>
      </c>
      <c r="DS11" s="59">
        <f t="shared" si="17"/>
        <v>276.62750386961847</v>
      </c>
      <c r="DT11" s="59">
        <f ca="1">AVERAGE(OFFSET($DS$3,0,0,'Données projet'!$E$14+1,1))-AVERAGE(OFFSET($H$3,0,0,'Données projet'!$E$14+1,1))</f>
        <v>319.97171762304686</v>
      </c>
      <c r="DU11" s="59">
        <f t="shared" si="44"/>
        <v>337.89345858359621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3</v>
      </c>
      <c r="EJ11" s="12">
        <f>IF('Données projet'!$A$192&gt;35,EJ10+EI11-ER10,IF(A11&lt;'Données projet'!$A$192,$EG$205^A11,IF(A11='Données projet'!$A$192,'Données projet'!$B$192,EJ10+EI11-ER10)))</f>
        <v>10.902723556992838</v>
      </c>
      <c r="EK11" s="17">
        <f>EJ11*VLOOKUP('Données projet'!$B$15,Paramètres!$A$1:$I$89,3,0)*VLOOKUP('Données projet'!$B$15,Paramètres!$A$1:$I$89,5,0)</f>
        <v>6.5198286870817181</v>
      </c>
      <c r="EL11" s="13">
        <f t="shared" si="45"/>
        <v>2.4155228910363733</v>
      </c>
      <c r="EM11" s="20">
        <f t="shared" si="19"/>
        <v>15.562403998555673</v>
      </c>
      <c r="EN11" s="59">
        <f t="shared" si="20"/>
        <v>282.00684844300014</v>
      </c>
      <c r="EO11" s="59">
        <f ca="1">AVERAGE(OFFSET($EN$3,0,0,'Données projet'!$E$15+1,1))-AVERAGE(OFFSET($H$3,0,0,'Données projet'!$E$15+1,1))</f>
        <v>258.46015871559956</v>
      </c>
      <c r="EP11" s="59">
        <f t="shared" si="46"/>
        <v>280.26155987300996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2.9</v>
      </c>
      <c r="N12" s="13">
        <f>IF('Données projet'!$A$36&gt;35,N11+M12-V11,IF(A12&lt;'Données projet'!$A$36,$K$205^A12,IF(A12='Données projet'!$A$36,'Données projet'!$B$36,N11+M12-V11)))</f>
        <v>20.708955653761308</v>
      </c>
      <c r="O12" s="13">
        <f>N12*VLOOKUP('Données projet'!$B$9,Paramètres!$A$1:$I$89,3,0)*VLOOKUP('Données projet'!$B$9,Paramètres!$A$1:$I$89,5,0)</f>
        <v>18.091343659125879</v>
      </c>
      <c r="P12" s="13">
        <f t="shared" si="33"/>
        <v>5.9518679121149844</v>
      </c>
      <c r="Q12" s="20">
        <f t="shared" si="2"/>
        <v>41.875260153244504</v>
      </c>
      <c r="R12" s="59">
        <f t="shared" si="0"/>
        <v>309.54192681991117</v>
      </c>
      <c r="S12" s="59">
        <f ca="1">AVERAGE(OFFSET($R$3,0,0,'Données projet'!$E$9+1,1))-AVERAGE(OFFSET($H$3,0,0,'Données projet'!$E$9+1,1))</f>
        <v>368.41876532159154</v>
      </c>
      <c r="T12" s="59">
        <f t="shared" si="34"/>
        <v>369.39570124551125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1.1000000000000001</v>
      </c>
      <c r="AI12" s="13">
        <f>IF('Données projet'!$A$62&gt;35,AI11+AH12-AQ11,IF(A12&lt;'Données projet'!$A$62,$AF$205^A12,IF(A12='Données projet'!$A$62,'Données projet'!$B$62,AI11+AH12-AQ11)))</f>
        <v>8.6547278641645029</v>
      </c>
      <c r="AJ12" s="13">
        <f>AI12*VLOOKUP('Données projet'!$B$10,Paramètres!$A$1:$I$89,3,0)*VLOOKUP('Données projet'!$B$10,Paramètres!$A$1:$I$89,5,0)</f>
        <v>7.5607702621341106</v>
      </c>
      <c r="AK12" s="13">
        <f t="shared" si="35"/>
        <v>2.7532967338924581</v>
      </c>
      <c r="AL12" s="20">
        <f t="shared" si="4"/>
        <v>17.963666684746272</v>
      </c>
      <c r="AM12" s="59">
        <f t="shared" si="5"/>
        <v>285.63033335141296</v>
      </c>
      <c r="AN12" s="59">
        <f ca="1">AVERAGE(OFFSET($AM$3,0,0,'Données projet'!$E$10+1,1))-AVERAGE(OFFSET($H$3,0,0,'Données projet'!$E$10+1,1))</f>
        <v>402.82278346470082</v>
      </c>
      <c r="AO12" s="59">
        <f t="shared" si="36"/>
        <v>440.17787299198977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6.2380360317336141</v>
      </c>
      <c r="BF12" s="13">
        <f t="shared" si="37"/>
        <v>2.3230383034439352</v>
      </c>
      <c r="BG12" s="20">
        <f t="shared" si="7"/>
        <v>14.910537800434229</v>
      </c>
      <c r="BH12" s="59">
        <f t="shared" si="8"/>
        <v>282.5772044671009</v>
      </c>
      <c r="BI12" s="59">
        <f ca="1">AVERAGE(OFFSET($BH$3,0,0,'Données projet'!$E$11+1,1))-AVERAGE(OFFSET($H$3,0,0,'Données projet'!$E$11+1,1))</f>
        <v>469.68830256438338</v>
      </c>
      <c r="BJ12" s="59">
        <f t="shared" si="38"/>
        <v>332.61387922152159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1.6</v>
      </c>
      <c r="BY12" s="12">
        <f>IF('Données projet'!$A$114&gt;35,BY11+BX12-CG11,IF(A12&lt;'Données projet'!$A$114,$BV$205^A12,IF(A12='Données projet'!$A$114,'Données projet'!$B$114,BY11+BX12-CG11)))</f>
        <v>4.7568284600108823</v>
      </c>
      <c r="BZ12" s="13">
        <f>BY12*VLOOKUP('Données projet'!$B$12,Paramètres!$A$1:$I$89,3,0)*VLOOKUP('Données projet'!$B$12,Paramètres!$A$1:$I$89,5,0)</f>
        <v>4.5265979625463562</v>
      </c>
      <c r="CA12" s="13">
        <f t="shared" si="39"/>
        <v>1.7498150058106832</v>
      </c>
      <c r="CB12" s="20">
        <f t="shared" si="10"/>
        <v>10.931419253221842</v>
      </c>
      <c r="CC12" s="59">
        <f t="shared" si="11"/>
        <v>278.59808591988855</v>
      </c>
      <c r="CD12" s="59">
        <f ca="1">AVERAGE(OFFSET($CC$3,0,0,'Données projet'!$E$12+1,1))-AVERAGE(OFFSET($H$3,0,0,'Données projet'!$E$12+1,1))</f>
        <v>609.40025883662452</v>
      </c>
      <c r="CE12" s="59">
        <f t="shared" si="40"/>
        <v>294.48909834404577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7.9</v>
      </c>
      <c r="CT12" s="12">
        <f>IF('Données projet'!$A$140&gt;35,CT11+CS12-DB11,IF(A12&lt;'Données projet'!$A$140,$CQ$205^A12,IF(A12='Données projet'!$A$140,'Données projet'!$B$140,CT11+CS12-DB11)))</f>
        <v>9.7587836327093171</v>
      </c>
      <c r="CU12" s="17">
        <f>CT12*VLOOKUP('Données projet'!$B$13,Paramètres!$A$1:$I$89,3,0)*VLOOKUP('Données projet'!$B$13,Paramètres!$A$1:$I$89,5,0)</f>
        <v>4.5671107401079603</v>
      </c>
      <c r="CV12" s="13">
        <f t="shared" si="41"/>
        <v>1.763645650133036</v>
      </c>
      <c r="CW12" s="20">
        <f t="shared" si="13"/>
        <v>11.026067379669733</v>
      </c>
      <c r="CX12" s="59">
        <f t="shared" si="14"/>
        <v>278.6927340463364</v>
      </c>
      <c r="CY12" s="59">
        <f ca="1">AVERAGE(OFFSET($CX$3,0,0,'Données projet'!$E$13+1,1))-AVERAGE(OFFSET($H$3,0,0,'Données projet'!$E$13+1,1))</f>
        <v>346.16623654404509</v>
      </c>
      <c r="CZ12" s="59">
        <f t="shared" si="42"/>
        <v>281.80933156559087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5.9</v>
      </c>
      <c r="DO12" s="12">
        <f>IF('Données projet'!$A$166&gt;35,DO11+DN12-DW11,IF(A12&lt;'Données projet'!$A$166,$DL$205^A12,IF(A12='Données projet'!$A$166,'Données projet'!$B$166,DO11+DN12-DW11)))</f>
        <v>8.5574999108937213</v>
      </c>
      <c r="DP12" s="17">
        <f>DO12*VLOOKUP('Données projet'!$B$14,Paramètres!$A$1:$I$89,3,0)*VLOOKUP('Données projet'!$B$14,Paramètres!$A$1:$I$89,5,0)</f>
        <v>5.3398799443976825</v>
      </c>
      <c r="DQ12" s="13">
        <f t="shared" si="43"/>
        <v>2.0248781407951277</v>
      </c>
      <c r="DR12" s="20">
        <f t="shared" si="16"/>
        <v>12.826953665044144</v>
      </c>
      <c r="DS12" s="59">
        <f t="shared" si="17"/>
        <v>280.49362033171082</v>
      </c>
      <c r="DT12" s="59">
        <f ca="1">AVERAGE(OFFSET($DS$3,0,0,'Données projet'!$E$14+1,1))-AVERAGE(OFFSET($H$3,0,0,'Données projet'!$E$14+1,1))</f>
        <v>319.97171762304686</v>
      </c>
      <c r="DU12" s="59">
        <f t="shared" si="44"/>
        <v>337.89345858359621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3</v>
      </c>
      <c r="EJ12" s="12">
        <f>IF('Données projet'!$A$192&gt;35,EJ11+EI12-ER11,IF(A12&lt;'Données projet'!$A$192,$EG$205^A12,IF(A12='Données projet'!$A$192,'Données projet'!$B$192,EJ11+EI12-ER11)))</f>
        <v>14.696938456699069</v>
      </c>
      <c r="EK12" s="17">
        <f>EJ12*VLOOKUP('Données projet'!$B$15,Paramètres!$A$1:$I$89,3,0)*VLOOKUP('Données projet'!$B$15,Paramètres!$A$1:$I$89,5,0)</f>
        <v>8.7887691971060438</v>
      </c>
      <c r="EL12" s="13">
        <f t="shared" si="45"/>
        <v>3.1449004184369191</v>
      </c>
      <c r="EM12" s="20">
        <f t="shared" si="19"/>
        <v>20.784474580403991</v>
      </c>
      <c r="EN12" s="59">
        <f t="shared" si="20"/>
        <v>288.45114124707067</v>
      </c>
      <c r="EO12" s="59">
        <f ca="1">AVERAGE(OFFSET($EN$3,0,0,'Données projet'!$E$15+1,1))-AVERAGE(OFFSET($H$3,0,0,'Données projet'!$E$15+1,1))</f>
        <v>258.46015871559956</v>
      </c>
      <c r="EP12" s="59">
        <f t="shared" si="46"/>
        <v>280.26155987300996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29</v>
      </c>
      <c r="L13" s="12">
        <f>VLOOKUP(A13,'Données projet'!$A$35:$I$55,9,0)</f>
        <v>2.9</v>
      </c>
      <c r="M13" s="12">
        <f t="array" ref="M13">INDEX(L:L,MIN(IF(ISNUMBER(L13:L209),ROW(L13:L209),"")))</f>
        <v>2.9</v>
      </c>
      <c r="N13" s="13">
        <f>IF('Données projet'!$A$36&gt;35,N12+M13-V12,IF(A13&lt;'Données projet'!$A$36,$K$205^A13,IF(A13='Données projet'!$A$36,'Données projet'!$B$36,N12+M13-V12)))</f>
        <v>29</v>
      </c>
      <c r="O13" s="13">
        <f>N13*VLOOKUP('Données projet'!$B$9,Paramètres!$A$1:$I$89,3,0)*VLOOKUP('Données projet'!$B$9,Paramètres!$A$1:$I$89,5,0)</f>
        <v>25.334400000000002</v>
      </c>
      <c r="P13" s="13">
        <f t="shared" si="33"/>
        <v>8.0143955200794572</v>
      </c>
      <c r="Q13" s="20">
        <f t="shared" si="2"/>
        <v>58.082485530805059</v>
      </c>
      <c r="R13" s="59">
        <f t="shared" si="0"/>
        <v>326.97137441969392</v>
      </c>
      <c r="S13" s="59">
        <f ca="1">AVERAGE(OFFSET($R$3,0,0,'Données projet'!$E$9+1,1))-AVERAGE(OFFSET($H$3,0,0,'Données projet'!$E$9+1,1))</f>
        <v>368.41876532159154</v>
      </c>
      <c r="T13" s="59">
        <f t="shared" si="34"/>
        <v>369.39570124551125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0.1075</v>
      </c>
      <c r="Y13" s="16">
        <f>IF(ISNA(VLOOKUP(A13,'Données projet'!$A$35:$I$55,7,0)),0%,VLOOKUP(A13,'Données projet'!$A$35:$I$55,7,0))</f>
        <v>0.25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11</v>
      </c>
      <c r="AG13" s="12">
        <f>VLOOKUP(A13,'Données projet'!$A$61:$I$81,9,0)</f>
        <v>1.1000000000000001</v>
      </c>
      <c r="AH13" s="12">
        <f t="array" ref="AH13">INDEX(AG:AG,MIN(IF(ISNUMBER(AG13:AG209),ROW(AG13:AG209),"")))</f>
        <v>1.1000000000000001</v>
      </c>
      <c r="AI13" s="13">
        <f>IF('Données projet'!$A$62&gt;35,AI12+AH13-AQ12,IF(A13&lt;'Données projet'!$A$62,$AF$205^A13,IF(A13='Données projet'!$A$62,'Données projet'!$B$62,AI12+AH13-AQ12)))</f>
        <v>11</v>
      </c>
      <c r="AJ13" s="13">
        <f>AI13*VLOOKUP('Données projet'!$B$10,Paramètres!$A$1:$I$89,3,0)*VLOOKUP('Données projet'!$B$10,Paramètres!$A$1:$I$89,5,0)</f>
        <v>9.6096000000000004</v>
      </c>
      <c r="AK13" s="13">
        <f t="shared" si="35"/>
        <v>3.4030668246422207</v>
      </c>
      <c r="AL13" s="20">
        <f t="shared" si="4"/>
        <v>22.663728052918533</v>
      </c>
      <c r="AM13" s="59">
        <f t="shared" si="5"/>
        <v>291.5526169418074</v>
      </c>
      <c r="AN13" s="59">
        <f ca="1">AVERAGE(OFFSET($AM$3,0,0,'Données projet'!$E$10+1,1))-AVERAGE(OFFSET($H$3,0,0,'Données projet'!$E$10+1,1))</f>
        <v>402.82278346470082</v>
      </c>
      <c r="AO13" s="59">
        <f t="shared" si="36"/>
        <v>440.17787299198977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0.13250000000000001</v>
      </c>
      <c r="AT13" s="16">
        <f>IF(ISNA(VLOOKUP(A13,'Données projet'!$A$61:$I$81,7,0)),0%,VLOOKUP(A13,'Données projet'!$A$61:$I$81,7,0))</f>
        <v>0.25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7.7306145887633031</v>
      </c>
      <c r="BF13" s="13">
        <f t="shared" si="37"/>
        <v>2.8078763226288115</v>
      </c>
      <c r="BG13" s="20">
        <f t="shared" si="7"/>
        <v>18.354538337341264</v>
      </c>
      <c r="BH13" s="59">
        <f t="shared" si="8"/>
        <v>287.2434272262301</v>
      </c>
      <c r="BI13" s="59">
        <f ca="1">AVERAGE(OFFSET($BH$3,0,0,'Données projet'!$E$11+1,1))-AVERAGE(OFFSET($H$3,0,0,'Données projet'!$E$11+1,1))</f>
        <v>469.68830256438338</v>
      </c>
      <c r="BJ13" s="59">
        <f t="shared" si="38"/>
        <v>332.61387922152159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1.6</v>
      </c>
      <c r="BY13" s="12">
        <f>IF('Données projet'!$A$114&gt;35,BY12+BX13-CG12,IF(A13&lt;'Données projet'!$A$114,$BV$205^A13,IF(A13='Données projet'!$A$114,'Données projet'!$B$114,BY12+BX13-CG12)))</f>
        <v>5.656854249492377</v>
      </c>
      <c r="BZ13" s="13">
        <f>BY13*VLOOKUP('Données projet'!$B$12,Paramètres!$A$1:$I$89,3,0)*VLOOKUP('Données projet'!$B$12,Paramètres!$A$1:$I$89,5,0)</f>
        <v>5.3830625038169462</v>
      </c>
      <c r="CA13" s="13">
        <f t="shared" si="39"/>
        <v>2.039340117202022</v>
      </c>
      <c r="CB13" s="20">
        <f t="shared" si="10"/>
        <v>12.927351231608034</v>
      </c>
      <c r="CC13" s="59">
        <f t="shared" si="11"/>
        <v>281.8162401204969</v>
      </c>
      <c r="CD13" s="59">
        <f ca="1">AVERAGE(OFFSET($CC$3,0,0,'Données projet'!$E$12+1,1))-AVERAGE(OFFSET($H$3,0,0,'Données projet'!$E$12+1,1))</f>
        <v>609.40025883662452</v>
      </c>
      <c r="CE13" s="59">
        <f t="shared" si="40"/>
        <v>294.48909834404577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7.9</v>
      </c>
      <c r="CT13" s="12">
        <f>IF('Données projet'!$A$140&gt;35,CT12+CS13-DB12,IF(A13&lt;'Données projet'!$A$140,$CQ$205^A13,IF(A13='Données projet'!$A$140,'Données projet'!$B$140,CT12+CS13-DB12)))</f>
        <v>12.569805089976542</v>
      </c>
      <c r="CU13" s="17">
        <f>CT13*VLOOKUP('Données projet'!$B$13,Paramètres!$A$1:$I$89,3,0)*VLOOKUP('Données projet'!$B$13,Paramètres!$A$1:$I$89,5,0)</f>
        <v>5.8826687821090227</v>
      </c>
      <c r="CV13" s="13">
        <f t="shared" si="41"/>
        <v>2.2057079152108381</v>
      </c>
      <c r="CW13" s="20">
        <f t="shared" si="13"/>
        <v>14.087256081165423</v>
      </c>
      <c r="CX13" s="59">
        <f t="shared" si="14"/>
        <v>282.97614497005429</v>
      </c>
      <c r="CY13" s="59">
        <f ca="1">AVERAGE(OFFSET($CX$3,0,0,'Données projet'!$E$13+1,1))-AVERAGE(OFFSET($H$3,0,0,'Données projet'!$E$13+1,1))</f>
        <v>346.16623654404509</v>
      </c>
      <c r="CZ13" s="59">
        <f t="shared" si="42"/>
        <v>281.80933156559087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5.9</v>
      </c>
      <c r="DO13" s="12">
        <f>IF('Données projet'!$A$166&gt;35,DO12+DN13-DW12,IF(A13&lt;'Données projet'!$A$166,$DL$205^A13,IF(A13='Données projet'!$A$166,'Données projet'!$B$166,DO12+DN13-DW12)))</f>
        <v>10.862780491200228</v>
      </c>
      <c r="DP13" s="17">
        <f>DO13*VLOOKUP('Données projet'!$B$14,Paramètres!$A$1:$I$89,3,0)*VLOOKUP('Données projet'!$B$14,Paramètres!$A$1:$I$89,5,0)</f>
        <v>6.7783750265089431</v>
      </c>
      <c r="DQ13" s="13">
        <f t="shared" si="43"/>
        <v>2.4999690906845462</v>
      </c>
      <c r="DR13" s="20">
        <f t="shared" si="16"/>
        <v>16.159782670778661</v>
      </c>
      <c r="DS13" s="59">
        <f t="shared" si="17"/>
        <v>285.04867155966753</v>
      </c>
      <c r="DT13" s="59">
        <f ca="1">AVERAGE(OFFSET($DS$3,0,0,'Données projet'!$E$14+1,1))-AVERAGE(OFFSET($H$3,0,0,'Données projet'!$E$14+1,1))</f>
        <v>319.97171762304686</v>
      </c>
      <c r="DU13" s="59">
        <f t="shared" si="44"/>
        <v>337.89345858359621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3</v>
      </c>
      <c r="EJ13" s="12">
        <f>IF('Données projet'!$A$192&gt;35,EJ12+EI13-ER12,IF(A13&lt;'Données projet'!$A$192,$EG$205^A13,IF(A13='Données projet'!$A$192,'Données projet'!$B$192,EJ12+EI13-ER12)))</f>
        <v>19.81156349336776</v>
      </c>
      <c r="EK13" s="17">
        <f>EJ13*VLOOKUP('Données projet'!$B$15,Paramètres!$A$1:$I$89,3,0)*VLOOKUP('Données projet'!$B$15,Paramètres!$A$1:$I$89,5,0)</f>
        <v>11.847314969033921</v>
      </c>
      <c r="EL13" s="13">
        <f t="shared" si="45"/>
        <v>4.094516627677768</v>
      </c>
      <c r="EM13" s="20">
        <f t="shared" si="19"/>
        <v>27.76535669760619</v>
      </c>
      <c r="EN13" s="59">
        <f t="shared" si="20"/>
        <v>296.65424558649505</v>
      </c>
      <c r="EO13" s="59">
        <f ca="1">AVERAGE(OFFSET($EN$3,0,0,'Données projet'!$E$15+1,1))-AVERAGE(OFFSET($H$3,0,0,'Données projet'!$E$15+1,1))</f>
        <v>258.46015871559956</v>
      </c>
      <c r="EP13" s="59">
        <f t="shared" si="46"/>
        <v>280.26155987300996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8.8000000000000007</v>
      </c>
      <c r="N14" s="13">
        <f>IF('Données projet'!$A$36&gt;35,N13+M14-V13,IF(A14&lt;'Données projet'!$A$36,$K$205^A14,IF(A14='Données projet'!$A$36,'Données projet'!$B$36,N13+M14-V13)))</f>
        <v>37.799999999999997</v>
      </c>
      <c r="O14" s="13">
        <f>N14*VLOOKUP('Données projet'!$B$9,Paramètres!$A$1:$I$89,3,0)*VLOOKUP('Données projet'!$B$9,Paramètres!$A$1:$I$89,5,0)</f>
        <v>33.022080000000003</v>
      </c>
      <c r="P14" s="13">
        <f t="shared" si="33"/>
        <v>10.129025278332465</v>
      </c>
      <c r="Q14" s="20">
        <f t="shared" si="2"/>
        <v>75.154841693095705</v>
      </c>
      <c r="R14" s="59">
        <f t="shared" si="0"/>
        <v>345.26595280420685</v>
      </c>
      <c r="S14" s="59">
        <f ca="1">AVERAGE(OFFSET($R$3,0,0,'Données projet'!$E$9+1,1))-AVERAGE(OFFSET($H$3,0,0,'Données projet'!$E$9+1,1))</f>
        <v>368.41876532159154</v>
      </c>
      <c r="T14" s="59">
        <f t="shared" si="34"/>
        <v>369.39570124551125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12.3</v>
      </c>
      <c r="AI14" s="13">
        <f>IF('Données projet'!$A$62&gt;35,AI13+AH14-AQ13,IF(A14&lt;'Données projet'!$A$62,$AF$205^A14,IF(A14='Données projet'!$A$62,'Données projet'!$B$62,AI13+AH14-AQ13)))</f>
        <v>23.3</v>
      </c>
      <c r="AJ14" s="13">
        <f>AI14*VLOOKUP('Données projet'!$B$10,Paramètres!$A$1:$I$89,3,0)*VLOOKUP('Données projet'!$B$10,Paramètres!$A$1:$I$89,5,0)</f>
        <v>20.354880000000005</v>
      </c>
      <c r="AK14" s="13">
        <f t="shared" si="35"/>
        <v>6.6052854788130935</v>
      </c>
      <c r="AL14" s="20">
        <f t="shared" si="4"/>
        <v>46.955621542266151</v>
      </c>
      <c r="AM14" s="59">
        <f t="shared" si="5"/>
        <v>317.0667326533773</v>
      </c>
      <c r="AN14" s="59">
        <f ca="1">AVERAGE(OFFSET($AM$3,0,0,'Données projet'!$E$10+1,1))-AVERAGE(OFFSET($H$3,0,0,'Données projet'!$E$10+1,1))</f>
        <v>402.82278346470082</v>
      </c>
      <c r="AO14" s="59">
        <f t="shared" si="36"/>
        <v>440.17787299198977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9.5803232966244067</v>
      </c>
      <c r="BF14" s="13">
        <f t="shared" si="37"/>
        <v>3.3939041949894282</v>
      </c>
      <c r="BG14" s="20">
        <f t="shared" si="7"/>
        <v>22.596779547894098</v>
      </c>
      <c r="BH14" s="59">
        <f t="shared" si="8"/>
        <v>292.70789065900522</v>
      </c>
      <c r="BI14" s="59">
        <f ca="1">AVERAGE(OFFSET($BH$3,0,0,'Données projet'!$E$11+1,1))-AVERAGE(OFFSET($H$3,0,0,'Données projet'!$E$11+1,1))</f>
        <v>469.68830256438338</v>
      </c>
      <c r="BJ14" s="59">
        <f t="shared" si="38"/>
        <v>332.61387922152159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1.6</v>
      </c>
      <c r="BY14" s="12">
        <f>IF('Données projet'!$A$114&gt;35,BY13+BX14-CG13,IF(A14&lt;'Données projet'!$A$114,$BV$205^A14,IF(A14='Données projet'!$A$114,'Données projet'!$B$114,BY13+BX14-CG13)))</f>
        <v>6.7271713220297125</v>
      </c>
      <c r="BZ14" s="13">
        <f>BY14*VLOOKUP('Données projet'!$B$12,Paramètres!$A$1:$I$89,3,0)*VLOOKUP('Données projet'!$B$12,Paramètres!$A$1:$I$89,5,0)</f>
        <v>6.4015762300434744</v>
      </c>
      <c r="CA14" s="13">
        <f t="shared" si="39"/>
        <v>2.3767701727433463</v>
      </c>
      <c r="CB14" s="20">
        <f t="shared" si="10"/>
        <v>15.288953318187046</v>
      </c>
      <c r="CC14" s="59">
        <f t="shared" si="11"/>
        <v>285.4000644292982</v>
      </c>
      <c r="CD14" s="59">
        <f ca="1">AVERAGE(OFFSET($CC$3,0,0,'Données projet'!$E$12+1,1))-AVERAGE(OFFSET($H$3,0,0,'Données projet'!$E$12+1,1))</f>
        <v>609.40025883662452</v>
      </c>
      <c r="CE14" s="59">
        <f t="shared" si="40"/>
        <v>294.48909834404577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7.9</v>
      </c>
      <c r="CT14" s="12">
        <f>IF('Données projet'!$A$140&gt;35,CT13+CS14-DB13,IF(A14&lt;'Données projet'!$A$140,$CQ$205^A14,IF(A14='Données projet'!$A$140,'Données projet'!$B$140,CT13+CS14-DB13)))</f>
        <v>16.190542381779895</v>
      </c>
      <c r="CU14" s="17">
        <f>CT14*VLOOKUP('Données projet'!$B$13,Paramètres!$A$1:$I$89,3,0)*VLOOKUP('Données projet'!$B$13,Paramètres!$A$1:$I$89,5,0)</f>
        <v>7.5771738346729904</v>
      </c>
      <c r="CV14" s="13">
        <f t="shared" si="41"/>
        <v>2.7585742106736397</v>
      </c>
      <c r="CW14" s="20">
        <f t="shared" si="13"/>
        <v>18.001427845645381</v>
      </c>
      <c r="CX14" s="59">
        <f t="shared" si="14"/>
        <v>288.11253895675651</v>
      </c>
      <c r="CY14" s="59">
        <f ca="1">AVERAGE(OFFSET($CX$3,0,0,'Données projet'!$E$13+1,1))-AVERAGE(OFFSET($H$3,0,0,'Données projet'!$E$13+1,1))</f>
        <v>346.16623654404509</v>
      </c>
      <c r="CZ14" s="59">
        <f t="shared" si="42"/>
        <v>281.80933156559087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5.9</v>
      </c>
      <c r="DO14" s="12">
        <f>IF('Données projet'!$A$166&gt;35,DO13+DN14-DW13,IF(A14&lt;'Données projet'!$A$166,$DL$205^A14,IF(A14='Données projet'!$A$166,'Données projet'!$B$166,DO13+DN14-DW13)))</f>
        <v>13.789074055354174</v>
      </c>
      <c r="DP14" s="17">
        <f>DO14*VLOOKUP('Données projet'!$B$14,Paramètres!$A$1:$I$89,3,0)*VLOOKUP('Données projet'!$B$14,Paramètres!$A$1:$I$89,5,0)</f>
        <v>8.6043822105410044</v>
      </c>
      <c r="DQ14" s="13">
        <f t="shared" si="43"/>
        <v>3.0865291735155624</v>
      </c>
      <c r="DR14" s="20">
        <f t="shared" si="16"/>
        <v>20.361670660565185</v>
      </c>
      <c r="DS14" s="59">
        <f t="shared" si="17"/>
        <v>290.47278177167635</v>
      </c>
      <c r="DT14" s="59">
        <f ca="1">AVERAGE(OFFSET($DS$3,0,0,'Données projet'!$E$14+1,1))-AVERAGE(OFFSET($H$3,0,0,'Données projet'!$E$14+1,1))</f>
        <v>319.97171762304686</v>
      </c>
      <c r="DU14" s="59">
        <f t="shared" si="44"/>
        <v>337.89345858359621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3</v>
      </c>
      <c r="EJ14" s="12">
        <f>IF('Données projet'!$A$192&gt;35,EJ13+EI14-ER13,IF(A14&lt;'Données projet'!$A$192,$EG$205^A14,IF(A14='Données projet'!$A$192,'Données projet'!$B$192,EJ13+EI14-ER13)))</f>
        <v>26.706109521254486</v>
      </c>
      <c r="EK14" s="17">
        <f>EJ14*VLOOKUP('Données projet'!$B$15,Paramètres!$A$1:$I$89,3,0)*VLOOKUP('Données projet'!$B$15,Paramètres!$A$1:$I$89,5,0)</f>
        <v>15.970253493710185</v>
      </c>
      <c r="EL14" s="13">
        <f t="shared" si="45"/>
        <v>5.3308735361046251</v>
      </c>
      <c r="EM14" s="20">
        <f t="shared" si="19"/>
        <v>37.09946291026079</v>
      </c>
      <c r="EN14" s="59">
        <f t="shared" si="20"/>
        <v>307.21057402137194</v>
      </c>
      <c r="EO14" s="59">
        <f ca="1">AVERAGE(OFFSET($EN$3,0,0,'Données projet'!$E$15+1,1))-AVERAGE(OFFSET($H$3,0,0,'Données projet'!$E$15+1,1))</f>
        <v>258.46015871559956</v>
      </c>
      <c r="EP14" s="59">
        <f t="shared" si="46"/>
        <v>280.26155987300996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8.8000000000000007</v>
      </c>
      <c r="N15" s="13">
        <f>IF('Données projet'!$A$36&gt;35,N14+M15-V14,IF(A15&lt;'Données projet'!$A$36,$K$205^A15,IF(A15='Données projet'!$A$36,'Données projet'!$B$36,N14+M15-V14)))</f>
        <v>46.599999999999994</v>
      </c>
      <c r="O15" s="13">
        <f>N15*VLOOKUP('Données projet'!$B$9,Paramètres!$A$1:$I$89,3,0)*VLOOKUP('Données projet'!$B$9,Paramètres!$A$1:$I$89,5,0)</f>
        <v>40.709760000000003</v>
      </c>
      <c r="P15" s="13">
        <f t="shared" si="33"/>
        <v>12.186575870088381</v>
      </c>
      <c r="Q15" s="20">
        <f t="shared" si="2"/>
        <v>92.127784973737278</v>
      </c>
      <c r="R15" s="59">
        <f t="shared" si="0"/>
        <v>363.46111830707059</v>
      </c>
      <c r="S15" s="59">
        <f ca="1">AVERAGE(OFFSET($R$3,0,0,'Données projet'!$E$9+1,1))-AVERAGE(OFFSET($H$3,0,0,'Données projet'!$E$9+1,1))</f>
        <v>368.41876532159154</v>
      </c>
      <c r="T15" s="59">
        <f t="shared" si="34"/>
        <v>369.39570124551125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12.3</v>
      </c>
      <c r="AI15" s="13">
        <f>IF('Données projet'!$A$62&gt;35,AI14+AH15-AQ14,IF(A15&lt;'Données projet'!$A$62,$AF$205^A15,IF(A15='Données projet'!$A$62,'Données projet'!$B$62,AI14+AH15-AQ14)))</f>
        <v>35.6</v>
      </c>
      <c r="AJ15" s="13">
        <f>AI15*VLOOKUP('Données projet'!$B$10,Paramètres!$A$1:$I$89,3,0)*VLOOKUP('Données projet'!$B$10,Paramètres!$A$1:$I$89,5,0)</f>
        <v>31.100160000000006</v>
      </c>
      <c r="AK15" s="13">
        <f t="shared" si="35"/>
        <v>9.6063215338569279</v>
      </c>
      <c r="AL15" s="20">
        <f t="shared" si="4"/>
        <v>70.897122004800821</v>
      </c>
      <c r="AM15" s="59">
        <f t="shared" si="5"/>
        <v>342.23045533813411</v>
      </c>
      <c r="AN15" s="59">
        <f ca="1">AVERAGE(OFFSET($AM$3,0,0,'Données projet'!$E$10+1,1))-AVERAGE(OFFSET($H$3,0,0,'Données projet'!$E$10+1,1))</f>
        <v>402.82278346470082</v>
      </c>
      <c r="AO15" s="59">
        <f t="shared" si="36"/>
        <v>440.17787299198977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11.872612896942668</v>
      </c>
      <c r="BF15" s="13">
        <f t="shared" si="37"/>
        <v>4.1022411108131784</v>
      </c>
      <c r="BG15" s="20">
        <f t="shared" si="7"/>
        <v>27.822870730174767</v>
      </c>
      <c r="BH15" s="59">
        <f t="shared" si="8"/>
        <v>299.15620406350808</v>
      </c>
      <c r="BI15" s="59">
        <f ca="1">AVERAGE(OFFSET($BH$3,0,0,'Données projet'!$E$11+1,1))-AVERAGE(OFFSET($H$3,0,0,'Données projet'!$E$11+1,1))</f>
        <v>469.68830256438338</v>
      </c>
      <c r="BJ15" s="59">
        <f t="shared" si="38"/>
        <v>332.61387922152159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1.6</v>
      </c>
      <c r="BY15" s="12">
        <f>IF('Données projet'!$A$114&gt;35,BY14+BX15-CG14,IF(A15&lt;'Données projet'!$A$114,$BV$205^A15,IF(A15='Données projet'!$A$114,'Données projet'!$B$114,BY14+BX15-CG14)))</f>
        <v>7.9999999999999947</v>
      </c>
      <c r="BZ15" s="13">
        <f>BY15*VLOOKUP('Données projet'!$B$12,Paramètres!$A$1:$I$89,3,0)*VLOOKUP('Données projet'!$B$12,Paramètres!$A$1:$I$89,5,0)</f>
        <v>7.6127999999999947</v>
      </c>
      <c r="CA15" s="13">
        <f t="shared" si="39"/>
        <v>2.7700315442197656</v>
      </c>
      <c r="CB15" s="20">
        <f t="shared" si="10"/>
        <v>18.083431606182749</v>
      </c>
      <c r="CC15" s="59">
        <f t="shared" si="11"/>
        <v>289.41676493951604</v>
      </c>
      <c r="CD15" s="59">
        <f ca="1">AVERAGE(OFFSET($CC$3,0,0,'Données projet'!$E$12+1,1))-AVERAGE(OFFSET($H$3,0,0,'Données projet'!$E$12+1,1))</f>
        <v>609.40025883662452</v>
      </c>
      <c r="CE15" s="59">
        <f t="shared" si="40"/>
        <v>294.48909834404577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7.9</v>
      </c>
      <c r="CT15" s="12">
        <f>IF('Données projet'!$A$140&gt;35,CT14+CS15-DB14,IF(A15&lt;'Données projet'!$A$140,$CQ$205^A15,IF(A15='Données projet'!$A$140,'Données projet'!$B$140,CT14+CS15-DB14)))</f>
        <v>20.854234472198982</v>
      </c>
      <c r="CU15" s="17">
        <f>CT15*VLOOKUP('Données projet'!$B$13,Paramètres!$A$1:$I$89,3,0)*VLOOKUP('Données projet'!$B$13,Paramètres!$A$1:$I$89,5,0)</f>
        <v>9.7597817329891239</v>
      </c>
      <c r="CV15" s="13">
        <f t="shared" si="41"/>
        <v>3.4500178483814818</v>
      </c>
      <c r="CW15" s="20">
        <f t="shared" si="13"/>
        <v>23.00706760422047</v>
      </c>
      <c r="CX15" s="59">
        <f t="shared" si="14"/>
        <v>294.3404009375538</v>
      </c>
      <c r="CY15" s="59">
        <f ca="1">AVERAGE(OFFSET($CX$3,0,0,'Données projet'!$E$13+1,1))-AVERAGE(OFFSET($H$3,0,0,'Données projet'!$E$13+1,1))</f>
        <v>346.16623654404509</v>
      </c>
      <c r="CZ15" s="59">
        <f t="shared" si="42"/>
        <v>281.80933156559087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5.9</v>
      </c>
      <c r="DO15" s="12">
        <f>IF('Données projet'!$A$166&gt;35,DO14+DN15-DW14,IF(A15&lt;'Données projet'!$A$166,$DL$205^A15,IF(A15='Données projet'!$A$166,'Données projet'!$B$166,DO14+DN15-DW14)))</f>
        <v>17.503673526135408</v>
      </c>
      <c r="DP15" s="17">
        <f>DO15*VLOOKUP('Données projet'!$B$14,Paramètres!$A$1:$I$89,3,0)*VLOOKUP('Données projet'!$B$14,Paramètres!$A$1:$I$89,5,0)</f>
        <v>10.922292280308493</v>
      </c>
      <c r="DQ15" s="13">
        <f t="shared" si="43"/>
        <v>3.8107120501854101</v>
      </c>
      <c r="DR15" s="20">
        <f t="shared" si="16"/>
        <v>25.659982542276879</v>
      </c>
      <c r="DS15" s="59">
        <f t="shared" si="17"/>
        <v>296.99331587561016</v>
      </c>
      <c r="DT15" s="59">
        <f ca="1">AVERAGE(OFFSET($DS$3,0,0,'Données projet'!$E$14+1,1))-AVERAGE(OFFSET($H$3,0,0,'Données projet'!$E$14+1,1))</f>
        <v>319.97171762304686</v>
      </c>
      <c r="DU15" s="59">
        <f t="shared" si="44"/>
        <v>337.89345858359621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>
        <f>VLOOKUP(A15,'Données projet'!$A$191:$I$211,2,0)</f>
        <v>36</v>
      </c>
      <c r="EH15" s="12">
        <f>VLOOKUP(A15,'Données projet'!$A$191:$I$211,9,0)</f>
        <v>3</v>
      </c>
      <c r="EI15" s="12">
        <f t="array" ref="EI15">INDEX(EH:EH,MIN(IF(ISNUMBER(EH15:EH211),ROW(EH15:EH211),"")))</f>
        <v>3</v>
      </c>
      <c r="EJ15" s="12">
        <f>IF('Données projet'!$A$192&gt;35,EJ14+EI15-ER14,IF(A15&lt;'Données projet'!$A$192,$EG$205^A15,IF(A15='Données projet'!$A$192,'Données projet'!$B$192,EJ14+EI15-ER14)))</f>
        <v>36</v>
      </c>
      <c r="EK15" s="17">
        <f>EJ15*VLOOKUP('Données projet'!$B$15,Paramètres!$A$1:$I$89,3,0)*VLOOKUP('Données projet'!$B$15,Paramètres!$A$1:$I$89,5,0)</f>
        <v>21.528000000000002</v>
      </c>
      <c r="EL15" s="13">
        <f t="shared" si="45"/>
        <v>6.9405537312613621</v>
      </c>
      <c r="EM15" s="20">
        <f t="shared" si="19"/>
        <v>49.582731081946882</v>
      </c>
      <c r="EN15" s="59">
        <f t="shared" si="20"/>
        <v>320.91606441528018</v>
      </c>
      <c r="EO15" s="59">
        <f ca="1">AVERAGE(OFFSET($EN$3,0,0,'Données projet'!$E$15+1,1))-AVERAGE(OFFSET($H$3,0,0,'Données projet'!$E$15+1,1))</f>
        <v>258.46015871559956</v>
      </c>
      <c r="EP15" s="59">
        <f t="shared" si="46"/>
        <v>280.26155987300996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8.8000000000000007</v>
      </c>
      <c r="N16" s="13">
        <f>IF('Données projet'!$A$36&gt;35,N15+M16-V15,IF(A16&lt;'Données projet'!$A$36,$K$205^A16,IF(A16='Données projet'!$A$36,'Données projet'!$B$36,N15+M16-V15)))</f>
        <v>55.399999999999991</v>
      </c>
      <c r="O16" s="13">
        <f>N16*VLOOKUP('Données projet'!$B$9,Paramètres!$A$1:$I$89,3,0)*VLOOKUP('Données projet'!$B$9,Paramètres!$A$1:$I$89,5,0)</f>
        <v>48.397439999999996</v>
      </c>
      <c r="P16" s="13">
        <f t="shared" si="33"/>
        <v>14.199110166340073</v>
      </c>
      <c r="Q16" s="20">
        <f t="shared" si="2"/>
        <v>109.02232487304228</v>
      </c>
      <c r="R16" s="59">
        <f t="shared" si="0"/>
        <v>381.57788042859784</v>
      </c>
      <c r="S16" s="59">
        <f ca="1">AVERAGE(OFFSET($R$3,0,0,'Données projet'!$E$9+1,1))-AVERAGE(OFFSET($H$3,0,0,'Données projet'!$E$9+1,1))</f>
        <v>368.41876532159154</v>
      </c>
      <c r="T16" s="59">
        <f t="shared" si="34"/>
        <v>369.39570124551125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12.3</v>
      </c>
      <c r="AI16" s="13">
        <f>IF('Données projet'!$A$62&gt;35,AI15+AH16-AQ15,IF(A16&lt;'Données projet'!$A$62,$AF$205^A16,IF(A16='Données projet'!$A$62,'Données projet'!$B$62,AI15+AH16-AQ15)))</f>
        <v>47.900000000000006</v>
      </c>
      <c r="AJ16" s="13">
        <f>AI16*VLOOKUP('Données projet'!$B$10,Paramètres!$A$1:$I$89,3,0)*VLOOKUP('Données projet'!$B$10,Paramètres!$A$1:$I$89,5,0)</f>
        <v>41.845440000000011</v>
      </c>
      <c r="AK16" s="13">
        <f t="shared" si="35"/>
        <v>12.486489614680709</v>
      </c>
      <c r="AL16" s="20">
        <f t="shared" si="4"/>
        <v>94.628110745568904</v>
      </c>
      <c r="AM16" s="59">
        <f t="shared" si="5"/>
        <v>367.18366630112445</v>
      </c>
      <c r="AN16" s="59">
        <f ca="1">AVERAGE(OFFSET($AM$3,0,0,'Données projet'!$E$10+1,1))-AVERAGE(OFFSET($H$3,0,0,'Données projet'!$E$10+1,1))</f>
        <v>402.82278346470082</v>
      </c>
      <c r="AO16" s="59">
        <f t="shared" si="36"/>
        <v>440.17787299198977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14.713379980643843</v>
      </c>
      <c r="BF16" s="13">
        <f t="shared" si="37"/>
        <v>4.9584140165447881</v>
      </c>
      <c r="BG16" s="20">
        <f t="shared" si="7"/>
        <v>34.261707878436859</v>
      </c>
      <c r="BH16" s="59">
        <f t="shared" si="8"/>
        <v>306.81726343399242</v>
      </c>
      <c r="BI16" s="59">
        <f ca="1">AVERAGE(OFFSET($BH$3,0,0,'Données projet'!$E$11+1,1))-AVERAGE(OFFSET($H$3,0,0,'Données projet'!$E$11+1,1))</f>
        <v>469.68830256438338</v>
      </c>
      <c r="BJ16" s="59">
        <f t="shared" si="38"/>
        <v>332.61387922152159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1.6</v>
      </c>
      <c r="BY16" s="12">
        <f>IF('Données projet'!$A$114&gt;35,BY15+BX16-CG15,IF(A16&lt;'Données projet'!$A$114,$BV$205^A16,IF(A16='Données projet'!$A$114,'Données projet'!$B$114,BY15+BX16-CG15)))</f>
        <v>9.5136569200217629</v>
      </c>
      <c r="BZ16" s="13">
        <f>BY16*VLOOKUP('Données projet'!$B$12,Paramètres!$A$1:$I$89,3,0)*VLOOKUP('Données projet'!$B$12,Paramètres!$A$1:$I$89,5,0)</f>
        <v>9.0531959250927105</v>
      </c>
      <c r="CA16" s="13">
        <f t="shared" si="39"/>
        <v>3.2283621041558384</v>
      </c>
      <c r="CB16" s="20">
        <f t="shared" si="10"/>
        <v>21.390380234274556</v>
      </c>
      <c r="CC16" s="59">
        <f t="shared" si="11"/>
        <v>293.94593578983012</v>
      </c>
      <c r="CD16" s="59">
        <f ca="1">AVERAGE(OFFSET($CC$3,0,0,'Données projet'!$E$12+1,1))-AVERAGE(OFFSET($H$3,0,0,'Données projet'!$E$12+1,1))</f>
        <v>609.40025883662452</v>
      </c>
      <c r="CE16" s="59">
        <f t="shared" si="40"/>
        <v>294.48909834404577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7.9</v>
      </c>
      <c r="CT16" s="12">
        <f>IF('Données projet'!$A$140&gt;35,CT15+CS16-DB15,IF(A16&lt;'Données projet'!$A$140,$CQ$205^A16,IF(A16='Données projet'!$A$140,'Données projet'!$B$140,CT15+CS16-DB15)))</f>
        <v>26.861304900499697</v>
      </c>
      <c r="CU16" s="17">
        <f>CT16*VLOOKUP('Données projet'!$B$13,Paramètres!$A$1:$I$89,3,0)*VLOOKUP('Données projet'!$B$13,Paramètres!$A$1:$I$89,5,0)</f>
        <v>12.571090693433858</v>
      </c>
      <c r="CV16" s="13">
        <f t="shared" si="41"/>
        <v>4.3147735914069099</v>
      </c>
      <c r="CW16" s="20">
        <f t="shared" si="13"/>
        <v>29.409546962764335</v>
      </c>
      <c r="CX16" s="59">
        <f t="shared" si="14"/>
        <v>301.9651025183199</v>
      </c>
      <c r="CY16" s="59">
        <f ca="1">AVERAGE(OFFSET($CX$3,0,0,'Données projet'!$E$13+1,1))-AVERAGE(OFFSET($H$3,0,0,'Données projet'!$E$13+1,1))</f>
        <v>346.16623654404509</v>
      </c>
      <c r="CZ16" s="59">
        <f t="shared" si="42"/>
        <v>281.80933156559087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5.9</v>
      </c>
      <c r="DO16" s="12">
        <f>IF('Données projet'!$A$166&gt;35,DO15+DN16-DW15,IF(A16&lt;'Données projet'!$A$166,$DL$205^A16,IF(A16='Données projet'!$A$166,'Données projet'!$B$166,DO15+DN16-DW15)))</f>
        <v>22.218938391339591</v>
      </c>
      <c r="DP16" s="17">
        <f>DO16*VLOOKUP('Données projet'!$B$14,Paramètres!$A$1:$I$89,3,0)*VLOOKUP('Données projet'!$B$14,Paramètres!$A$1:$I$89,5,0)</f>
        <v>13.864617556195904</v>
      </c>
      <c r="DQ16" s="13">
        <f t="shared" si="43"/>
        <v>4.7048077348604007</v>
      </c>
      <c r="DR16" s="20">
        <f t="shared" si="16"/>
        <v>32.341749048589733</v>
      </c>
      <c r="DS16" s="59">
        <f t="shared" si="17"/>
        <v>304.89730460414529</v>
      </c>
      <c r="DT16" s="59">
        <f ca="1">AVERAGE(OFFSET($DS$3,0,0,'Données projet'!$E$14+1,1))-AVERAGE(OFFSET($H$3,0,0,'Données projet'!$E$14+1,1))</f>
        <v>319.97171762304686</v>
      </c>
      <c r="DU16" s="59">
        <f t="shared" si="44"/>
        <v>337.89345858359621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11.25</v>
      </c>
      <c r="EJ16" s="12">
        <f>IF('Données projet'!$A$192&gt;35,EJ15+EI16-ER15,IF(A16&lt;'Données projet'!$A$192,$EG$205^A16,IF(A16='Données projet'!$A$192,'Données projet'!$B$192,EJ15+EI16-ER15)))</f>
        <v>47.25</v>
      </c>
      <c r="EK16" s="17">
        <f>EJ16*VLOOKUP('Données projet'!$B$15,Paramètres!$A$1:$I$89,3,0)*VLOOKUP('Données projet'!$B$15,Paramètres!$A$1:$I$89,5,0)</f>
        <v>28.255500000000001</v>
      </c>
      <c r="EL16" s="13">
        <f t="shared" si="45"/>
        <v>8.8256494369710552</v>
      </c>
      <c r="EM16" s="20">
        <f t="shared" si="19"/>
        <v>64.583001936057926</v>
      </c>
      <c r="EN16" s="59">
        <f t="shared" si="20"/>
        <v>337.13855749161348</v>
      </c>
      <c r="EO16" s="59">
        <f ca="1">AVERAGE(OFFSET($EN$3,0,0,'Données projet'!$E$15+1,1))-AVERAGE(OFFSET($H$3,0,0,'Données projet'!$E$15+1,1))</f>
        <v>258.46015871559956</v>
      </c>
      <c r="EP16" s="59">
        <f t="shared" si="46"/>
        <v>280.26155987300996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8.8000000000000007</v>
      </c>
      <c r="N17" s="13">
        <f>IF('Données projet'!$A$36&gt;35,N16+M17-V16,IF(A17&lt;'Données projet'!$A$36,$K$205^A17,IF(A17='Données projet'!$A$36,'Données projet'!$B$36,N16+M17-V16)))</f>
        <v>64.199999999999989</v>
      </c>
      <c r="O17" s="13">
        <f>N17*VLOOKUP('Données projet'!$B$9,Paramètres!$A$1:$I$89,3,0)*VLOOKUP('Données projet'!$B$9,Paramètres!$A$1:$I$89,5,0)</f>
        <v>56.085119999999996</v>
      </c>
      <c r="P17" s="13">
        <f t="shared" si="33"/>
        <v>16.174611252215492</v>
      </c>
      <c r="Q17" s="20">
        <f t="shared" si="2"/>
        <v>125.85236526427531</v>
      </c>
      <c r="R17" s="59">
        <f t="shared" si="0"/>
        <v>399.63014304205308</v>
      </c>
      <c r="S17" s="59">
        <f ca="1">AVERAGE(OFFSET($R$3,0,0,'Données projet'!$E$9+1,1))-AVERAGE(OFFSET($H$3,0,0,'Données projet'!$E$9+1,1))</f>
        <v>368.41876532159154</v>
      </c>
      <c r="T17" s="59">
        <f t="shared" si="34"/>
        <v>369.39570124551125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12.3</v>
      </c>
      <c r="AI17" s="13">
        <f>IF('Données projet'!$A$62&gt;35,AI16+AH17-AQ16,IF(A17&lt;'Données projet'!$A$62,$AF$205^A17,IF(A17='Données projet'!$A$62,'Données projet'!$B$62,AI16+AH17-AQ16)))</f>
        <v>60.2</v>
      </c>
      <c r="AJ17" s="13">
        <f>AI17*VLOOKUP('Données projet'!$B$10,Paramètres!$A$1:$I$89,3,0)*VLOOKUP('Données projet'!$B$10,Paramètres!$A$1:$I$89,5,0)</f>
        <v>52.590720000000005</v>
      </c>
      <c r="AK17" s="13">
        <f t="shared" si="35"/>
        <v>15.280844641052973</v>
      </c>
      <c r="AL17" s="20">
        <f t="shared" si="4"/>
        <v>118.20964174983392</v>
      </c>
      <c r="AM17" s="59">
        <f t="shared" si="5"/>
        <v>391.98741952761168</v>
      </c>
      <c r="AN17" s="59">
        <f ca="1">AVERAGE(OFFSET($AM$3,0,0,'Données projet'!$E$10+1,1))-AVERAGE(OFFSET($H$3,0,0,'Données projet'!$E$10+1,1))</f>
        <v>402.82278346470082</v>
      </c>
      <c r="AO17" s="59">
        <f t="shared" si="36"/>
        <v>440.17787299198977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18.233859078363277</v>
      </c>
      <c r="BF17" s="13">
        <f t="shared" si="37"/>
        <v>5.9932775513027368</v>
      </c>
      <c r="BG17" s="20">
        <f t="shared" si="7"/>
        <v>42.195596296668306</v>
      </c>
      <c r="BH17" s="59">
        <f t="shared" si="8"/>
        <v>315.9733740744461</v>
      </c>
      <c r="BI17" s="59">
        <f ca="1">AVERAGE(OFFSET($BH$3,0,0,'Données projet'!$E$11+1,1))-AVERAGE(OFFSET($H$3,0,0,'Données projet'!$E$11+1,1))</f>
        <v>469.68830256438338</v>
      </c>
      <c r="BJ17" s="59">
        <f t="shared" si="38"/>
        <v>332.61387922152159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1.6</v>
      </c>
      <c r="BY17" s="12">
        <f>IF('Données projet'!$A$114&gt;35,BY16+BX17-CG16,IF(A17&lt;'Données projet'!$A$114,$BV$205^A17,IF(A17='Données projet'!$A$114,'Données projet'!$B$114,BY16+BX17-CG16)))</f>
        <v>11.313708498984752</v>
      </c>
      <c r="BZ17" s="13">
        <f>BY17*VLOOKUP('Données projet'!$B$12,Paramètres!$A$1:$I$89,3,0)*VLOOKUP('Données projet'!$B$12,Paramètres!$A$1:$I$89,5,0)</f>
        <v>10.766125007633891</v>
      </c>
      <c r="CA17" s="13">
        <f t="shared" si="39"/>
        <v>3.7625282272679526</v>
      </c>
      <c r="CB17" s="20">
        <f t="shared" si="10"/>
        <v>25.304071050787371</v>
      </c>
      <c r="CC17" s="59">
        <f t="shared" si="11"/>
        <v>299.08184882856517</v>
      </c>
      <c r="CD17" s="59">
        <f ca="1">AVERAGE(OFFSET($CC$3,0,0,'Données projet'!$E$12+1,1))-AVERAGE(OFFSET($H$3,0,0,'Données projet'!$E$12+1,1))</f>
        <v>609.40025883662452</v>
      </c>
      <c r="CE17" s="59">
        <f t="shared" si="40"/>
        <v>294.48909834404577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7.9</v>
      </c>
      <c r="CT17" s="12">
        <f>IF('Données projet'!$A$140&gt;35,CT16+CS17-DB16,IF(A17&lt;'Données projet'!$A$140,$CQ$205^A17,IF(A17='Données projet'!$A$140,'Données projet'!$B$140,CT16+CS17-DB16)))</f>
        <v>34.598714324397214</v>
      </c>
      <c r="CU17" s="17">
        <f>CT17*VLOOKUP('Données projet'!$B$13,Paramètres!$A$1:$I$89,3,0)*VLOOKUP('Données projet'!$B$13,Paramètres!$A$1:$I$89,5,0)</f>
        <v>16.192198303817896</v>
      </c>
      <c r="CV17" s="13">
        <f t="shared" si="41"/>
        <v>5.3962825594761723</v>
      </c>
      <c r="CW17" s="20">
        <f t="shared" si="13"/>
        <v>37.599937503570509</v>
      </c>
      <c r="CX17" s="59">
        <f t="shared" si="14"/>
        <v>311.37771528134829</v>
      </c>
      <c r="CY17" s="59">
        <f ca="1">AVERAGE(OFFSET($CX$3,0,0,'Données projet'!$E$13+1,1))-AVERAGE(OFFSET($H$3,0,0,'Données projet'!$E$13+1,1))</f>
        <v>346.16623654404509</v>
      </c>
      <c r="CZ17" s="59">
        <f t="shared" si="42"/>
        <v>281.80933156559087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5.9</v>
      </c>
      <c r="DO17" s="12">
        <f>IF('Données projet'!$A$166&gt;35,DO16+DN17-DW16,IF(A17&lt;'Données projet'!$A$166,$DL$205^A17,IF(A17='Données projet'!$A$166,'Données projet'!$B$166,DO16+DN17-DW16)))</f>
        <v>28.204435057647181</v>
      </c>
      <c r="DP17" s="17">
        <f>DO17*VLOOKUP('Données projet'!$B$14,Paramètres!$A$1:$I$89,3,0)*VLOOKUP('Données projet'!$B$14,Paramètres!$A$1:$I$89,5,0)</f>
        <v>17.599567475971842</v>
      </c>
      <c r="DQ17" s="13">
        <f t="shared" si="43"/>
        <v>5.8086823487293593</v>
      </c>
      <c r="DR17" s="20">
        <f t="shared" si="16"/>
        <v>40.76936844468792</v>
      </c>
      <c r="DS17" s="59">
        <f t="shared" si="17"/>
        <v>314.5471462224657</v>
      </c>
      <c r="DT17" s="59">
        <f ca="1">AVERAGE(OFFSET($DS$3,0,0,'Données projet'!$E$14+1,1))-AVERAGE(OFFSET($H$3,0,0,'Données projet'!$E$14+1,1))</f>
        <v>319.97171762304686</v>
      </c>
      <c r="DU17" s="59">
        <f t="shared" si="44"/>
        <v>337.89345858359621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11.25</v>
      </c>
      <c r="EJ17" s="12">
        <f>IF('Données projet'!$A$192&gt;35,EJ16+EI17-ER16,IF(A17&lt;'Données projet'!$A$192,$EG$205^A17,IF(A17='Données projet'!$A$192,'Données projet'!$B$192,EJ16+EI17-ER16)))</f>
        <v>58.5</v>
      </c>
      <c r="EK17" s="17">
        <f>EJ17*VLOOKUP('Données projet'!$B$15,Paramètres!$A$1:$I$89,3,0)*VLOOKUP('Données projet'!$B$15,Paramètres!$A$1:$I$89,5,0)</f>
        <v>34.983000000000004</v>
      </c>
      <c r="EL17" s="13">
        <f t="shared" si="45"/>
        <v>10.658697928430266</v>
      </c>
      <c r="EM17" s="20">
        <f t="shared" si="19"/>
        <v>79.492623892016056</v>
      </c>
      <c r="EN17" s="59">
        <f t="shared" si="20"/>
        <v>353.27040166979384</v>
      </c>
      <c r="EO17" s="59">
        <f ca="1">AVERAGE(OFFSET($EN$3,0,0,'Données projet'!$E$15+1,1))-AVERAGE(OFFSET($H$3,0,0,'Données projet'!$E$15+1,1))</f>
        <v>258.46015871559956</v>
      </c>
      <c r="EP17" s="59">
        <f t="shared" si="46"/>
        <v>280.26155987300996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73</v>
      </c>
      <c r="L18" s="12">
        <f>VLOOKUP(A18,'Données projet'!$A$35:$I$55,9,0)</f>
        <v>8.8000000000000007</v>
      </c>
      <c r="M18" s="12">
        <f t="array" ref="M18">INDEX(L:L,MIN(IF(ISNUMBER(L18:L214),ROW(L18:L214),"")))</f>
        <v>8.8000000000000007</v>
      </c>
      <c r="N18" s="13">
        <f>IF('Données projet'!$A$36&gt;35,N17+M18-V17,IF(A18&lt;'Données projet'!$A$36,$K$205^A18,IF(A18='Données projet'!$A$36,'Données projet'!$B$36,N17+M18-V17)))</f>
        <v>72.999999999999986</v>
      </c>
      <c r="O18" s="13">
        <f>N18*VLOOKUP('Données projet'!$B$9,Paramètres!$A$1:$I$89,3,0)*VLOOKUP('Données projet'!$B$9,Paramètres!$A$1:$I$89,5,0)</f>
        <v>63.772799999999997</v>
      </c>
      <c r="P18" s="13">
        <f t="shared" si="33"/>
        <v>18.118739450759566</v>
      </c>
      <c r="Q18" s="20">
        <f t="shared" si="2"/>
        <v>142.62776454340624</v>
      </c>
      <c r="R18" s="59">
        <f t="shared" si="0"/>
        <v>417.62776454340622</v>
      </c>
      <c r="S18" s="59">
        <f ca="1">AVERAGE(OFFSET($R$3,0,0,'Données projet'!$E$9+1,1))-AVERAGE(OFFSET($H$3,0,0,'Données projet'!$E$9+1,1))</f>
        <v>368.41876532159154</v>
      </c>
      <c r="T18" s="59">
        <f t="shared" si="34"/>
        <v>369.39570124551125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0.1075</v>
      </c>
      <c r="Y18" s="16">
        <f>IF(ISNA(VLOOKUP(A18,'Données projet'!$A$35:$I$55,7,0)),0%,VLOOKUP(A18,'Données projet'!$A$35:$I$55,7,0))</f>
        <v>0.25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12.3</v>
      </c>
      <c r="AI18" s="13">
        <f>IF('Données projet'!$A$62&gt;35,AI17+AH18-AQ17,IF(A18&lt;'Données projet'!$A$62,$AF$205^A18,IF(A18='Données projet'!$A$62,'Données projet'!$B$62,AI17+AH18-AQ17)))</f>
        <v>72.5</v>
      </c>
      <c r="AJ18" s="13">
        <f>AI18*VLOOKUP('Données projet'!$B$10,Paramètres!$A$1:$I$89,3,0)*VLOOKUP('Données projet'!$B$10,Paramètres!$A$1:$I$89,5,0)</f>
        <v>63.336000000000006</v>
      </c>
      <c r="AK18" s="13">
        <f t="shared" si="35"/>
        <v>18.009040022946227</v>
      </c>
      <c r="AL18" s="20">
        <f t="shared" si="4"/>
        <v>141.67594470663138</v>
      </c>
      <c r="AM18" s="59">
        <f t="shared" si="5"/>
        <v>416.67594470663141</v>
      </c>
      <c r="AN18" s="59">
        <f ca="1">AVERAGE(OFFSET($AM$3,0,0,'Données projet'!$E$10+1,1))-AVERAGE(OFFSET($H$3,0,0,'Données projet'!$E$10+1,1))</f>
        <v>402.82278346470082</v>
      </c>
      <c r="AO18" s="59">
        <f t="shared" si="36"/>
        <v>440.17787299198977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22.596685284210423</v>
      </c>
      <c r="BF18" s="13">
        <f t="shared" si="37"/>
        <v>7.2441259820371586</v>
      </c>
      <c r="BG18" s="20">
        <f t="shared" si="7"/>
        <v>51.972746288714539</v>
      </c>
      <c r="BH18" s="59">
        <f t="shared" si="8"/>
        <v>326.97274628871452</v>
      </c>
      <c r="BI18" s="59">
        <f ca="1">AVERAGE(OFFSET($BH$3,0,0,'Données projet'!$E$11+1,1))-AVERAGE(OFFSET($H$3,0,0,'Données projet'!$E$11+1,1))</f>
        <v>469.68830256438338</v>
      </c>
      <c r="BJ18" s="59">
        <f t="shared" si="38"/>
        <v>332.61387922152159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1.6</v>
      </c>
      <c r="BY18" s="12">
        <f>IF('Données projet'!$A$114&gt;35,BY17+BX18-CG17,IF(A18&lt;'Données projet'!$A$114,$BV$205^A18,IF(A18='Données projet'!$A$114,'Données projet'!$B$114,BY17+BX18-CG17)))</f>
        <v>13.454342644059421</v>
      </c>
      <c r="BZ18" s="13">
        <f>BY18*VLOOKUP('Données projet'!$B$12,Paramètres!$A$1:$I$89,3,0)*VLOOKUP('Données projet'!$B$12,Paramètres!$A$1:$I$89,5,0)</f>
        <v>12.803152460086945</v>
      </c>
      <c r="CA18" s="13">
        <f t="shared" si="39"/>
        <v>4.3850776970664018</v>
      </c>
      <c r="CB18" s="20">
        <f t="shared" si="10"/>
        <v>29.936167523708747</v>
      </c>
      <c r="CC18" s="59">
        <f t="shared" si="11"/>
        <v>304.93616752370872</v>
      </c>
      <c r="CD18" s="59">
        <f ca="1">AVERAGE(OFFSET($CC$3,0,0,'Données projet'!$E$12+1,1))-AVERAGE(OFFSET($H$3,0,0,'Données projet'!$E$12+1,1))</f>
        <v>609.40025883662452</v>
      </c>
      <c r="CE18" s="59">
        <f t="shared" si="40"/>
        <v>294.48909834404577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7.9</v>
      </c>
      <c r="CT18" s="12">
        <f>IF('Données projet'!$A$140&gt;35,CT17+CS18-DB17,IF(A18&lt;'Données projet'!$A$140,$CQ$205^A18,IF(A18='Données projet'!$A$140,'Données projet'!$B$140,CT17+CS18-DB17)))</f>
        <v>44.564887571004775</v>
      </c>
      <c r="CU18" s="17">
        <f>CT18*VLOOKUP('Données projet'!$B$13,Paramètres!$A$1:$I$89,3,0)*VLOOKUP('Données projet'!$B$13,Paramètres!$A$1:$I$89,5,0)</f>
        <v>20.856367383230236</v>
      </c>
      <c r="CV18" s="13">
        <f t="shared" si="41"/>
        <v>6.7488744993944465</v>
      </c>
      <c r="CW18" s="20">
        <f t="shared" si="13"/>
        <v>48.079129612237985</v>
      </c>
      <c r="CX18" s="59">
        <f t="shared" si="14"/>
        <v>323.07912961223798</v>
      </c>
      <c r="CY18" s="59">
        <f ca="1">AVERAGE(OFFSET($CX$3,0,0,'Données projet'!$E$13+1,1))-AVERAGE(OFFSET($H$3,0,0,'Données projet'!$E$13+1,1))</f>
        <v>346.16623654404509</v>
      </c>
      <c r="CZ18" s="59">
        <f t="shared" si="42"/>
        <v>281.80933156559087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5.9</v>
      </c>
      <c r="DO18" s="12">
        <f>IF('Données projet'!$A$166&gt;35,DO17+DN18-DW17,IF(A18&lt;'Données projet'!$A$166,$DL$205^A18,IF(A18='Données projet'!$A$166,'Données projet'!$B$166,DO17+DN18-DW17)))</f>
        <v>35.802347659917913</v>
      </c>
      <c r="DP18" s="17">
        <f>DO18*VLOOKUP('Données projet'!$B$14,Paramètres!$A$1:$I$89,3,0)*VLOOKUP('Données projet'!$B$14,Paramètres!$A$1:$I$89,5,0)</f>
        <v>22.34066493978878</v>
      </c>
      <c r="DQ18" s="13">
        <f t="shared" si="43"/>
        <v>7.1715556787659356</v>
      </c>
      <c r="DR18" s="20">
        <f t="shared" si="16"/>
        <v>51.400450910649454</v>
      </c>
      <c r="DS18" s="59">
        <f t="shared" si="17"/>
        <v>326.40045091064945</v>
      </c>
      <c r="DT18" s="59">
        <f ca="1">AVERAGE(OFFSET($DS$3,0,0,'Données projet'!$E$14+1,1))-AVERAGE(OFFSET($H$3,0,0,'Données projet'!$E$14+1,1))</f>
        <v>319.97171762304686</v>
      </c>
      <c r="DU18" s="59">
        <f t="shared" si="44"/>
        <v>337.89345858359621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11.25</v>
      </c>
      <c r="EJ18" s="12">
        <f>IF('Données projet'!$A$192&gt;35,EJ17+EI18-ER17,IF(A18&lt;'Données projet'!$A$192,$EG$205^A18,IF(A18='Données projet'!$A$192,'Données projet'!$B$192,EJ17+EI18-ER17)))</f>
        <v>69.75</v>
      </c>
      <c r="EK18" s="17">
        <f>EJ18*VLOOKUP('Données projet'!$B$15,Paramètres!$A$1:$I$89,3,0)*VLOOKUP('Données projet'!$B$15,Paramètres!$A$1:$I$89,5,0)</f>
        <v>41.710500000000003</v>
      </c>
      <c r="EL18" s="13">
        <f t="shared" si="45"/>
        <v>12.450904347349248</v>
      </c>
      <c r="EM18" s="20">
        <f t="shared" si="19"/>
        <v>94.331112571633255</v>
      </c>
      <c r="EN18" s="59">
        <f t="shared" si="20"/>
        <v>369.33111257163324</v>
      </c>
      <c r="EO18" s="59">
        <f ca="1">AVERAGE(OFFSET($EN$3,0,0,'Données projet'!$E$15+1,1))-AVERAGE(OFFSET($H$3,0,0,'Données projet'!$E$15+1,1))</f>
        <v>258.46015871559956</v>
      </c>
      <c r="EP18" s="59">
        <f t="shared" si="46"/>
        <v>280.26155987300996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11.2</v>
      </c>
      <c r="N19" s="13">
        <f>IF('Données projet'!$A$36&gt;35,N18+M19-V18,IF(A19&lt;'Données projet'!$A$36,$K$205^A19,IF(A19='Données projet'!$A$36,'Données projet'!$B$36,N18+M19-V18)))</f>
        <v>84.199999999999989</v>
      </c>
      <c r="O19" s="13">
        <f>N19*VLOOKUP('Données projet'!$B$9,Paramètres!$A$1:$I$89,3,0)*VLOOKUP('Données projet'!$B$9,Paramètres!$A$1:$I$89,5,0)</f>
        <v>73.557119999999998</v>
      </c>
      <c r="P19" s="13">
        <f t="shared" si="33"/>
        <v>20.554251427792224</v>
      </c>
      <c r="Q19" s="20">
        <f t="shared" si="2"/>
        <v>163.91063857007143</v>
      </c>
      <c r="R19" s="59">
        <f t="shared" si="0"/>
        <v>440.13286079229363</v>
      </c>
      <c r="S19" s="59">
        <f ca="1">AVERAGE(OFFSET($R$3,0,0,'Données projet'!$E$9+1,1))-AVERAGE(OFFSET($H$3,0,0,'Données projet'!$E$9+1,1))</f>
        <v>368.41876532159154</v>
      </c>
      <c r="T19" s="59">
        <f t="shared" si="34"/>
        <v>369.39570124551125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12.3</v>
      </c>
      <c r="AI19" s="13">
        <f>IF('Données projet'!$A$62&gt;35,AI18+AH19-AQ18,IF(A19&lt;'Données projet'!$A$62,$AF$205^A19,IF(A19='Données projet'!$A$62,'Données projet'!$B$62,AI18+AH19-AQ18)))</f>
        <v>84.8</v>
      </c>
      <c r="AJ19" s="13">
        <f>AI19*VLOOKUP('Données projet'!$B$10,Paramètres!$A$1:$I$89,3,0)*VLOOKUP('Données projet'!$B$10,Paramètres!$A$1:$I$89,5,0)</f>
        <v>74.081280000000007</v>
      </c>
      <c r="AK19" s="13">
        <f t="shared" si="35"/>
        <v>20.683616446561601</v>
      </c>
      <c r="AL19" s="20">
        <f t="shared" si="4"/>
        <v>165.04886131109478</v>
      </c>
      <c r="AM19" s="59">
        <f t="shared" si="5"/>
        <v>441.27108353331698</v>
      </c>
      <c r="AN19" s="59">
        <f ca="1">AVERAGE(OFFSET($AM$3,0,0,'Données projet'!$E$10+1,1))-AVERAGE(OFFSET($H$3,0,0,'Données projet'!$E$10+1,1))</f>
        <v>402.82278346470082</v>
      </c>
      <c r="AO19" s="59">
        <f t="shared" si="36"/>
        <v>440.17787299198977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28.003407487093821</v>
      </c>
      <c r="BF19" s="13">
        <f t="shared" si="37"/>
        <v>8.7560372090925433</v>
      </c>
      <c r="BG19" s="20">
        <f t="shared" si="7"/>
        <v>64.022699512524582</v>
      </c>
      <c r="BH19" s="59">
        <f t="shared" si="8"/>
        <v>340.24492173474681</v>
      </c>
      <c r="BI19" s="59">
        <f ca="1">AVERAGE(OFFSET($BH$3,0,0,'Données projet'!$E$11+1,1))-AVERAGE(OFFSET($H$3,0,0,'Données projet'!$E$11+1,1))</f>
        <v>469.68830256438338</v>
      </c>
      <c r="BJ19" s="59">
        <f t="shared" si="38"/>
        <v>332.61387922152159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1.6</v>
      </c>
      <c r="BY19" s="12">
        <f>IF('Données projet'!$A$114&gt;35,BY18+BX19-CG18,IF(A19&lt;'Données projet'!$A$114,$BV$205^A19,IF(A19='Données projet'!$A$114,'Données projet'!$B$114,BY18+BX19-CG18)))</f>
        <v>15.999999999999986</v>
      </c>
      <c r="BZ19" s="13">
        <f>BY19*VLOOKUP('Données projet'!$B$12,Paramètres!$A$1:$I$89,3,0)*VLOOKUP('Données projet'!$B$12,Paramètres!$A$1:$I$89,5,0)</f>
        <v>15.225599999999986</v>
      </c>
      <c r="CA19" s="13">
        <f t="shared" si="39"/>
        <v>5.1106344584879499</v>
      </c>
      <c r="CB19" s="20">
        <f t="shared" si="10"/>
        <v>35.418941681866485</v>
      </c>
      <c r="CC19" s="59">
        <f t="shared" si="11"/>
        <v>311.64116390408873</v>
      </c>
      <c r="CD19" s="59">
        <f ca="1">AVERAGE(OFFSET($CC$3,0,0,'Données projet'!$E$12+1,1))-AVERAGE(OFFSET($H$3,0,0,'Données projet'!$E$12+1,1))</f>
        <v>609.40025883662452</v>
      </c>
      <c r="CE19" s="59">
        <f t="shared" si="40"/>
        <v>294.48909834404577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7.9</v>
      </c>
      <c r="CT19" s="12">
        <f>IF('Données projet'!$A$140&gt;35,CT18+CS19-DB18,IF(A19&lt;'Données projet'!$A$140,$CQ$205^A19,IF(A19='Données projet'!$A$140,'Données projet'!$B$140,CT18+CS19-DB18)))</f>
        <v>57.401820934596167</v>
      </c>
      <c r="CU19" s="17">
        <f>CT19*VLOOKUP('Données projet'!$B$13,Paramètres!$A$1:$I$89,3,0)*VLOOKUP('Données projet'!$B$13,Paramètres!$A$1:$I$89,5,0)</f>
        <v>26.864052197391008</v>
      </c>
      <c r="CV19" s="13">
        <f t="shared" si="41"/>
        <v>8.4404970471001413</v>
      </c>
      <c r="CW19" s="20">
        <f t="shared" si="13"/>
        <v>61.488756600822086</v>
      </c>
      <c r="CX19" s="59">
        <f t="shared" si="14"/>
        <v>337.71097882304434</v>
      </c>
      <c r="CY19" s="59">
        <f ca="1">AVERAGE(OFFSET($CX$3,0,0,'Données projet'!$E$13+1,1))-AVERAGE(OFFSET($H$3,0,0,'Données projet'!$E$13+1,1))</f>
        <v>346.16623654404509</v>
      </c>
      <c r="CZ19" s="59">
        <f t="shared" si="42"/>
        <v>281.80933156559087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5.9</v>
      </c>
      <c r="DO19" s="12">
        <f>IF('Données projet'!$A$166&gt;35,DO18+DN19-DW18,IF(A19&lt;'Données projet'!$A$166,$DL$205^A19,IF(A19='Données projet'!$A$166,'Données projet'!$B$166,DO18+DN19-DW18)))</f>
        <v>45.44704034460311</v>
      </c>
      <c r="DP19" s="17">
        <f>DO19*VLOOKUP('Données projet'!$B$14,Paramètres!$A$1:$I$89,3,0)*VLOOKUP('Données projet'!$B$14,Paramètres!$A$1:$I$89,5,0)</f>
        <v>28.35895317503234</v>
      </c>
      <c r="DQ19" s="13">
        <f t="shared" si="43"/>
        <v>8.8541957996533291</v>
      </c>
      <c r="DR19" s="20">
        <f t="shared" si="16"/>
        <v>64.812901130910859</v>
      </c>
      <c r="DS19" s="59">
        <f t="shared" si="17"/>
        <v>341.03512335313309</v>
      </c>
      <c r="DT19" s="59">
        <f ca="1">AVERAGE(OFFSET($DS$3,0,0,'Données projet'!$E$14+1,1))-AVERAGE(OFFSET($H$3,0,0,'Données projet'!$E$14+1,1))</f>
        <v>319.97171762304686</v>
      </c>
      <c r="DU19" s="59">
        <f t="shared" si="44"/>
        <v>337.89345858359621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>
        <f>VLOOKUP(A19,'Données projet'!$A$191:$I$211,2,0)</f>
        <v>81</v>
      </c>
      <c r="EH19" s="12">
        <f>VLOOKUP(A19,'Données projet'!$A$191:$I$211,9,0)</f>
        <v>11.25</v>
      </c>
      <c r="EI19" s="12">
        <f t="array" ref="EI19">INDEX(EH:EH,MIN(IF(ISNUMBER(EH19:EH215),ROW(EH19:EH215),"")))</f>
        <v>11.25</v>
      </c>
      <c r="EJ19" s="12">
        <f>IF('Données projet'!$A$192&gt;35,EJ18+EI19-ER18,IF(A19&lt;'Données projet'!$A$192,$EG$205^A19,IF(A19='Données projet'!$A$192,'Données projet'!$B$192,EJ18+EI19-ER18)))</f>
        <v>81</v>
      </c>
      <c r="EK19" s="17">
        <f>EJ19*VLOOKUP('Données projet'!$B$15,Paramètres!$A$1:$I$89,3,0)*VLOOKUP('Données projet'!$B$15,Paramètres!$A$1:$I$89,5,0)</f>
        <v>48.438000000000009</v>
      </c>
      <c r="EL19" s="13">
        <f t="shared" si="45"/>
        <v>14.209624244846971</v>
      </c>
      <c r="EM19" s="20">
        <f t="shared" si="19"/>
        <v>109.11127889310849</v>
      </c>
      <c r="EN19" s="59">
        <f t="shared" si="20"/>
        <v>385.33350111533071</v>
      </c>
      <c r="EO19" s="59">
        <f ca="1">AVERAGE(OFFSET($EN$3,0,0,'Données projet'!$E$15+1,1))-AVERAGE(OFFSET($H$3,0,0,'Données projet'!$E$15+1,1))</f>
        <v>258.46015871559956</v>
      </c>
      <c r="EP19" s="59">
        <f t="shared" si="46"/>
        <v>280.26155987300996</v>
      </c>
      <c r="EQ19" s="15">
        <f>IF(ISNA(VLOOKUP(A19,'Données projet'!$A$191:$I$211,3,0)),0,VLOOKUP(A19,'Données projet'!$A$191:$I$211,3,0))</f>
        <v>1</v>
      </c>
      <c r="ER19" s="15">
        <f>IF(ISNA(VLOOKUP(A19,'Données projet'!$A$191:$I$211,4,0)),0,VLOOKUP(A19,'Données projet'!$A$191:$I$211,4,0))</f>
        <v>15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0.22500000000000001</v>
      </c>
      <c r="EU19" s="16">
        <f>IF(ISNA(VLOOKUP(A19,'Données projet'!$A$191:$I$211,7,0)),0%,VLOOKUP(A19,'Données projet'!$A$191:$I$211,7,0))</f>
        <v>0.5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2.6667970095349296</v>
      </c>
      <c r="EX19" s="21">
        <f>EXP(-LN(2)/2)*EX18+(1-EXP(-LN(2)/2))/(LN(2)/2)*ER19*EU19*VLOOKUP('Données projet'!$B$15,Paramètres!$A$1:$I$89,3,0)*0.475*44/12</f>
        <v>5.0780618544061999</v>
      </c>
      <c r="EY19" s="22">
        <f t="shared" si="21"/>
        <v>7.7448588639411291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11.2</v>
      </c>
      <c r="N20" s="13">
        <f>IF('Données projet'!$A$36&gt;35,N19+M20-V19,IF(A20&lt;'Données projet'!$A$36,$K$205^A20,IF(A20='Données projet'!$A$36,'Données projet'!$B$36,N19+M20-V19)))</f>
        <v>95.399999999999991</v>
      </c>
      <c r="O20" s="13">
        <f>N20*VLOOKUP('Données projet'!$B$9,Paramètres!$A$1:$I$89,3,0)*VLOOKUP('Données projet'!$B$9,Paramètres!$A$1:$I$89,5,0)</f>
        <v>83.341440000000006</v>
      </c>
      <c r="P20" s="13">
        <f t="shared" si="33"/>
        <v>22.952227742446681</v>
      </c>
      <c r="Q20" s="20">
        <f t="shared" si="2"/>
        <v>185.12813798476131</v>
      </c>
      <c r="R20" s="59">
        <f t="shared" si="0"/>
        <v>462.5725824292058</v>
      </c>
      <c r="S20" s="59">
        <f ca="1">AVERAGE(OFFSET($R$3,0,0,'Données projet'!$E$9+1,1))-AVERAGE(OFFSET($H$3,0,0,'Données projet'!$E$9+1,1))</f>
        <v>368.41876532159154</v>
      </c>
      <c r="T20" s="59">
        <f t="shared" si="34"/>
        <v>369.39570124551125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12.3</v>
      </c>
      <c r="AI20" s="13">
        <f>IF('Données projet'!$A$62&gt;35,AI19+AH20-AQ19,IF(A20&lt;'Données projet'!$A$62,$AF$205^A20,IF(A20='Données projet'!$A$62,'Données projet'!$B$62,AI19+AH20-AQ19)))</f>
        <v>97.1</v>
      </c>
      <c r="AJ20" s="13">
        <f>AI20*VLOOKUP('Données projet'!$B$10,Paramètres!$A$1:$I$89,3,0)*VLOOKUP('Données projet'!$B$10,Paramètres!$A$1:$I$89,5,0)</f>
        <v>84.826560000000015</v>
      </c>
      <c r="AK20" s="13">
        <f t="shared" si="35"/>
        <v>23.313249533862777</v>
      </c>
      <c r="AL20" s="20">
        <f t="shared" si="4"/>
        <v>188.343501604811</v>
      </c>
      <c r="AM20" s="59">
        <f t="shared" si="5"/>
        <v>465.78794604925542</v>
      </c>
      <c r="AN20" s="59">
        <f ca="1">AVERAGE(OFFSET($AM$3,0,0,'Données projet'!$E$10+1,1))-AVERAGE(OFFSET($H$3,0,0,'Données projet'!$E$10+1,1))</f>
        <v>402.82278346470082</v>
      </c>
      <c r="AO20" s="59">
        <f t="shared" si="36"/>
        <v>440.17787299198977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34.703799297332367</v>
      </c>
      <c r="BF20" s="13">
        <f t="shared" si="37"/>
        <v>10.583497277259243</v>
      </c>
      <c r="BG20" s="20">
        <f t="shared" si="7"/>
        <v>78.875374867413711</v>
      </c>
      <c r="BH20" s="59">
        <f t="shared" si="8"/>
        <v>356.31981931185817</v>
      </c>
      <c r="BI20" s="59">
        <f ca="1">AVERAGE(OFFSET($BH$3,0,0,'Données projet'!$E$11+1,1))-AVERAGE(OFFSET($H$3,0,0,'Données projet'!$E$11+1,1))</f>
        <v>469.68830256438338</v>
      </c>
      <c r="BJ20" s="59">
        <f t="shared" si="38"/>
        <v>332.61387922152159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1.6</v>
      </c>
      <c r="BY20" s="12">
        <f>IF('Données projet'!$A$114&gt;35,BY19+BX20-CG19,IF(A20&lt;'Données projet'!$A$114,$BV$205^A20,IF(A20='Données projet'!$A$114,'Données projet'!$B$114,BY19+BX20-CG19)))</f>
        <v>19.027313840043519</v>
      </c>
      <c r="BZ20" s="13">
        <f>BY20*VLOOKUP('Données projet'!$B$12,Paramètres!$A$1:$I$89,3,0)*VLOOKUP('Données projet'!$B$12,Paramètres!$A$1:$I$89,5,0)</f>
        <v>18.106391850185414</v>
      </c>
      <c r="CA20" s="13">
        <f t="shared" si="39"/>
        <v>5.9562421404203727</v>
      </c>
      <c r="CB20" s="20">
        <f t="shared" si="10"/>
        <v>41.909087533638413</v>
      </c>
      <c r="CC20" s="59">
        <f t="shared" si="11"/>
        <v>319.35353197808286</v>
      </c>
      <c r="CD20" s="59">
        <f ca="1">AVERAGE(OFFSET($CC$3,0,0,'Données projet'!$E$12+1,1))-AVERAGE(OFFSET($H$3,0,0,'Données projet'!$E$12+1,1))</f>
        <v>609.40025883662452</v>
      </c>
      <c r="CE20" s="59">
        <f t="shared" si="40"/>
        <v>294.48909834404577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7.9</v>
      </c>
      <c r="CT20" s="12">
        <f>IF('Données projet'!$A$140&gt;35,CT19+CS20-DB19,IF(A20&lt;'Données projet'!$A$140,$CQ$205^A20,IF(A20='Données projet'!$A$140,'Données projet'!$B$140,CT19+CS20-DB19)))</f>
        <v>73.936437994095741</v>
      </c>
      <c r="CU20" s="17">
        <f>CT20*VLOOKUP('Données projet'!$B$13,Paramètres!$A$1:$I$89,3,0)*VLOOKUP('Données projet'!$B$13,Paramètres!$A$1:$I$89,5,0)</f>
        <v>34.602252981236802</v>
      </c>
      <c r="CV20" s="13">
        <f t="shared" si="41"/>
        <v>10.556129086190376</v>
      </c>
      <c r="CW20" s="20">
        <f t="shared" si="13"/>
        <v>78.650848767435647</v>
      </c>
      <c r="CX20" s="59">
        <f t="shared" si="14"/>
        <v>356.09529321188012</v>
      </c>
      <c r="CY20" s="59">
        <f ca="1">AVERAGE(OFFSET($CX$3,0,0,'Données projet'!$E$13+1,1))-AVERAGE(OFFSET($H$3,0,0,'Données projet'!$E$13+1,1))</f>
        <v>346.16623654404509</v>
      </c>
      <c r="CZ20" s="59">
        <f t="shared" si="42"/>
        <v>281.80933156559087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5.9</v>
      </c>
      <c r="DO20" s="12">
        <f>IF('Données projet'!$A$166&gt;35,DO19+DN20-DW19,IF(A20&lt;'Données projet'!$A$166,$DL$205^A20,IF(A20='Données projet'!$A$166,'Données projet'!$B$166,DO19+DN20-DW19)))</f>
        <v>57.68988938108977</v>
      </c>
      <c r="DP20" s="17">
        <f>DO20*VLOOKUP('Données projet'!$B$14,Paramètres!$A$1:$I$89,3,0)*VLOOKUP('Données projet'!$B$14,Paramètres!$A$1:$I$89,5,0)</f>
        <v>35.998490973800017</v>
      </c>
      <c r="DQ20" s="13">
        <f t="shared" si="43"/>
        <v>10.931628613122477</v>
      </c>
      <c r="DR20" s="20">
        <f t="shared" si="16"/>
        <v>81.736624947223348</v>
      </c>
      <c r="DS20" s="59">
        <f t="shared" si="17"/>
        <v>359.18106939166779</v>
      </c>
      <c r="DT20" s="59">
        <f ca="1">AVERAGE(OFFSET($DS$3,0,0,'Données projet'!$E$14+1,1))-AVERAGE(OFFSET($H$3,0,0,'Données projet'!$E$14+1,1))</f>
        <v>319.97171762304686</v>
      </c>
      <c r="DU20" s="59">
        <f t="shared" si="44"/>
        <v>337.89345858359621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13.25</v>
      </c>
      <c r="EJ20" s="12">
        <f>IF('Données projet'!$A$192&gt;35,EJ19+EI20-ER19,IF(A20&lt;'Données projet'!$A$192,$EG$205^A20,IF(A20='Données projet'!$A$192,'Données projet'!$B$192,EJ19+EI20-ER19)))</f>
        <v>79.25</v>
      </c>
      <c r="EK20" s="17">
        <f>EJ20*VLOOKUP('Données projet'!$B$15,Paramètres!$A$1:$I$89,3,0)*VLOOKUP('Données projet'!$B$15,Paramètres!$A$1:$I$89,5,0)</f>
        <v>47.391500000000001</v>
      </c>
      <c r="EL20" s="13">
        <f t="shared" si="45"/>
        <v>13.938016900926096</v>
      </c>
      <c r="EM20" s="20">
        <f t="shared" si="19"/>
        <v>106.81557526911295</v>
      </c>
      <c r="EN20" s="59">
        <f t="shared" si="20"/>
        <v>384.26001971355743</v>
      </c>
      <c r="EO20" s="59">
        <f ca="1">AVERAGE(OFFSET($EN$3,0,0,'Données projet'!$E$15+1,1))-AVERAGE(OFFSET($H$3,0,0,'Données projet'!$E$15+1,1))</f>
        <v>258.46015871559956</v>
      </c>
      <c r="EP20" s="59">
        <f t="shared" si="46"/>
        <v>280.26155987300996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2.5938733050684371</v>
      </c>
      <c r="EX20" s="21">
        <f>EXP(-LN(2)/2)*EX19+(1-EXP(-LN(2)/2))/(LN(2)/2)*ER20*EU20*VLOOKUP('Données projet'!$B$15,Paramètres!$A$1:$I$89,3,0)*0.475*44/12</f>
        <v>3.5907319725353588</v>
      </c>
      <c r="EY20" s="22">
        <f t="shared" si="21"/>
        <v>6.1846052776037954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11.2</v>
      </c>
      <c r="N21" s="13">
        <f>IF('Données projet'!$A$36&gt;35,N20+M21-V20,IF(A21&lt;'Données projet'!$A$36,$K$205^A21,IF(A21='Données projet'!$A$36,'Données projet'!$B$36,N20+M21-V20)))</f>
        <v>106.6</v>
      </c>
      <c r="O21" s="13">
        <f>N21*VLOOKUP('Données projet'!$B$9,Paramètres!$A$1:$I$89,3,0)*VLOOKUP('Données projet'!$B$9,Paramètres!$A$1:$I$89,5,0)</f>
        <v>93.125760000000014</v>
      </c>
      <c r="P21" s="13">
        <f t="shared" si="33"/>
        <v>25.317578585717406</v>
      </c>
      <c r="Q21" s="20">
        <f t="shared" si="2"/>
        <v>206.2888147034578</v>
      </c>
      <c r="R21" s="59">
        <f t="shared" si="0"/>
        <v>484.95548137012452</v>
      </c>
      <c r="S21" s="59">
        <f ca="1">AVERAGE(OFFSET($R$3,0,0,'Données projet'!$E$9+1,1))-AVERAGE(OFFSET($H$3,0,0,'Données projet'!$E$9+1,1))</f>
        <v>368.41876532159154</v>
      </c>
      <c r="T21" s="59">
        <f t="shared" si="34"/>
        <v>369.39570124551125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12.3</v>
      </c>
      <c r="AI21" s="13">
        <f>IF('Données projet'!$A$62&gt;35,AI20+AH21-AQ20,IF(A21&lt;'Données projet'!$A$62,$AF$205^A21,IF(A21='Données projet'!$A$62,'Données projet'!$B$62,AI20+AH21-AQ20)))</f>
        <v>109.39999999999999</v>
      </c>
      <c r="AJ21" s="13">
        <f>AI21*VLOOKUP('Données projet'!$B$10,Paramètres!$A$1:$I$89,3,0)*VLOOKUP('Données projet'!$B$10,Paramètres!$A$1:$I$89,5,0)</f>
        <v>95.571840000000009</v>
      </c>
      <c r="AK21" s="13">
        <f t="shared" si="35"/>
        <v>25.90428480876994</v>
      </c>
      <c r="AL21" s="20">
        <f t="shared" si="4"/>
        <v>211.57091737527435</v>
      </c>
      <c r="AM21" s="59">
        <f t="shared" si="5"/>
        <v>490.23758404194103</v>
      </c>
      <c r="AN21" s="59">
        <f ca="1">AVERAGE(OFFSET($AM$3,0,0,'Données projet'!$E$10+1,1))-AVERAGE(OFFSET($H$3,0,0,'Données projet'!$E$10+1,1))</f>
        <v>402.82278346470082</v>
      </c>
      <c r="AO21" s="59">
        <f t="shared" si="36"/>
        <v>440.17787299198977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43.007397804163212</v>
      </c>
      <c r="BF21" s="13">
        <f t="shared" si="37"/>
        <v>12.792363936215189</v>
      </c>
      <c r="BG21" s="20">
        <f t="shared" si="7"/>
        <v>97.184585031159045</v>
      </c>
      <c r="BH21" s="59">
        <f t="shared" si="8"/>
        <v>375.85125169782572</v>
      </c>
      <c r="BI21" s="59">
        <f ca="1">AVERAGE(OFFSET($BH$3,0,0,'Données projet'!$E$11+1,1))-AVERAGE(OFFSET($H$3,0,0,'Données projet'!$E$11+1,1))</f>
        <v>469.68830256438338</v>
      </c>
      <c r="BJ21" s="59">
        <f t="shared" si="38"/>
        <v>332.61387922152159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1.6</v>
      </c>
      <c r="BY21" s="12">
        <f>IF('Données projet'!$A$114&gt;35,BY20+BX21-CG20,IF(A21&lt;'Données projet'!$A$114,$BV$205^A21,IF(A21='Données projet'!$A$114,'Données projet'!$B$114,BY20+BX21-CG20)))</f>
        <v>22.627416997969497</v>
      </c>
      <c r="BZ21" s="13">
        <f>BY21*VLOOKUP('Données projet'!$B$12,Paramètres!$A$1:$I$89,3,0)*VLOOKUP('Données projet'!$B$12,Paramètres!$A$1:$I$89,5,0)</f>
        <v>21.532250015267774</v>
      </c>
      <c r="CA21" s="13">
        <f t="shared" si="39"/>
        <v>6.9417644176053512</v>
      </c>
      <c r="CB21" s="20">
        <f t="shared" si="10"/>
        <v>49.592241803920693</v>
      </c>
      <c r="CC21" s="59">
        <f t="shared" si="11"/>
        <v>328.25890847058736</v>
      </c>
      <c r="CD21" s="59">
        <f ca="1">AVERAGE(OFFSET($CC$3,0,0,'Données projet'!$E$12+1,1))-AVERAGE(OFFSET($H$3,0,0,'Données projet'!$E$12+1,1))</f>
        <v>609.40025883662452</v>
      </c>
      <c r="CE21" s="59">
        <f t="shared" si="40"/>
        <v>294.48909834404577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7.9</v>
      </c>
      <c r="CT21" s="12">
        <f>IF('Données projet'!$A$140&gt;35,CT20+CS21-DB20,IF(A21&lt;'Données projet'!$A$140,$CQ$205^A21,IF(A21='Données projet'!$A$140,'Données projet'!$B$140,CT20+CS21-DB20)))</f>
        <v>95.233857990035276</v>
      </c>
      <c r="CU21" s="17">
        <f>CT21*VLOOKUP('Données projet'!$B$13,Paramètres!$A$1:$I$89,3,0)*VLOOKUP('Données projet'!$B$13,Paramètres!$A$1:$I$89,5,0)</f>
        <v>44.569445539336513</v>
      </c>
      <c r="CV21" s="13">
        <f t="shared" si="41"/>
        <v>13.202049673437019</v>
      </c>
      <c r="CW21" s="20">
        <f t="shared" si="13"/>
        <v>100.61868749558056</v>
      </c>
      <c r="CX21" s="59">
        <f t="shared" si="14"/>
        <v>379.28535416224724</v>
      </c>
      <c r="CY21" s="59">
        <f ca="1">AVERAGE(OFFSET($CX$3,0,0,'Données projet'!$E$13+1,1))-AVERAGE(OFFSET($H$3,0,0,'Données projet'!$E$13+1,1))</f>
        <v>346.16623654404509</v>
      </c>
      <c r="CZ21" s="59">
        <f t="shared" si="42"/>
        <v>281.80933156559087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5.9</v>
      </c>
      <c r="DO21" s="12">
        <f>IF('Données projet'!$A$166&gt;35,DO20+DN21-DW20,IF(A21&lt;'Données projet'!$A$166,$DL$205^A21,IF(A21='Données projet'!$A$166,'Données projet'!$B$166,DO20+DN21-DW20)))</f>
        <v>73.23080472494604</v>
      </c>
      <c r="DP21" s="17">
        <f>DO21*VLOOKUP('Données projet'!$B$14,Paramètres!$A$1:$I$89,3,0)*VLOOKUP('Données projet'!$B$14,Paramètres!$A$1:$I$89,5,0)</f>
        <v>45.696022148366332</v>
      </c>
      <c r="DQ21" s="13">
        <f t="shared" si="43"/>
        <v>13.496483118197693</v>
      </c>
      <c r="DR21" s="20">
        <f t="shared" si="16"/>
        <v>103.09361333926567</v>
      </c>
      <c r="DS21" s="59">
        <f t="shared" si="17"/>
        <v>381.76028000593237</v>
      </c>
      <c r="DT21" s="59">
        <f ca="1">AVERAGE(OFFSET($DS$3,0,0,'Données projet'!$E$14+1,1))-AVERAGE(OFFSET($H$3,0,0,'Données projet'!$E$14+1,1))</f>
        <v>319.97171762304686</v>
      </c>
      <c r="DU21" s="59">
        <f t="shared" si="44"/>
        <v>337.89345858359621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13.25</v>
      </c>
      <c r="EJ21" s="12">
        <f>IF('Données projet'!$A$192&gt;35,EJ20+EI21-ER20,IF(A21&lt;'Données projet'!$A$192,$EG$205^A21,IF(A21='Données projet'!$A$192,'Données projet'!$B$192,EJ20+EI21-ER20)))</f>
        <v>92.5</v>
      </c>
      <c r="EK21" s="17">
        <f>EJ21*VLOOKUP('Données projet'!$B$15,Paramètres!$A$1:$I$89,3,0)*VLOOKUP('Données projet'!$B$15,Paramètres!$A$1:$I$89,5,0)</f>
        <v>55.315000000000005</v>
      </c>
      <c r="EL21" s="13">
        <f t="shared" si="45"/>
        <v>15.978207841877614</v>
      </c>
      <c r="EM21" s="20">
        <f t="shared" si="19"/>
        <v>124.16900365793684</v>
      </c>
      <c r="EN21" s="59">
        <f t="shared" si="20"/>
        <v>402.83567032460354</v>
      </c>
      <c r="EO21" s="59">
        <f ca="1">AVERAGE(OFFSET($EN$3,0,0,'Données projet'!$E$15+1,1))-AVERAGE(OFFSET($H$3,0,0,'Données projet'!$E$15+1,1))</f>
        <v>258.46015871559956</v>
      </c>
      <c r="EP21" s="59">
        <f t="shared" si="46"/>
        <v>280.26155987300996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2.5229437031354718</v>
      </c>
      <c r="EX21" s="21">
        <f>EXP(-LN(2)/2)*EX20+(1-EXP(-LN(2)/2))/(LN(2)/2)*ER21*EU21*VLOOKUP('Données projet'!$B$15,Paramètres!$A$1:$I$89,3,0)*0.475*44/12</f>
        <v>2.5390309272031004</v>
      </c>
      <c r="EY21" s="22">
        <f t="shared" si="21"/>
        <v>5.0619746303385718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11.2</v>
      </c>
      <c r="N22" s="13">
        <f>IF('Données projet'!$A$36&gt;35,N21+M22-V21,IF(A22&lt;'Données projet'!$A$36,$K$205^A22,IF(A22='Données projet'!$A$36,'Données projet'!$B$36,N21+M22-V21)))</f>
        <v>117.8</v>
      </c>
      <c r="O22" s="13">
        <f>N22*VLOOKUP('Données projet'!$B$9,Paramètres!$A$1:$I$89,3,0)*VLOOKUP('Données projet'!$B$9,Paramètres!$A$1:$I$89,5,0)</f>
        <v>102.91008000000001</v>
      </c>
      <c r="P22" s="13">
        <f t="shared" si="33"/>
        <v>27.654122306790427</v>
      </c>
      <c r="Q22" s="20">
        <f t="shared" si="2"/>
        <v>227.39931901765999</v>
      </c>
      <c r="R22" s="59">
        <f t="shared" si="0"/>
        <v>507.28820790654885</v>
      </c>
      <c r="S22" s="59">
        <f ca="1">AVERAGE(OFFSET($R$3,0,0,'Données projet'!$E$9+1,1))-AVERAGE(OFFSET($H$3,0,0,'Données projet'!$E$9+1,1))</f>
        <v>368.41876532159154</v>
      </c>
      <c r="T22" s="59">
        <f t="shared" si="34"/>
        <v>369.39570124551125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12.3</v>
      </c>
      <c r="AI22" s="13">
        <f>IF('Données projet'!$A$62&gt;35,AI21+AH22-AQ21,IF(A22&lt;'Données projet'!$A$62,$AF$205^A22,IF(A22='Données projet'!$A$62,'Données projet'!$B$62,AI21+AH22-AQ21)))</f>
        <v>121.69999999999999</v>
      </c>
      <c r="AJ22" s="13">
        <f>AI22*VLOOKUP('Données projet'!$B$10,Paramètres!$A$1:$I$89,3,0)*VLOOKUP('Données projet'!$B$10,Paramètres!$A$1:$I$89,5,0)</f>
        <v>106.31712</v>
      </c>
      <c r="AK22" s="13">
        <f t="shared" si="35"/>
        <v>28.461557060551435</v>
      </c>
      <c r="AL22" s="20">
        <f t="shared" si="4"/>
        <v>234.73952921379373</v>
      </c>
      <c r="AM22" s="59">
        <f t="shared" si="5"/>
        <v>514.62841810268264</v>
      </c>
      <c r="AN22" s="59">
        <f ca="1">AVERAGE(OFFSET($AM$3,0,0,'Données projet'!$E$10+1,1))-AVERAGE(OFFSET($H$3,0,0,'Données projet'!$E$10+1,1))</f>
        <v>402.82278346470082</v>
      </c>
      <c r="AO22" s="59">
        <f t="shared" si="36"/>
        <v>440.17787299198977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53.297803218557732</v>
      </c>
      <c r="BF22" s="13">
        <f t="shared" si="37"/>
        <v>15.462240012873817</v>
      </c>
      <c r="BG22" s="20">
        <f t="shared" si="7"/>
        <v>119.75707529474329</v>
      </c>
      <c r="BH22" s="59">
        <f t="shared" si="8"/>
        <v>399.64596418363215</v>
      </c>
      <c r="BI22" s="59">
        <f ca="1">AVERAGE(OFFSET($BH$3,0,0,'Données projet'!$E$11+1,1))-AVERAGE(OFFSET($H$3,0,0,'Données projet'!$E$11+1,1))</f>
        <v>469.68830256438338</v>
      </c>
      <c r="BJ22" s="59">
        <f t="shared" si="38"/>
        <v>332.61387922152159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1.6</v>
      </c>
      <c r="BY22" s="12">
        <f>IF('Données projet'!$A$114&gt;35,BY21+BX22-CG21,IF(A22&lt;'Données projet'!$A$114,$BV$205^A22,IF(A22='Données projet'!$A$114,'Données projet'!$B$114,BY21+BX22-CG21)))</f>
        <v>26.908685288118836</v>
      </c>
      <c r="BZ22" s="13">
        <f>BY22*VLOOKUP('Données projet'!$B$12,Paramètres!$A$1:$I$89,3,0)*VLOOKUP('Données projet'!$B$12,Paramètres!$A$1:$I$89,5,0)</f>
        <v>25.606304920173887</v>
      </c>
      <c r="CA22" s="13">
        <f t="shared" si="39"/>
        <v>8.0903516165866964</v>
      </c>
      <c r="CB22" s="20">
        <f t="shared" si="10"/>
        <v>58.688343468191341</v>
      </c>
      <c r="CC22" s="59">
        <f t="shared" si="11"/>
        <v>338.57723235708022</v>
      </c>
      <c r="CD22" s="59">
        <f ca="1">AVERAGE(OFFSET($CC$3,0,0,'Données projet'!$E$12+1,1))-AVERAGE(OFFSET($H$3,0,0,'Données projet'!$E$12+1,1))</f>
        <v>609.40025883662452</v>
      </c>
      <c r="CE22" s="59">
        <f t="shared" si="40"/>
        <v>294.48909834404577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7.9</v>
      </c>
      <c r="CT22" s="12">
        <f>IF('Données projet'!$A$140&gt;35,CT21+CS22-DB21,IF(A22&lt;'Données projet'!$A$140,$CQ$205^A22,IF(A22='Données projet'!$A$140,'Données projet'!$B$140,CT21+CS22-DB21)))</f>
        <v>122.66600817840934</v>
      </c>
      <c r="CU22" s="17">
        <f>CT22*VLOOKUP('Données projet'!$B$13,Paramètres!$A$1:$I$89,3,0)*VLOOKUP('Données projet'!$B$13,Paramètres!$A$1:$I$89,5,0)</f>
        <v>57.407691827495569</v>
      </c>
      <c r="CV22" s="13">
        <f t="shared" si="41"/>
        <v>16.511176981334152</v>
      </c>
      <c r="CW22" s="20">
        <f t="shared" si="13"/>
        <v>128.7420298420451</v>
      </c>
      <c r="CX22" s="59">
        <f t="shared" si="14"/>
        <v>408.63091873093396</v>
      </c>
      <c r="CY22" s="59">
        <f ca="1">AVERAGE(OFFSET($CX$3,0,0,'Données projet'!$E$13+1,1))-AVERAGE(OFFSET($H$3,0,0,'Données projet'!$E$13+1,1))</f>
        <v>346.16623654404509</v>
      </c>
      <c r="CZ22" s="59">
        <f t="shared" si="42"/>
        <v>281.80933156559087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5.9</v>
      </c>
      <c r="DO22" s="12">
        <f>IF('Données projet'!$A$166&gt;35,DO21+DN22-DW21,IF(A22&lt;'Données projet'!$A$166,$DL$205^A22,IF(A22='Données projet'!$A$166,'Données projet'!$B$166,DO21+DN22-DW21)))</f>
        <v>92.958243085503995</v>
      </c>
      <c r="DP22" s="17">
        <f>DO22*VLOOKUP('Données projet'!$B$14,Paramètres!$A$1:$I$89,3,0)*VLOOKUP('Données projet'!$B$14,Paramètres!$A$1:$I$89,5,0)</f>
        <v>58.005943685354488</v>
      </c>
      <c r="DQ22" s="13">
        <f t="shared" si="43"/>
        <v>16.663121571943435</v>
      </c>
      <c r="DR22" s="20">
        <f t="shared" si="16"/>
        <v>130.04862198979387</v>
      </c>
      <c r="DS22" s="59">
        <f t="shared" si="17"/>
        <v>409.9375108786827</v>
      </c>
      <c r="DT22" s="59">
        <f ca="1">AVERAGE(OFFSET($DS$3,0,0,'Données projet'!$E$14+1,1))-AVERAGE(OFFSET($H$3,0,0,'Données projet'!$E$14+1,1))</f>
        <v>319.97171762304686</v>
      </c>
      <c r="DU22" s="59">
        <f t="shared" si="44"/>
        <v>337.89345858359621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13.25</v>
      </c>
      <c r="EJ22" s="12">
        <f>IF('Données projet'!$A$192&gt;35,EJ21+EI22-ER21,IF(A22&lt;'Données projet'!$A$192,$EG$205^A22,IF(A22='Données projet'!$A$192,'Données projet'!$B$192,EJ21+EI22-ER21)))</f>
        <v>105.75</v>
      </c>
      <c r="EK22" s="17">
        <f>EJ22*VLOOKUP('Données projet'!$B$15,Paramètres!$A$1:$I$89,3,0)*VLOOKUP('Données projet'!$B$15,Paramètres!$A$1:$I$89,5,0)</f>
        <v>63.238500000000009</v>
      </c>
      <c r="EL22" s="13">
        <f t="shared" si="45"/>
        <v>17.984541540394584</v>
      </c>
      <c r="EM22" s="20">
        <f t="shared" si="19"/>
        <v>141.46346401618726</v>
      </c>
      <c r="EN22" s="59">
        <f t="shared" si="20"/>
        <v>421.35235290507615</v>
      </c>
      <c r="EO22" s="59">
        <f ca="1">AVERAGE(OFFSET($EN$3,0,0,'Données projet'!$E$15+1,1))-AVERAGE(OFFSET($H$3,0,0,'Données projet'!$E$15+1,1))</f>
        <v>258.46015871559956</v>
      </c>
      <c r="EP22" s="59">
        <f t="shared" si="46"/>
        <v>280.26155987300996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2.4539536748973894</v>
      </c>
      <c r="EX22" s="21">
        <f>EXP(-LN(2)/2)*EX21+(1-EXP(-LN(2)/2))/(LN(2)/2)*ER22*EU22*VLOOKUP('Données projet'!$B$15,Paramètres!$A$1:$I$89,3,0)*0.475*44/12</f>
        <v>1.7953659862676796</v>
      </c>
      <c r="EY22" s="22">
        <f t="shared" si="21"/>
        <v>4.2493196611650692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129</v>
      </c>
      <c r="L23" s="12">
        <f>VLOOKUP(A23,'Données projet'!$A$35:$I$55,9,0)</f>
        <v>11.2</v>
      </c>
      <c r="M23" s="12">
        <f t="array" ref="M23">INDEX(L:L,MIN(IF(ISNUMBER(L23:L219),ROW(L23:L219),"")))</f>
        <v>11.2</v>
      </c>
      <c r="N23" s="13">
        <f>IF('Données projet'!$A$36&gt;35,N22+M23-V22,IF(A23&lt;'Données projet'!$A$36,$K$205^A23,IF(A23='Données projet'!$A$36,'Données projet'!$B$36,N22+M23-V22)))</f>
        <v>129</v>
      </c>
      <c r="O23" s="13">
        <f>N23*VLOOKUP('Données projet'!$B$9,Paramètres!$A$1:$I$89,3,0)*VLOOKUP('Données projet'!$B$9,Paramètres!$A$1:$I$89,5,0)</f>
        <v>112.69440000000002</v>
      </c>
      <c r="P23" s="13">
        <f t="shared" si="33"/>
        <v>29.964909381330632</v>
      </c>
      <c r="Q23" s="20">
        <f t="shared" si="2"/>
        <v>248.46496383915087</v>
      </c>
      <c r="R23" s="59">
        <f t="shared" si="0"/>
        <v>529.57607495026195</v>
      </c>
      <c r="S23" s="59">
        <f ca="1">AVERAGE(OFFSET($R$3,0,0,'Données projet'!$E$9+1,1))-AVERAGE(OFFSET($H$3,0,0,'Données projet'!$E$9+1,1))</f>
        <v>368.41876532159154</v>
      </c>
      <c r="T23" s="59">
        <f t="shared" si="34"/>
        <v>369.39570124551125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54</v>
      </c>
      <c r="W23" s="16">
        <f>IF(ISNA(VLOOKUP(A23,'Données projet'!$A$35:$I$55,5,0)),0%,VLOOKUP(A23,'Données projet'!$A$35:$I$55,5,0)*VLOOKUP('Données projet'!$B$9,Paramètres!$A$1:$I$89,7,0))</f>
        <v>4.3000000000000003E-2</v>
      </c>
      <c r="X23" s="16">
        <f>IF(ISNA(VLOOKUP(A23,'Données projet'!$A$35:$I$55,6,0)),0%,VLOOKUP(A23,'Données projet'!$A$35:$I$55,6,0)*VLOOKUP('Données projet'!$B$9,Paramètres!$A$1:$I$89,7,0))</f>
        <v>0.19350000000000001</v>
      </c>
      <c r="Y23" s="16">
        <f>IF(ISNA(VLOOKUP(A23,'Données projet'!$A$35:$I$55,7,0)),0%,VLOOKUP(A23,'Données projet'!$A$35:$I$55,7,0))</f>
        <v>0.45</v>
      </c>
      <c r="Z23" s="21">
        <f>EXP(-LN(2)/35)*Z22+(1-EXP(-LN(2)/35))/(LN(2)/35)*V23*W23*VLOOKUP('Données projet'!$B$9,Paramètres!$A$1:$I$89,3,0)*0.475*44/12</f>
        <v>2.2424457805062863</v>
      </c>
      <c r="AA23" s="21">
        <f>EXP(-LN(2)/25)*AA22+(1-EXP(-LN(2)/25))/(LN(2)/25)*Calculateur!V23*Calculateur!X23*VLOOKUP('Données projet'!$B$9,Paramètres!$A$1:$I$89,3,0)*0.475*44/12</f>
        <v>10.051273876633216</v>
      </c>
      <c r="AB23" s="21">
        <f>EXP(-LN(2)/2)*AB22+(1-EXP(-LN(2)/2))/(LN(2)/2)*V23*Y23*VLOOKUP('Données projet'!$B$9,Paramètres!$A$1:$I$89,3,0)*0.475*44/12</f>
        <v>20.029642236162196</v>
      </c>
      <c r="AC23" s="22">
        <f t="shared" si="3"/>
        <v>32.323361893301694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134</v>
      </c>
      <c r="AG23" s="12">
        <f>VLOOKUP(A23,'Données projet'!$A$61:$I$81,9,0)</f>
        <v>12.3</v>
      </c>
      <c r="AH23" s="12">
        <f t="array" ref="AH23">INDEX(AG:AG,MIN(IF(ISNUMBER(AG23:AG219),ROW(AG23:AG219),"")))</f>
        <v>12.3</v>
      </c>
      <c r="AI23" s="13">
        <f>IF('Données projet'!$A$62&gt;35,AI22+AH23-AQ22,IF(A23&lt;'Données projet'!$A$62,$AF$205^A23,IF(A23='Données projet'!$A$62,'Données projet'!$B$62,AI22+AH23-AQ22)))</f>
        <v>134</v>
      </c>
      <c r="AJ23" s="13">
        <f>AI23*VLOOKUP('Données projet'!$B$10,Paramètres!$A$1:$I$89,3,0)*VLOOKUP('Données projet'!$B$10,Paramètres!$A$1:$I$89,5,0)</f>
        <v>117.06240000000001</v>
      </c>
      <c r="AK23" s="13">
        <f t="shared" si="35"/>
        <v>30.988867171899152</v>
      </c>
      <c r="AL23" s="20">
        <f t="shared" si="4"/>
        <v>257.85595699105767</v>
      </c>
      <c r="AM23" s="59">
        <f t="shared" si="5"/>
        <v>538.96706810216881</v>
      </c>
      <c r="AN23" s="59">
        <f ca="1">AVERAGE(OFFSET($AM$3,0,0,'Données projet'!$E$10+1,1))-AVERAGE(OFFSET($H$3,0,0,'Données projet'!$E$10+1,1))</f>
        <v>402.82278346470082</v>
      </c>
      <c r="AO23" s="59">
        <f t="shared" si="36"/>
        <v>440.17787299198977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67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0.13250000000000001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8.5395907589062485</v>
      </c>
      <c r="AW23" s="21">
        <f>EXP(-LN(2)/2)*AW22+(1-EXP(-LN(2)/2))/(LN(2)/2)*AQ23*AT23*VLOOKUP('Données projet'!$B$10,Paramètres!$A$1:$I$89,3,0)*0.475*44/12</f>
        <v>13.806440636037726</v>
      </c>
      <c r="AX23" s="21">
        <f t="shared" si="6"/>
        <v>22.346031394943974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66.050399999999996</v>
      </c>
      <c r="BF23" s="13">
        <f t="shared" si="37"/>
        <v>18.689342126897891</v>
      </c>
      <c r="BG23" s="20">
        <f t="shared" si="7"/>
        <v>147.58838420434714</v>
      </c>
      <c r="BH23" s="59">
        <f t="shared" si="8"/>
        <v>428.69949531545831</v>
      </c>
      <c r="BI23" s="59">
        <f ca="1">AVERAGE(OFFSET($BH$3,0,0,'Données projet'!$E$11+1,1))-AVERAGE(OFFSET($H$3,0,0,'Données projet'!$E$11+1,1))</f>
        <v>469.68830256438338</v>
      </c>
      <c r="BJ23" s="59">
        <f t="shared" si="38"/>
        <v>332.61387922152159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0.1075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0.64260789775653271</v>
      </c>
      <c r="BR23" s="21">
        <f>EXP(-LN(2)/2)*BR22+(1-EXP(-LN(2)/2))/(LN(2)/2)*BL23*BO23*VLOOKUP('Données projet'!$B$11,Paramètres!$A$1:$I$89,3,0)*0.475*44/12</f>
        <v>1.2805547285024328</v>
      </c>
      <c r="BS23" s="22">
        <f t="shared" si="9"/>
        <v>1.9231626262589656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32</v>
      </c>
      <c r="BW23" s="12">
        <f>VLOOKUP(A23,'Données projet'!$A$113:$I$133,9,0)</f>
        <v>1.6</v>
      </c>
      <c r="BX23" s="12">
        <f t="array" ref="BX23">INDEX(BW:BW,MIN(IF(ISNUMBER(BW23:BW219),ROW(BW23:BW219),"")))</f>
        <v>1.6</v>
      </c>
      <c r="BY23" s="12">
        <f>IF('Données projet'!$A$114&gt;35,BY22+BX23-CG22,IF(A23&lt;'Données projet'!$A$114,$BV$205^A23,IF(A23='Données projet'!$A$114,'Données projet'!$B$114,BY22+BX23-CG22)))</f>
        <v>32</v>
      </c>
      <c r="BZ23" s="13">
        <f>BY23*VLOOKUP('Données projet'!$B$12,Paramètres!$A$1:$I$89,3,0)*VLOOKUP('Données projet'!$B$12,Paramètres!$A$1:$I$89,5,0)</f>
        <v>30.4512</v>
      </c>
      <c r="CA23" s="13">
        <f t="shared" si="39"/>
        <v>9.4289845264708934</v>
      </c>
      <c r="CB23" s="20">
        <f t="shared" si="10"/>
        <v>69.457988050270131</v>
      </c>
      <c r="CC23" s="59">
        <f t="shared" si="11"/>
        <v>350.56909916138125</v>
      </c>
      <c r="CD23" s="59">
        <f ca="1">AVERAGE(OFFSET($CC$3,0,0,'Données projet'!$E$12+1,1))-AVERAGE(OFFSET($H$3,0,0,'Données projet'!$E$12+1,1))</f>
        <v>609.40025883662452</v>
      </c>
      <c r="CE23" s="59">
        <f t="shared" si="40"/>
        <v>294.48909834404577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158</v>
      </c>
      <c r="CR23" s="12">
        <f>VLOOKUP(A23,'Données projet'!$A$139:$I$159,9,0)</f>
        <v>7.9</v>
      </c>
      <c r="CS23" s="12">
        <f t="array" ref="CS23">INDEX(CR:CR,MIN(IF(ISNUMBER(CR23:CR219),ROW(CR23:CR219),"")))</f>
        <v>7.9</v>
      </c>
      <c r="CT23" s="12">
        <f>IF('Données projet'!$A$140&gt;35,CT22+CS23-DB22,IF(A23&lt;'Données projet'!$A$140,$CQ$205^A23,IF(A23='Données projet'!$A$140,'Données projet'!$B$140,CT22+CS23-DB22)))</f>
        <v>158</v>
      </c>
      <c r="CU23" s="17">
        <f>CT23*VLOOKUP('Données projet'!$B$13,Paramètres!$A$1:$I$89,3,0)*VLOOKUP('Données projet'!$B$13,Paramètres!$A$1:$I$89,5,0)</f>
        <v>73.944000000000003</v>
      </c>
      <c r="CV23" s="13">
        <f t="shared" si="41"/>
        <v>20.649745460165708</v>
      </c>
      <c r="CW23" s="20">
        <f t="shared" si="13"/>
        <v>164.75077334312192</v>
      </c>
      <c r="CX23" s="59">
        <f t="shared" si="14"/>
        <v>445.86188445423306</v>
      </c>
      <c r="CY23" s="59">
        <f ca="1">AVERAGE(OFFSET($CX$3,0,0,'Données projet'!$E$13+1,1))-AVERAGE(OFFSET($H$3,0,0,'Données projet'!$E$13+1,1))</f>
        <v>346.16623654404509</v>
      </c>
      <c r="CZ23" s="59">
        <f t="shared" si="42"/>
        <v>281.80933156559087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12.5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0.27500000000000002</v>
      </c>
      <c r="DE23" s="16">
        <f>IF(ISNA(VLOOKUP(A23,'Données projet'!$A$139:$I$159,7,0)),0%,VLOOKUP(A23,'Données projet'!$A$139:$I$159,7,0))</f>
        <v>0.5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2.1257077612234943</v>
      </c>
      <c r="DH23" s="21">
        <f>EXP(-LN(2)/2)*DH22+(1-EXP(-LN(2)/2))/(LN(2)/2)*DB23*DE23*VLOOKUP('Données projet'!$B$13,Paramètres!$A$1:$I$89,3,0)*0.475*44/12</f>
        <v>3.3117794702649124</v>
      </c>
      <c r="DI23" s="22">
        <f t="shared" si="15"/>
        <v>5.4374872314884062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118</v>
      </c>
      <c r="DM23" s="12">
        <f>VLOOKUP(A23,'Données projet'!$A$165:$I$185,9,0)</f>
        <v>5.9</v>
      </c>
      <c r="DN23" s="12">
        <f t="array" ref="DN23">INDEX(DM:DM,MIN(IF(ISNUMBER(DM23:DM219),ROW(DM23:DM219),"")))</f>
        <v>5.9</v>
      </c>
      <c r="DO23" s="12">
        <f>IF('Données projet'!$A$166&gt;35,DO22+DN23-DW22,IF(A23&lt;'Données projet'!$A$166,$DL$205^A23,IF(A23='Données projet'!$A$166,'Données projet'!$B$166,DO22+DN23-DW22)))</f>
        <v>118</v>
      </c>
      <c r="DP23" s="17">
        <f>DO23*VLOOKUP('Données projet'!$B$14,Paramètres!$A$1:$I$89,3,0)*VLOOKUP('Données projet'!$B$14,Paramètres!$A$1:$I$89,5,0)</f>
        <v>73.632000000000005</v>
      </c>
      <c r="DQ23" s="13">
        <f t="shared" si="43"/>
        <v>20.572738697163981</v>
      </c>
      <c r="DR23" s="20">
        <f t="shared" si="16"/>
        <v>164.07325323089393</v>
      </c>
      <c r="DS23" s="59">
        <f t="shared" si="17"/>
        <v>445.1843643420051</v>
      </c>
      <c r="DT23" s="59">
        <f ca="1">AVERAGE(OFFSET($DS$3,0,0,'Données projet'!$E$14+1,1))-AVERAGE(OFFSET($H$3,0,0,'Données projet'!$E$14+1,1))</f>
        <v>319.97171762304686</v>
      </c>
      <c r="DU23" s="59">
        <f t="shared" si="44"/>
        <v>337.89345858359621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37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0.3</v>
      </c>
      <c r="DZ23" s="16">
        <f>IF(ISNA(VLOOKUP(A23,'Données projet'!$A$165:$I$185,7,0)),0%,VLOOKUP(A23,'Données projet'!$A$165:$I$185,7,0))</f>
        <v>0.5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9.1521381428676971</v>
      </c>
      <c r="EC23" s="21">
        <f>EXP(-LN(2)/2)*EC22+(1-EXP(-LN(2)/2))/(LN(2)/2)*DW23*DZ23*VLOOKUP('Données projet'!$B$14,Paramètres!$A$1:$I$89,3,0)*0.475*44/12</f>
        <v>13.070489642645519</v>
      </c>
      <c r="ED23" s="22">
        <f t="shared" si="18"/>
        <v>22.222627785513218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119</v>
      </c>
      <c r="EH23" s="12">
        <f>VLOOKUP(A23,'Données projet'!$A$191:$I$211,9,0)</f>
        <v>13.25</v>
      </c>
      <c r="EI23" s="12">
        <f t="array" ref="EI23">INDEX(EH:EH,MIN(IF(ISNUMBER(EH23:EH219),ROW(EH23:EH219),"")))</f>
        <v>13.25</v>
      </c>
      <c r="EJ23" s="12">
        <f>IF('Données projet'!$A$192&gt;35,EJ22+EI23-ER22,IF(A23&lt;'Données projet'!$A$192,$EG$205^A23,IF(A23='Données projet'!$A$192,'Données projet'!$B$192,EJ22+EI23-ER22)))</f>
        <v>119</v>
      </c>
      <c r="EK23" s="17">
        <f>EJ23*VLOOKUP('Données projet'!$B$15,Paramètres!$A$1:$I$89,3,0)*VLOOKUP('Données projet'!$B$15,Paramètres!$A$1:$I$89,5,0)</f>
        <v>71.162000000000006</v>
      </c>
      <c r="EL23" s="13">
        <f t="shared" si="45"/>
        <v>19.961746043676346</v>
      </c>
      <c r="EM23" s="20">
        <f t="shared" si="19"/>
        <v>158.70719102606964</v>
      </c>
      <c r="EN23" s="59">
        <f t="shared" si="20"/>
        <v>439.81830213718081</v>
      </c>
      <c r="EO23" s="59">
        <f ca="1">AVERAGE(OFFSET($EN$3,0,0,'Données projet'!$E$15+1,1))-AVERAGE(OFFSET($H$3,0,0,'Données projet'!$E$15+1,1))</f>
        <v>258.46015871559956</v>
      </c>
      <c r="EP23" s="59">
        <f t="shared" si="46"/>
        <v>280.26155987300996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22</v>
      </c>
      <c r="ES23" s="16">
        <f>IF(ISNA(VLOOKUP(A23,'Données projet'!$A$191:$I$211,5,0)),0%,VLOOKUP(A23,'Données projet'!$A$191:$I$211,5,0)*VLOOKUP('Données projet'!$B$15,Paramètres!$A$1:$I$89,7,0))</f>
        <v>4.5000000000000005E-2</v>
      </c>
      <c r="ET23" s="16">
        <f>IF(ISNA(VLOOKUP(A23,'Données projet'!$A$191:$I$211,6,0)),0%,VLOOKUP(A23,'Données projet'!$A$191:$I$211,6,0)*VLOOKUP('Données projet'!$B$15,Paramètres!$A$1:$I$89,7,0))</f>
        <v>0.20250000000000001</v>
      </c>
      <c r="EU23" s="16">
        <f>IF(ISNA(VLOOKUP(A23,'Données projet'!$A$191:$I$211,7,0)),0%,VLOOKUP(A23,'Données projet'!$A$191:$I$211,7,0))</f>
        <v>0.45</v>
      </c>
      <c r="EV23" s="21">
        <f>EXP(-LN(2)/35)*EV22+(1-EXP(-LN(2)/35))/(LN(2)/35)*ER23*ES23*VLOOKUP('Données projet'!$B$15,Paramètres!$A$1:$I$89,3,0)*0.475*44/12</f>
        <v>0.78535268890931675</v>
      </c>
      <c r="EW23" s="21">
        <f>EXP(-LN(2)/25)*EW22+(1-EXP(-LN(2)/25))/(LN(2)/25)*Calculateur!ER23*Calculateur!ET23*VLOOKUP('Données projet'!$B$15,Paramètres!$A$1:$I$89,3,0)*0.475*44/12</f>
        <v>5.9070222351956119</v>
      </c>
      <c r="EX23" s="21">
        <f>EXP(-LN(2)/2)*EX22+(1-EXP(-LN(2)/2))/(LN(2)/2)*ER23*EU23*VLOOKUP('Données projet'!$B$15,Paramètres!$A$1:$I$89,3,0)*0.475*44/12</f>
        <v>7.9725571114177329</v>
      </c>
      <c r="EY23" s="22">
        <f t="shared" si="21"/>
        <v>14.664932035522661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9.9</v>
      </c>
      <c r="N24" s="13">
        <f>IF('Données projet'!$A$36&gt;35,N23+M24-V23,IF(A24&lt;'Données projet'!$A$36,$K$205^A24,IF(A24='Données projet'!$A$36,'Données projet'!$B$36,N23+M24-V23)))</f>
        <v>84.9</v>
      </c>
      <c r="O24" s="13">
        <f>N24*VLOOKUP('Données projet'!$B$9,Paramètres!$A$1:$I$89,3,0)*VLOOKUP('Données projet'!$B$9,Paramètres!$A$1:$I$89,5,0)</f>
        <v>74.168640000000025</v>
      </c>
      <c r="P24" s="13">
        <f t="shared" si="33"/>
        <v>20.705166906136473</v>
      </c>
      <c r="Q24" s="20">
        <f t="shared" si="2"/>
        <v>165.2385470281877</v>
      </c>
      <c r="R24" s="59">
        <f t="shared" si="0"/>
        <v>447.57188036152104</v>
      </c>
      <c r="S24" s="59">
        <f ca="1">AVERAGE(OFFSET($R$3,0,0,'Données projet'!$E$9+1,1))-AVERAGE(OFFSET($H$3,0,0,'Données projet'!$E$9+1,1))</f>
        <v>368.41876532159154</v>
      </c>
      <c r="T24" s="59">
        <f t="shared" si="34"/>
        <v>369.39570124551125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2.1984727865074292</v>
      </c>
      <c r="AA24" s="21">
        <f>EXP(-LN(2)/25)*AA23+(1-EXP(-LN(2)/25))/(LN(2)/25)*Calculateur!V24*Calculateur!X24*VLOOKUP('Données projet'!$B$9,Paramètres!$A$1:$I$89,3,0)*0.475*44/12</f>
        <v>9.7764212639031598</v>
      </c>
      <c r="AB24" s="21">
        <f>EXP(-LN(2)/2)*AB23+(1-EXP(-LN(2)/2))/(LN(2)/2)*V24*Y24*VLOOKUP('Données projet'!$B$9,Paramètres!$A$1:$I$89,3,0)*0.475*44/12</f>
        <v>14.163095849930773</v>
      </c>
      <c r="AC24" s="22">
        <f t="shared" si="3"/>
        <v>26.13798990034136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14.5</v>
      </c>
      <c r="AI24" s="13">
        <f>IF('Données projet'!$A$62&gt;35,AI23+AH24-AQ23,IF(A24&lt;'Données projet'!$A$62,$AF$205^A24,IF(A24='Données projet'!$A$62,'Données projet'!$B$62,AI23+AH24-AQ23)))</f>
        <v>81.5</v>
      </c>
      <c r="AJ24" s="13">
        <f>AI24*VLOOKUP('Données projet'!$B$10,Paramètres!$A$1:$I$89,3,0)*VLOOKUP('Données projet'!$B$10,Paramètres!$A$1:$I$89,5,0)</f>
        <v>71.198400000000021</v>
      </c>
      <c r="AK24" s="13">
        <f t="shared" si="35"/>
        <v>19.970767871716291</v>
      </c>
      <c r="AL24" s="20">
        <f t="shared" si="4"/>
        <v>158.7863007099059</v>
      </c>
      <c r="AM24" s="59">
        <f t="shared" si="5"/>
        <v>441.11963404323922</v>
      </c>
      <c r="AN24" s="59">
        <f ca="1">AVERAGE(OFFSET($AM$3,0,0,'Données projet'!$E$10+1,1))-AVERAGE(OFFSET($H$3,0,0,'Données projet'!$E$10+1,1))</f>
        <v>402.82278346470082</v>
      </c>
      <c r="AO24" s="59">
        <f t="shared" si="36"/>
        <v>440.17787299198977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8.3060752005263971</v>
      </c>
      <c r="AW24" s="21">
        <f>EXP(-LN(2)/2)*AW23+(1-EXP(-LN(2)/2))/(LN(2)/2)*AQ24*AT24*VLOOKUP('Données projet'!$B$10,Paramètres!$A$1:$I$89,3,0)*0.475*44/12</f>
        <v>9.7626277977917866</v>
      </c>
      <c r="AX24" s="21">
        <f t="shared" si="6"/>
        <v>18.068702998318184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8.1999999999999993</v>
      </c>
      <c r="BD24" s="12">
        <f>IF('Données projet'!$A$88&gt;35,BD23+BC24-BL23,IF(A24&lt;'Données projet'!$A$88,$BA$205^A24,IF(A24='Données projet'!$A$88,'Données projet'!$B$88,BD23+BC24-BL23)))</f>
        <v>75.2</v>
      </c>
      <c r="BE24" s="13">
        <f>BD24*VLOOKUP('Données projet'!$B$11,Paramètres!$A$1:$I$89,3,0)*VLOOKUP('Données projet'!$B$11,Paramètres!$A$1:$I$89,5,0)</f>
        <v>68.040959999999998</v>
      </c>
      <c r="BF24" s="13">
        <f t="shared" si="37"/>
        <v>19.186158107165539</v>
      </c>
      <c r="BG24" s="20">
        <f t="shared" si="7"/>
        <v>151.92056403664665</v>
      </c>
      <c r="BH24" s="59">
        <f t="shared" si="8"/>
        <v>434.25389736998</v>
      </c>
      <c r="BI24" s="59">
        <f ca="1">AVERAGE(OFFSET($BH$3,0,0,'Données projet'!$E$11+1,1))-AVERAGE(OFFSET($H$3,0,0,'Données projet'!$E$11+1,1))</f>
        <v>469.68830256438338</v>
      </c>
      <c r="BJ24" s="59">
        <f t="shared" si="38"/>
        <v>332.61387922152159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0.62503575099909969</v>
      </c>
      <c r="BR24" s="21">
        <f>EXP(-LN(2)/2)*BR23+(1-EXP(-LN(2)/2))/(LN(2)/2)*BL24*BO24*VLOOKUP('Données projet'!$B$11,Paramètres!$A$1:$I$89,3,0)*0.475*44/12</f>
        <v>0.90548893220456861</v>
      </c>
      <c r="BS24" s="22">
        <f t="shared" si="9"/>
        <v>1.5305246832036683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9.1</v>
      </c>
      <c r="BY24" s="12">
        <f>IF('Données projet'!$A$114&gt;35,BY23+BX24-CG23,IF(A24&lt;'Données projet'!$A$114,$BV$205^A24,IF(A24='Données projet'!$A$114,'Données projet'!$B$114,BY23+BX24-CG23)))</f>
        <v>41.1</v>
      </c>
      <c r="BZ24" s="13">
        <f>BY24*VLOOKUP('Données projet'!$B$12,Paramètres!$A$1:$I$89,3,0)*VLOOKUP('Données projet'!$B$12,Paramètres!$A$1:$I$89,5,0)</f>
        <v>39.110760000000006</v>
      </c>
      <c r="CA24" s="13">
        <f t="shared" si="39"/>
        <v>11.762646243588296</v>
      </c>
      <c r="CB24" s="20">
        <f t="shared" si="10"/>
        <v>88.604515874249628</v>
      </c>
      <c r="CC24" s="59">
        <f t="shared" si="11"/>
        <v>370.93784920758293</v>
      </c>
      <c r="CD24" s="59">
        <f ca="1">AVERAGE(OFFSET($CC$3,0,0,'Données projet'!$E$12+1,1))-AVERAGE(OFFSET($H$3,0,0,'Données projet'!$E$12+1,1))</f>
        <v>609.40025883662452</v>
      </c>
      <c r="CE24" s="59">
        <f t="shared" si="40"/>
        <v>294.48909834404577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9.1999999999999993</v>
      </c>
      <c r="CT24" s="12">
        <f>IF('Données projet'!$A$140&gt;35,CT23+CS24-DB23,IF(A24&lt;'Données projet'!$A$140,$CQ$205^A24,IF(A24='Données projet'!$A$140,'Données projet'!$B$140,CT23+CS24-DB23)))</f>
        <v>154.69999999999999</v>
      </c>
      <c r="CU24" s="17">
        <f>CT24*VLOOKUP('Données projet'!$B$13,Paramètres!$A$1:$I$89,3,0)*VLOOKUP('Données projet'!$B$13,Paramètres!$A$1:$I$89,5,0)</f>
        <v>72.399599999999992</v>
      </c>
      <c r="CV24" s="13">
        <f t="shared" si="41"/>
        <v>20.268188832715463</v>
      </c>
      <c r="CW24" s="20">
        <f t="shared" si="13"/>
        <v>161.3963988836461</v>
      </c>
      <c r="CX24" s="59">
        <f t="shared" si="14"/>
        <v>443.72973221697941</v>
      </c>
      <c r="CY24" s="59">
        <f ca="1">AVERAGE(OFFSET($CX$3,0,0,'Données projet'!$E$13+1,1))-AVERAGE(OFFSET($H$3,0,0,'Données projet'!$E$13+1,1))</f>
        <v>346.16623654404509</v>
      </c>
      <c r="CZ24" s="59">
        <f t="shared" si="42"/>
        <v>281.80933156559087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2.0675801707067252</v>
      </c>
      <c r="DH24" s="21">
        <f>EXP(-LN(2)/2)*DH23+(1-EXP(-LN(2)/2))/(LN(2)/2)*DB24*DE24*VLOOKUP('Données projet'!$B$13,Paramètres!$A$1:$I$89,3,0)*0.475*44/12</f>
        <v>2.341781721218712</v>
      </c>
      <c r="DI24" s="22">
        <f t="shared" si="15"/>
        <v>4.4093618919254371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13.9</v>
      </c>
      <c r="DO24" s="12">
        <f>IF('Données projet'!$A$166&gt;35,DO23+DN24-DW23,IF(A24&lt;'Données projet'!$A$166,$DL$205^A24,IF(A24='Données projet'!$A$166,'Données projet'!$B$166,DO23+DN24-DW23)))</f>
        <v>94.9</v>
      </c>
      <c r="DP24" s="17">
        <f>DO24*VLOOKUP('Données projet'!$B$14,Paramètres!$A$1:$I$89,3,0)*VLOOKUP('Données projet'!$B$14,Paramètres!$A$1:$I$89,5,0)</f>
        <v>59.217600000000004</v>
      </c>
      <c r="DQ24" s="13">
        <f t="shared" si="43"/>
        <v>16.970302883579741</v>
      </c>
      <c r="DR24" s="20">
        <f t="shared" si="16"/>
        <v>132.69393085556803</v>
      </c>
      <c r="DS24" s="59">
        <f t="shared" si="17"/>
        <v>415.02726418890131</v>
      </c>
      <c r="DT24" s="59">
        <f ca="1">AVERAGE(OFFSET($DS$3,0,0,'Données projet'!$E$14+1,1))-AVERAGE(OFFSET($H$3,0,0,'Données projet'!$E$14+1,1))</f>
        <v>319.97171762304686</v>
      </c>
      <c r="DU24" s="59">
        <f t="shared" si="44"/>
        <v>337.89345858359621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8.9018724440609525</v>
      </c>
      <c r="EC24" s="21">
        <f>EXP(-LN(2)/2)*EC23+(1-EXP(-LN(2)/2))/(LN(2)/2)*DW24*DZ24*VLOOKUP('Données projet'!$B$14,Paramètres!$A$1:$I$89,3,0)*0.475*44/12</f>
        <v>9.2422318597431818</v>
      </c>
      <c r="ED24" s="22">
        <f t="shared" si="18"/>
        <v>18.144104303804134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15</v>
      </c>
      <c r="EJ24" s="12">
        <f>IF('Données projet'!$A$192&gt;35,EJ23+EI24-ER23,IF(A24&lt;'Données projet'!$A$192,$EG$205^A24,IF(A24='Données projet'!$A$192,'Données projet'!$B$192,EJ23+EI24-ER23)))</f>
        <v>112</v>
      </c>
      <c r="EK24" s="17">
        <f>EJ24*VLOOKUP('Données projet'!$B$15,Paramètres!$A$1:$I$89,3,0)*VLOOKUP('Données projet'!$B$15,Paramètres!$A$1:$I$89,5,0)</f>
        <v>66.976000000000013</v>
      </c>
      <c r="EL24" s="13">
        <f t="shared" si="45"/>
        <v>18.920572617446965</v>
      </c>
      <c r="EM24" s="20">
        <f t="shared" si="19"/>
        <v>149.60319730872013</v>
      </c>
      <c r="EN24" s="59">
        <f t="shared" si="20"/>
        <v>431.93653064205341</v>
      </c>
      <c r="EO24" s="59">
        <f ca="1">AVERAGE(OFFSET($EN$3,0,0,'Données projet'!$E$15+1,1))-AVERAGE(OFFSET($H$3,0,0,'Données projet'!$E$15+1,1))</f>
        <v>258.46015871559956</v>
      </c>
      <c r="EP24" s="59">
        <f t="shared" si="46"/>
        <v>280.26155987300996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0.76995240169764623</v>
      </c>
      <c r="EW24" s="21">
        <f>EXP(-LN(2)/25)*EW23+(1-EXP(-LN(2)/25))/(LN(2)/25)*Calculateur!ER24*Calculateur!ET24*VLOOKUP('Données projet'!$B$15,Paramètres!$A$1:$I$89,3,0)*0.475*44/12</f>
        <v>5.745494401537389</v>
      </c>
      <c r="EX24" s="21">
        <f>EXP(-LN(2)/2)*EX23+(1-EXP(-LN(2)/2))/(LN(2)/2)*ER24*EU24*VLOOKUP('Données projet'!$B$15,Paramètres!$A$1:$I$89,3,0)*0.475*44/12</f>
        <v>5.6374491968805129</v>
      </c>
      <c r="EY24" s="22">
        <f t="shared" si="21"/>
        <v>12.152896000115547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9.9</v>
      </c>
      <c r="N25" s="13">
        <f>IF('Données projet'!$A$36&gt;35,N24+M25-V24,IF(A25&lt;'Données projet'!$A$36,$K$205^A25,IF(A25='Données projet'!$A$36,'Données projet'!$B$36,N24+M25-V24)))</f>
        <v>94.800000000000011</v>
      </c>
      <c r="O25" s="13">
        <f>N25*VLOOKUP('Données projet'!$B$9,Paramètres!$A$1:$I$89,3,0)*VLOOKUP('Données projet'!$B$9,Paramètres!$A$1:$I$89,5,0)</f>
        <v>82.817280000000011</v>
      </c>
      <c r="P25" s="13">
        <f t="shared" si="33"/>
        <v>22.824630073728041</v>
      </c>
      <c r="Q25" s="20">
        <f t="shared" si="2"/>
        <v>183.99299337840969</v>
      </c>
      <c r="R25" s="59">
        <f t="shared" si="0"/>
        <v>467.54854893396521</v>
      </c>
      <c r="S25" s="59">
        <f ca="1">AVERAGE(OFFSET($R$3,0,0,'Données projet'!$E$9+1,1))-AVERAGE(OFFSET($H$3,0,0,'Données projet'!$E$9+1,1))</f>
        <v>368.41876532159154</v>
      </c>
      <c r="T25" s="59">
        <f t="shared" si="34"/>
        <v>369.39570124551125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2.1553620761000118</v>
      </c>
      <c r="AA25" s="21">
        <f>EXP(-LN(2)/25)*AA24+(1-EXP(-LN(2)/25))/(LN(2)/25)*Calculateur!V25*Calculateur!X25*VLOOKUP('Données projet'!$B$9,Paramètres!$A$1:$I$89,3,0)*0.475*44/12</f>
        <v>9.5090845103220776</v>
      </c>
      <c r="AB25" s="21">
        <f>EXP(-LN(2)/2)*AB24+(1-EXP(-LN(2)/2))/(LN(2)/2)*V25*Y25*VLOOKUP('Données projet'!$B$9,Paramètres!$A$1:$I$89,3,0)*0.475*44/12</f>
        <v>10.0148211180811</v>
      </c>
      <c r="AC25" s="22">
        <f t="shared" si="3"/>
        <v>21.679267704503189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14.5</v>
      </c>
      <c r="AI25" s="13">
        <f>IF('Données projet'!$A$62&gt;35,AI24+AH25-AQ24,IF(A25&lt;'Données projet'!$A$62,$AF$205^A25,IF(A25='Données projet'!$A$62,'Données projet'!$B$62,AI24+AH25-AQ24)))</f>
        <v>96</v>
      </c>
      <c r="AJ25" s="13">
        <f>AI25*VLOOKUP('Données projet'!$B$10,Paramètres!$A$1:$I$89,3,0)*VLOOKUP('Données projet'!$B$10,Paramètres!$A$1:$I$89,5,0)</f>
        <v>83.865600000000015</v>
      </c>
      <c r="AK25" s="13">
        <f t="shared" si="35"/>
        <v>23.079732033574274</v>
      </c>
      <c r="AL25" s="20">
        <f t="shared" si="4"/>
        <v>186.26311995847519</v>
      </c>
      <c r="AM25" s="59">
        <f t="shared" si="5"/>
        <v>469.8186755140307</v>
      </c>
      <c r="AN25" s="59">
        <f ca="1">AVERAGE(OFFSET($AM$3,0,0,'Données projet'!$E$10+1,1))-AVERAGE(OFFSET($H$3,0,0,'Données projet'!$E$10+1,1))</f>
        <v>402.82278346470082</v>
      </c>
      <c r="AO25" s="59">
        <f t="shared" si="36"/>
        <v>440.17787299198977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8.078945137370491</v>
      </c>
      <c r="AW25" s="21">
        <f>EXP(-LN(2)/2)*AW24+(1-EXP(-LN(2)/2))/(LN(2)/2)*AQ25*AT25*VLOOKUP('Données projet'!$B$10,Paramètres!$A$1:$I$89,3,0)*0.475*44/12</f>
        <v>6.9032203180188638</v>
      </c>
      <c r="AX25" s="21">
        <f t="shared" si="6"/>
        <v>14.982165455389355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8.1999999999999993</v>
      </c>
      <c r="BD25" s="12">
        <f>IF('Données projet'!$A$88&gt;35,BD24+BC25-BL24,IF(A25&lt;'Données projet'!$A$88,$BA$205^A25,IF(A25='Données projet'!$A$88,'Données projet'!$B$88,BD24+BC25-BL24)))</f>
        <v>83.4</v>
      </c>
      <c r="BE25" s="13">
        <f>BD25*VLOOKUP('Données projet'!$B$11,Paramètres!$A$1:$I$89,3,0)*VLOOKUP('Données projet'!$B$11,Paramètres!$A$1:$I$89,5,0)</f>
        <v>75.460319999999996</v>
      </c>
      <c r="BF25" s="13">
        <f t="shared" si="37"/>
        <v>21.023463123249066</v>
      </c>
      <c r="BG25" s="20">
        <f t="shared" si="7"/>
        <v>168.04258893965877</v>
      </c>
      <c r="BH25" s="59">
        <f t="shared" si="8"/>
        <v>451.59814449521434</v>
      </c>
      <c r="BI25" s="59">
        <f ca="1">AVERAGE(OFFSET($BH$3,0,0,'Données projet'!$E$11+1,1))-AVERAGE(OFFSET($H$3,0,0,'Données projet'!$E$11+1,1))</f>
        <v>469.68830256438338</v>
      </c>
      <c r="BJ25" s="59">
        <f t="shared" si="38"/>
        <v>332.61387922152159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0.60794411551882765</v>
      </c>
      <c r="BR25" s="21">
        <f>EXP(-LN(2)/2)*BR24+(1-EXP(-LN(2)/2))/(LN(2)/2)*BL25*BO25*VLOOKUP('Données projet'!$B$11,Paramètres!$A$1:$I$89,3,0)*0.475*44/12</f>
        <v>0.64027736425121651</v>
      </c>
      <c r="BS25" s="22">
        <f t="shared" si="9"/>
        <v>1.2482214797700442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9.1</v>
      </c>
      <c r="BY25" s="12">
        <f>IF('Données projet'!$A$114&gt;35,BY24+BX25-CG24,IF(A25&lt;'Données projet'!$A$114,$BV$205^A25,IF(A25='Données projet'!$A$114,'Données projet'!$B$114,BY24+BX25-CG24)))</f>
        <v>50.2</v>
      </c>
      <c r="BZ25" s="13">
        <f>BY25*VLOOKUP('Données projet'!$B$12,Paramètres!$A$1:$I$89,3,0)*VLOOKUP('Données projet'!$B$12,Paramètres!$A$1:$I$89,5,0)</f>
        <v>47.770319999999998</v>
      </c>
      <c r="CA25" s="13">
        <f t="shared" si="39"/>
        <v>14.036415213200682</v>
      </c>
      <c r="CB25" s="20">
        <f t="shared" si="10"/>
        <v>107.64673049632451</v>
      </c>
      <c r="CC25" s="59">
        <f t="shared" si="11"/>
        <v>391.20228605188004</v>
      </c>
      <c r="CD25" s="59">
        <f ca="1">AVERAGE(OFFSET($CC$3,0,0,'Données projet'!$E$12+1,1))-AVERAGE(OFFSET($H$3,0,0,'Données projet'!$E$12+1,1))</f>
        <v>609.40025883662452</v>
      </c>
      <c r="CE25" s="59">
        <f t="shared" si="40"/>
        <v>294.48909834404577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9.1999999999999993</v>
      </c>
      <c r="CT25" s="12">
        <f>IF('Données projet'!$A$140&gt;35,CT24+CS25-DB24,IF(A25&lt;'Données projet'!$A$140,$CQ$205^A25,IF(A25='Données projet'!$A$140,'Données projet'!$B$140,CT24+CS25-DB24)))</f>
        <v>163.89999999999998</v>
      </c>
      <c r="CU25" s="17">
        <f>CT25*VLOOKUP('Données projet'!$B$13,Paramètres!$A$1:$I$89,3,0)*VLOOKUP('Données projet'!$B$13,Paramètres!$A$1:$I$89,5,0)</f>
        <v>76.705199999999991</v>
      </c>
      <c r="CV25" s="13">
        <f t="shared" si="41"/>
        <v>21.32962715676695</v>
      </c>
      <c r="CW25" s="20">
        <f t="shared" si="13"/>
        <v>170.74399063136909</v>
      </c>
      <c r="CX25" s="59">
        <f t="shared" si="14"/>
        <v>454.29954618692466</v>
      </c>
      <c r="CY25" s="59">
        <f ca="1">AVERAGE(OFFSET($CX$3,0,0,'Données projet'!$E$13+1,1))-AVERAGE(OFFSET($H$3,0,0,'Données projet'!$E$13+1,1))</f>
        <v>346.16623654404509</v>
      </c>
      <c r="CZ25" s="59">
        <f t="shared" si="42"/>
        <v>281.80933156559087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2.0110420822094341</v>
      </c>
      <c r="DH25" s="21">
        <f>EXP(-LN(2)/2)*DH24+(1-EXP(-LN(2)/2))/(LN(2)/2)*DB25*DE25*VLOOKUP('Données projet'!$B$13,Paramètres!$A$1:$I$89,3,0)*0.475*44/12</f>
        <v>1.6558897351324564</v>
      </c>
      <c r="DI25" s="22">
        <f t="shared" si="15"/>
        <v>3.6669318173418906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13.9</v>
      </c>
      <c r="DO25" s="12">
        <f>IF('Données projet'!$A$166&gt;35,DO24+DN25-DW24,IF(A25&lt;'Données projet'!$A$166,$DL$205^A25,IF(A25='Données projet'!$A$166,'Données projet'!$B$166,DO24+DN25-DW24)))</f>
        <v>108.80000000000001</v>
      </c>
      <c r="DP25" s="17">
        <f>DO25*VLOOKUP('Données projet'!$B$14,Paramètres!$A$1:$I$89,3,0)*VLOOKUP('Données projet'!$B$14,Paramètres!$A$1:$I$89,5,0)</f>
        <v>67.891200000000012</v>
      </c>
      <c r="DQ25" s="13">
        <f t="shared" si="43"/>
        <v>19.148839553800077</v>
      </c>
      <c r="DR25" s="20">
        <f t="shared" si="16"/>
        <v>151.59473555620181</v>
      </c>
      <c r="DS25" s="59">
        <f t="shared" si="17"/>
        <v>435.15029111175738</v>
      </c>
      <c r="DT25" s="59">
        <f ca="1">AVERAGE(OFFSET($DS$3,0,0,'Données projet'!$E$14+1,1))-AVERAGE(OFFSET($H$3,0,0,'Données projet'!$E$14+1,1))</f>
        <v>319.97171762304686</v>
      </c>
      <c r="DU25" s="59">
        <f t="shared" si="44"/>
        <v>337.89345858359621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8.6584502739489793</v>
      </c>
      <c r="EC25" s="21">
        <f>EXP(-LN(2)/2)*EC24+(1-EXP(-LN(2)/2))/(LN(2)/2)*DW25*DZ25*VLOOKUP('Données projet'!$B$14,Paramètres!$A$1:$I$89,3,0)*0.475*44/12</f>
        <v>6.5352448213227605</v>
      </c>
      <c r="ED25" s="22">
        <f t="shared" si="18"/>
        <v>15.193695095271739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15</v>
      </c>
      <c r="EJ25" s="12">
        <f>IF('Données projet'!$A$192&gt;35,EJ24+EI25-ER24,IF(A25&lt;'Données projet'!$A$192,$EG$205^A25,IF(A25='Données projet'!$A$192,'Données projet'!$B$192,EJ24+EI25-ER24)))</f>
        <v>127</v>
      </c>
      <c r="EK25" s="17">
        <f>EJ25*VLOOKUP('Données projet'!$B$15,Paramètres!$A$1:$I$89,3,0)*VLOOKUP('Données projet'!$B$15,Paramètres!$A$1:$I$89,5,0)</f>
        <v>75.945999999999998</v>
      </c>
      <c r="EL25" s="13">
        <f t="shared" si="45"/>
        <v>21.142979995226831</v>
      </c>
      <c r="EM25" s="20">
        <f t="shared" si="19"/>
        <v>169.09664015835338</v>
      </c>
      <c r="EN25" s="59">
        <f t="shared" si="20"/>
        <v>452.6521957139089</v>
      </c>
      <c r="EO25" s="59">
        <f ca="1">AVERAGE(OFFSET($EN$3,0,0,'Données projet'!$E$15+1,1))-AVERAGE(OFFSET($H$3,0,0,'Données projet'!$E$15+1,1))</f>
        <v>258.46015871559956</v>
      </c>
      <c r="EP25" s="59">
        <f t="shared" si="46"/>
        <v>280.26155987300996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0.75485410472494885</v>
      </c>
      <c r="EW25" s="21">
        <f>EXP(-LN(2)/25)*EW24+(1-EXP(-LN(2)/25))/(LN(2)/25)*Calculateur!ER25*Calculateur!ET25*VLOOKUP('Données projet'!$B$15,Paramètres!$A$1:$I$89,3,0)*0.475*44/12</f>
        <v>5.5883835549849303</v>
      </c>
      <c r="EX25" s="21">
        <f>EXP(-LN(2)/2)*EX24+(1-EXP(-LN(2)/2))/(LN(2)/2)*ER25*EU25*VLOOKUP('Données projet'!$B$15,Paramètres!$A$1:$I$89,3,0)*0.475*44/12</f>
        <v>3.9862785557088674</v>
      </c>
      <c r="EY25" s="22">
        <f t="shared" si="21"/>
        <v>10.329516215418746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9.9</v>
      </c>
      <c r="N26" s="13">
        <f>IF('Données projet'!$A$36&gt;35,N25+M26-V25,IF(A26&lt;'Données projet'!$A$36,$K$205^A26,IF(A26='Données projet'!$A$36,'Données projet'!$B$36,N25+M26-V25)))</f>
        <v>104.70000000000002</v>
      </c>
      <c r="O26" s="13">
        <f>N26*VLOOKUP('Données projet'!$B$9,Paramètres!$A$1:$I$89,3,0)*VLOOKUP('Données projet'!$B$9,Paramètres!$A$1:$I$89,5,0)</f>
        <v>91.465920000000025</v>
      </c>
      <c r="P26" s="13">
        <f t="shared" si="33"/>
        <v>24.918436466018207</v>
      </c>
      <c r="Q26" s="20">
        <f t="shared" si="2"/>
        <v>202.70275417831508</v>
      </c>
      <c r="R26" s="59">
        <f t="shared" si="0"/>
        <v>487.48053195609282</v>
      </c>
      <c r="S26" s="59">
        <f ca="1">AVERAGE(OFFSET($R$3,0,0,'Données projet'!$E$9+1,1))-AVERAGE(OFFSET($H$3,0,0,'Données projet'!$E$9+1,1))</f>
        <v>368.41876532159154</v>
      </c>
      <c r="T26" s="59">
        <f t="shared" si="34"/>
        <v>369.39570124551125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2.1130967404287468</v>
      </c>
      <c r="AA26" s="21">
        <f>EXP(-LN(2)/25)*AA25+(1-EXP(-LN(2)/25))/(LN(2)/25)*Calculateur!V26*Calculateur!X26*VLOOKUP('Données projet'!$B$9,Paramètres!$A$1:$I$89,3,0)*0.475*44/12</f>
        <v>9.2490580943262994</v>
      </c>
      <c r="AB26" s="21">
        <f>EXP(-LN(2)/2)*AB25+(1-EXP(-LN(2)/2))/(LN(2)/2)*V26*Y26*VLOOKUP('Données projet'!$B$9,Paramètres!$A$1:$I$89,3,0)*0.475*44/12</f>
        <v>7.0815479249653883</v>
      </c>
      <c r="AC26" s="22">
        <f t="shared" si="3"/>
        <v>18.443702759720434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14.5</v>
      </c>
      <c r="AI26" s="13">
        <f>IF('Données projet'!$A$62&gt;35,AI25+AH26-AQ25,IF(A26&lt;'Données projet'!$A$62,$AF$205^A26,IF(A26='Données projet'!$A$62,'Données projet'!$B$62,AI25+AH26-AQ25)))</f>
        <v>110.5</v>
      </c>
      <c r="AJ26" s="13">
        <f>AI26*VLOOKUP('Données projet'!$B$10,Paramètres!$A$1:$I$89,3,0)*VLOOKUP('Données projet'!$B$10,Paramètres!$A$1:$I$89,5,0)</f>
        <v>96.532800000000009</v>
      </c>
      <c r="AK26" s="13">
        <f t="shared" si="35"/>
        <v>26.134296230894989</v>
      </c>
      <c r="AL26" s="20">
        <f t="shared" si="4"/>
        <v>213.64519260214215</v>
      </c>
      <c r="AM26" s="59">
        <f t="shared" si="5"/>
        <v>498.42297037991989</v>
      </c>
      <c r="AN26" s="59">
        <f ca="1">AVERAGE(OFFSET($AM$3,0,0,'Données projet'!$E$10+1,1))-AVERAGE(OFFSET($H$3,0,0,'Données projet'!$E$10+1,1))</f>
        <v>402.82278346470082</v>
      </c>
      <c r="AO26" s="59">
        <f t="shared" si="36"/>
        <v>440.17787299198977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7.8580259577358351</v>
      </c>
      <c r="AW26" s="21">
        <f>EXP(-LN(2)/2)*AW25+(1-EXP(-LN(2)/2))/(LN(2)/2)*AQ26*AT26*VLOOKUP('Données projet'!$B$10,Paramètres!$A$1:$I$89,3,0)*0.475*44/12</f>
        <v>4.8813138988958942</v>
      </c>
      <c r="AX26" s="21">
        <f t="shared" si="6"/>
        <v>12.73933985663173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8.1999999999999993</v>
      </c>
      <c r="BD26" s="12">
        <f>IF('Données projet'!$A$88&gt;35,BD25+BC26-BL25,IF(A26&lt;'Données projet'!$A$88,$BA$205^A26,IF(A26='Données projet'!$A$88,'Données projet'!$B$88,BD25+BC26-BL25)))</f>
        <v>91.600000000000009</v>
      </c>
      <c r="BE26" s="13">
        <f>BD26*VLOOKUP('Données projet'!$B$11,Paramètres!$A$1:$I$89,3,0)*VLOOKUP('Données projet'!$B$11,Paramètres!$A$1:$I$89,5,0)</f>
        <v>82.879680000000008</v>
      </c>
      <c r="BF26" s="13">
        <f t="shared" si="37"/>
        <v>22.83982519050506</v>
      </c>
      <c r="BG26" s="20">
        <f t="shared" si="7"/>
        <v>184.12813820679631</v>
      </c>
      <c r="BH26" s="59">
        <f t="shared" si="8"/>
        <v>468.90591598457411</v>
      </c>
      <c r="BI26" s="59">
        <f ca="1">AVERAGE(OFFSET($BH$3,0,0,'Données projet'!$E$11+1,1))-AVERAGE(OFFSET($H$3,0,0,'Données projet'!$E$11+1,1))</f>
        <v>469.68830256438338</v>
      </c>
      <c r="BJ26" s="59">
        <f t="shared" si="38"/>
        <v>332.61387922152159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0.5913198517095738</v>
      </c>
      <c r="BR26" s="21">
        <f>EXP(-LN(2)/2)*BR25+(1-EXP(-LN(2)/2))/(LN(2)/2)*BL26*BO26*VLOOKUP('Données projet'!$B$11,Paramètres!$A$1:$I$89,3,0)*0.475*44/12</f>
        <v>0.45274446610228436</v>
      </c>
      <c r="BS26" s="22">
        <f t="shared" si="9"/>
        <v>1.0440643178118583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9.1</v>
      </c>
      <c r="BY26" s="12">
        <f>IF('Données projet'!$A$114&gt;35,BY25+BX26-CG25,IF(A26&lt;'Données projet'!$A$114,$BV$205^A26,IF(A26='Données projet'!$A$114,'Données projet'!$B$114,BY25+BX26-CG25)))</f>
        <v>59.300000000000004</v>
      </c>
      <c r="BZ26" s="13">
        <f>BY26*VLOOKUP('Données projet'!$B$12,Paramètres!$A$1:$I$89,3,0)*VLOOKUP('Données projet'!$B$12,Paramètres!$A$1:$I$89,5,0)</f>
        <v>56.429880000000004</v>
      </c>
      <c r="CA26" s="13">
        <f t="shared" si="39"/>
        <v>16.262433334576013</v>
      </c>
      <c r="CB26" s="20">
        <f t="shared" si="10"/>
        <v>126.60577905771989</v>
      </c>
      <c r="CC26" s="59">
        <f t="shared" si="11"/>
        <v>411.38355683549764</v>
      </c>
      <c r="CD26" s="59">
        <f ca="1">AVERAGE(OFFSET($CC$3,0,0,'Données projet'!$E$12+1,1))-AVERAGE(OFFSET($H$3,0,0,'Données projet'!$E$12+1,1))</f>
        <v>609.40025883662452</v>
      </c>
      <c r="CE26" s="59">
        <f t="shared" si="40"/>
        <v>294.48909834404577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9.1999999999999993</v>
      </c>
      <c r="CT26" s="12">
        <f>IF('Données projet'!$A$140&gt;35,CT25+CS26-DB25,IF(A26&lt;'Données projet'!$A$140,$CQ$205^A26,IF(A26='Données projet'!$A$140,'Données projet'!$B$140,CT25+CS26-DB25)))</f>
        <v>173.09999999999997</v>
      </c>
      <c r="CU26" s="17">
        <f>CT26*VLOOKUP('Données projet'!$B$13,Paramètres!$A$1:$I$89,3,0)*VLOOKUP('Données projet'!$B$13,Paramètres!$A$1:$I$89,5,0)</f>
        <v>81.010799999999989</v>
      </c>
      <c r="CV26" s="13">
        <f t="shared" si="41"/>
        <v>22.384149091932141</v>
      </c>
      <c r="CW26" s="20">
        <f t="shared" si="13"/>
        <v>180.07953633511511</v>
      </c>
      <c r="CX26" s="59">
        <f t="shared" si="14"/>
        <v>464.85731411289288</v>
      </c>
      <c r="CY26" s="59">
        <f ca="1">AVERAGE(OFFSET($CX$3,0,0,'Données projet'!$E$13+1,1))-AVERAGE(OFFSET($H$3,0,0,'Données projet'!$E$13+1,1))</f>
        <v>346.16623654404509</v>
      </c>
      <c r="CZ26" s="59">
        <f t="shared" si="42"/>
        <v>281.80933156559087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1.9560500307153104</v>
      </c>
      <c r="DH26" s="21">
        <f>EXP(-LN(2)/2)*DH25+(1-EXP(-LN(2)/2))/(LN(2)/2)*DB26*DE26*VLOOKUP('Données projet'!$B$13,Paramètres!$A$1:$I$89,3,0)*0.475*44/12</f>
        <v>1.170890860609356</v>
      </c>
      <c r="DI26" s="22">
        <f t="shared" si="15"/>
        <v>3.1269408913246663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13.9</v>
      </c>
      <c r="DO26" s="12">
        <f>IF('Données projet'!$A$166&gt;35,DO25+DN26-DW25,IF(A26&lt;'Données projet'!$A$166,$DL$205^A26,IF(A26='Données projet'!$A$166,'Données projet'!$B$166,DO25+DN26-DW25)))</f>
        <v>122.70000000000002</v>
      </c>
      <c r="DP26" s="17">
        <f>DO26*VLOOKUP('Données projet'!$B$14,Paramètres!$A$1:$I$89,3,0)*VLOOKUP('Données projet'!$B$14,Paramètres!$A$1:$I$89,5,0)</f>
        <v>76.56480000000002</v>
      </c>
      <c r="DQ26" s="13">
        <f t="shared" si="43"/>
        <v>21.295126483826621</v>
      </c>
      <c r="DR26" s="20">
        <f t="shared" si="16"/>
        <v>170.4393719593314</v>
      </c>
      <c r="DS26" s="59">
        <f t="shared" si="17"/>
        <v>455.21714973710914</v>
      </c>
      <c r="DT26" s="59">
        <f ca="1">AVERAGE(OFFSET($DS$3,0,0,'Données projet'!$E$14+1,1))-AVERAGE(OFFSET($H$3,0,0,'Données projet'!$E$14+1,1))</f>
        <v>319.97171762304686</v>
      </c>
      <c r="DU26" s="59">
        <f t="shared" si="44"/>
        <v>337.89345858359621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8.4216844958797346</v>
      </c>
      <c r="EC26" s="21">
        <f>EXP(-LN(2)/2)*EC25+(1-EXP(-LN(2)/2))/(LN(2)/2)*DW26*DZ26*VLOOKUP('Données projet'!$B$14,Paramètres!$A$1:$I$89,3,0)*0.475*44/12</f>
        <v>4.6211159298715918</v>
      </c>
      <c r="ED26" s="22">
        <f t="shared" si="18"/>
        <v>13.042800425751327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15</v>
      </c>
      <c r="EJ26" s="12">
        <f>IF('Données projet'!$A$192&gt;35,EJ25+EI26-ER25,IF(A26&lt;'Données projet'!$A$192,$EG$205^A26,IF(A26='Données projet'!$A$192,'Données projet'!$B$192,EJ25+EI26-ER25)))</f>
        <v>142</v>
      </c>
      <c r="EK26" s="17">
        <f>EJ26*VLOOKUP('Données projet'!$B$15,Paramètres!$A$1:$I$89,3,0)*VLOOKUP('Données projet'!$B$15,Paramètres!$A$1:$I$89,5,0)</f>
        <v>84.916000000000011</v>
      </c>
      <c r="EL26" s="13">
        <f t="shared" si="45"/>
        <v>23.33496813320572</v>
      </c>
      <c r="EM26" s="20">
        <f t="shared" si="19"/>
        <v>188.53710283199996</v>
      </c>
      <c r="EN26" s="59">
        <f t="shared" si="20"/>
        <v>473.31488060977773</v>
      </c>
      <c r="EO26" s="59">
        <f ca="1">AVERAGE(OFFSET($EN$3,0,0,'Données projet'!$E$15+1,1))-AVERAGE(OFFSET($H$3,0,0,'Données projet'!$E$15+1,1))</f>
        <v>258.46015871559956</v>
      </c>
      <c r="EP26" s="59">
        <f t="shared" si="46"/>
        <v>280.26155987300996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0.74005187614683421</v>
      </c>
      <c r="EW26" s="21">
        <f>EXP(-LN(2)/25)*EW25+(1-EXP(-LN(2)/25))/(LN(2)/25)*Calculateur!ER26*Calculateur!ET26*VLOOKUP('Données projet'!$B$15,Paramètres!$A$1:$I$89,3,0)*0.475*44/12</f>
        <v>5.4355689127935483</v>
      </c>
      <c r="EX26" s="21">
        <f>EXP(-LN(2)/2)*EX25+(1-EXP(-LN(2)/2))/(LN(2)/2)*ER26*EU26*VLOOKUP('Données projet'!$B$15,Paramètres!$A$1:$I$89,3,0)*0.475*44/12</f>
        <v>2.8187245984402569</v>
      </c>
      <c r="EY26" s="22">
        <f t="shared" si="21"/>
        <v>8.9943453873806405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9.9</v>
      </c>
      <c r="N27" s="13">
        <f>IF('Données projet'!$A$36&gt;35,N26+M27-V26,IF(A27&lt;'Données projet'!$A$36,$K$205^A27,IF(A27='Données projet'!$A$36,'Données projet'!$B$36,N26+M27-V26)))</f>
        <v>114.60000000000002</v>
      </c>
      <c r="O27" s="13">
        <f>N27*VLOOKUP('Données projet'!$B$9,Paramètres!$A$1:$I$89,3,0)*VLOOKUP('Données projet'!$B$9,Paramètres!$A$1:$I$89,5,0)</f>
        <v>100.11456000000003</v>
      </c>
      <c r="P27" s="13">
        <f t="shared" si="33"/>
        <v>26.989288069695206</v>
      </c>
      <c r="Q27" s="20">
        <f t="shared" si="2"/>
        <v>221.37253538805251</v>
      </c>
      <c r="R27" s="59">
        <f t="shared" si="0"/>
        <v>507.37253538805248</v>
      </c>
      <c r="S27" s="59">
        <f ca="1">AVERAGE(OFFSET($R$3,0,0,'Données projet'!$E$9+1,1))-AVERAGE(OFFSET($H$3,0,0,'Données projet'!$E$9+1,1))</f>
        <v>368.41876532159154</v>
      </c>
      <c r="T27" s="59">
        <f t="shared" si="34"/>
        <v>369.39570124551125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2.0716602022106865</v>
      </c>
      <c r="AA27" s="21">
        <f>EXP(-LN(2)/25)*AA26+(1-EXP(-LN(2)/25))/(LN(2)/25)*Calculateur!V27*Calculateur!X27*VLOOKUP('Données projet'!$B$9,Paramètres!$A$1:$I$89,3,0)*0.475*44/12</f>
        <v>8.9961421143501212</v>
      </c>
      <c r="AB27" s="21">
        <f>EXP(-LN(2)/2)*AB26+(1-EXP(-LN(2)/2))/(LN(2)/2)*V27*Y27*VLOOKUP('Données projet'!$B$9,Paramètres!$A$1:$I$89,3,0)*0.475*44/12</f>
        <v>5.0074105590405509</v>
      </c>
      <c r="AC27" s="22">
        <f t="shared" si="3"/>
        <v>16.075212875601359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14.5</v>
      </c>
      <c r="AI27" s="13">
        <f>IF('Données projet'!$A$62&gt;35,AI26+AH27-AQ26,IF(A27&lt;'Données projet'!$A$62,$AF$205^A27,IF(A27='Données projet'!$A$62,'Données projet'!$B$62,AI26+AH27-AQ26)))</f>
        <v>125</v>
      </c>
      <c r="AJ27" s="13">
        <f>AI27*VLOOKUP('Données projet'!$B$10,Paramètres!$A$1:$I$89,3,0)*VLOOKUP('Données projet'!$B$10,Paramètres!$A$1:$I$89,5,0)</f>
        <v>109.2</v>
      </c>
      <c r="AK27" s="13">
        <f t="shared" si="35"/>
        <v>29.142418334948612</v>
      </c>
      <c r="AL27" s="20">
        <f t="shared" si="4"/>
        <v>240.94637860003544</v>
      </c>
      <c r="AM27" s="59">
        <f t="shared" si="5"/>
        <v>526.94637860003547</v>
      </c>
      <c r="AN27" s="59">
        <f ca="1">AVERAGE(OFFSET($AM$3,0,0,'Données projet'!$E$10+1,1))-AVERAGE(OFFSET($H$3,0,0,'Données projet'!$E$10+1,1))</f>
        <v>402.82278346470082</v>
      </c>
      <c r="AO27" s="59">
        <f t="shared" si="36"/>
        <v>440.17787299198977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7.643147824685923</v>
      </c>
      <c r="AW27" s="21">
        <f>EXP(-LN(2)/2)*AW26+(1-EXP(-LN(2)/2))/(LN(2)/2)*AQ27*AT27*VLOOKUP('Données projet'!$B$10,Paramètres!$A$1:$I$89,3,0)*0.475*44/12</f>
        <v>3.4516101590094324</v>
      </c>
      <c r="AX27" s="21">
        <f t="shared" si="6"/>
        <v>11.094757983695356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8.1999999999999993</v>
      </c>
      <c r="BD27" s="12">
        <f>IF('Données projet'!$A$88&gt;35,BD26+BC27-BL26,IF(A27&lt;'Données projet'!$A$88,$BA$205^A27,IF(A27='Données projet'!$A$88,'Données projet'!$B$88,BD26+BC27-BL26)))</f>
        <v>99.800000000000011</v>
      </c>
      <c r="BE27" s="13">
        <f>BD27*VLOOKUP('Données projet'!$B$11,Paramètres!$A$1:$I$89,3,0)*VLOOKUP('Données projet'!$B$11,Paramètres!$A$1:$I$89,5,0)</f>
        <v>90.299040000000005</v>
      </c>
      <c r="BF27" s="13">
        <f t="shared" si="37"/>
        <v>24.637332311507059</v>
      </c>
      <c r="BG27" s="20">
        <f t="shared" si="7"/>
        <v>200.18084844254145</v>
      </c>
      <c r="BH27" s="59">
        <f t="shared" si="8"/>
        <v>486.18084844254145</v>
      </c>
      <c r="BI27" s="59">
        <f ca="1">AVERAGE(OFFSET($BH$3,0,0,'Données projet'!$E$11+1,1))-AVERAGE(OFFSET($H$3,0,0,'Données projet'!$E$11+1,1))</f>
        <v>469.68830256438338</v>
      </c>
      <c r="BJ27" s="59">
        <f t="shared" si="38"/>
        <v>332.61387922152159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0.57515017926841594</v>
      </c>
      <c r="BR27" s="21">
        <f>EXP(-LN(2)/2)*BR26+(1-EXP(-LN(2)/2))/(LN(2)/2)*BL27*BO27*VLOOKUP('Données projet'!$B$11,Paramètres!$A$1:$I$89,3,0)*0.475*44/12</f>
        <v>0.32013868212560831</v>
      </c>
      <c r="BS27" s="22">
        <f t="shared" si="9"/>
        <v>0.89528886139402419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9.1</v>
      </c>
      <c r="BY27" s="12">
        <f>IF('Données projet'!$A$114&gt;35,BY26+BX27-CG26,IF(A27&lt;'Données projet'!$A$114,$BV$205^A27,IF(A27='Données projet'!$A$114,'Données projet'!$B$114,BY26+BX27-CG26)))</f>
        <v>68.400000000000006</v>
      </c>
      <c r="BZ27" s="13">
        <f>BY27*VLOOKUP('Données projet'!$B$12,Paramètres!$A$1:$I$89,3,0)*VLOOKUP('Données projet'!$B$12,Paramètres!$A$1:$I$89,5,0)</f>
        <v>65.08944000000001</v>
      </c>
      <c r="CA27" s="13">
        <f t="shared" si="39"/>
        <v>18.448878625852387</v>
      </c>
      <c r="CB27" s="20">
        <f t="shared" si="10"/>
        <v>145.49590494002624</v>
      </c>
      <c r="CC27" s="59">
        <f t="shared" si="11"/>
        <v>431.49590494002621</v>
      </c>
      <c r="CD27" s="59">
        <f ca="1">AVERAGE(OFFSET($CC$3,0,0,'Données projet'!$E$12+1,1))-AVERAGE(OFFSET($H$3,0,0,'Données projet'!$E$12+1,1))</f>
        <v>609.40025883662452</v>
      </c>
      <c r="CE27" s="59">
        <f t="shared" si="40"/>
        <v>294.48909834404577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9.1999999999999993</v>
      </c>
      <c r="CT27" s="12">
        <f>IF('Données projet'!$A$140&gt;35,CT26+CS27-DB26,IF(A27&lt;'Données projet'!$A$140,$CQ$205^A27,IF(A27='Données projet'!$A$140,'Données projet'!$B$140,CT26+CS27-DB26)))</f>
        <v>182.29999999999995</v>
      </c>
      <c r="CU27" s="17">
        <f>CT27*VLOOKUP('Données projet'!$B$13,Paramètres!$A$1:$I$89,3,0)*VLOOKUP('Données projet'!$B$13,Paramètres!$A$1:$I$89,5,0)</f>
        <v>85.316399999999987</v>
      </c>
      <c r="CV27" s="13">
        <f t="shared" si="41"/>
        <v>23.432164150529264</v>
      </c>
      <c r="CW27" s="20">
        <f t="shared" si="13"/>
        <v>189.40374922883845</v>
      </c>
      <c r="CX27" s="59">
        <f t="shared" si="14"/>
        <v>475.40374922883848</v>
      </c>
      <c r="CY27" s="59">
        <f ca="1">AVERAGE(OFFSET($CX$3,0,0,'Données projet'!$E$13+1,1))-AVERAGE(OFFSET($H$3,0,0,'Données projet'!$E$13+1,1))</f>
        <v>346.16623654404509</v>
      </c>
      <c r="CZ27" s="59">
        <f t="shared" si="42"/>
        <v>281.80933156559087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1.9025617397611998</v>
      </c>
      <c r="DH27" s="21">
        <f>EXP(-LN(2)/2)*DH26+(1-EXP(-LN(2)/2))/(LN(2)/2)*DB27*DE27*VLOOKUP('Données projet'!$B$13,Paramètres!$A$1:$I$89,3,0)*0.475*44/12</f>
        <v>0.8279448675662282</v>
      </c>
      <c r="DI27" s="22">
        <f t="shared" si="15"/>
        <v>2.730506607327428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13.9</v>
      </c>
      <c r="DO27" s="12">
        <f>IF('Données projet'!$A$166&gt;35,DO26+DN27-DW26,IF(A27&lt;'Données projet'!$A$166,$DL$205^A27,IF(A27='Données projet'!$A$166,'Données projet'!$B$166,DO26+DN27-DW26)))</f>
        <v>136.60000000000002</v>
      </c>
      <c r="DP27" s="17">
        <f>DO27*VLOOKUP('Données projet'!$B$14,Paramètres!$A$1:$I$89,3,0)*VLOOKUP('Données projet'!$B$14,Paramètres!$A$1:$I$89,5,0)</f>
        <v>85.238400000000013</v>
      </c>
      <c r="DQ27" s="13">
        <f t="shared" si="43"/>
        <v>23.413234033238567</v>
      </c>
      <c r="DR27" s="20">
        <f t="shared" si="16"/>
        <v>189.2349292745572</v>
      </c>
      <c r="DS27" s="59">
        <f t="shared" si="17"/>
        <v>475.2349292745572</v>
      </c>
      <c r="DT27" s="59">
        <f ca="1">AVERAGE(OFFSET($DS$3,0,0,'Données projet'!$E$14+1,1))-AVERAGE(OFFSET($H$3,0,0,'Données projet'!$E$14+1,1))</f>
        <v>319.97171762304686</v>
      </c>
      <c r="DU27" s="59">
        <f t="shared" si="44"/>
        <v>337.89345858359621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8.1913930904627641</v>
      </c>
      <c r="EC27" s="21">
        <f>EXP(-LN(2)/2)*EC26+(1-EXP(-LN(2)/2))/(LN(2)/2)*DW27*DZ27*VLOOKUP('Données projet'!$B$14,Paramètres!$A$1:$I$89,3,0)*0.475*44/12</f>
        <v>3.2676224106613811</v>
      </c>
      <c r="ED27" s="22">
        <f t="shared" si="18"/>
        <v>11.459015501124146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>
        <f>VLOOKUP(A27,'Données projet'!$A$191:$I$211,2,0)</f>
        <v>157</v>
      </c>
      <c r="EH27" s="12">
        <f>VLOOKUP(A27,'Données projet'!$A$191:$I$211,9,0)</f>
        <v>15</v>
      </c>
      <c r="EI27" s="12">
        <f t="array" ref="EI27">INDEX(EH:EH,MIN(IF(ISNUMBER(EH27:EH223),ROW(EH27:EH223),"")))</f>
        <v>15</v>
      </c>
      <c r="EJ27" s="12">
        <f>IF('Données projet'!$A$192&gt;35,EJ26+EI27-ER26,IF(A27&lt;'Données projet'!$A$192,$EG$205^A27,IF(A27='Données projet'!$A$192,'Données projet'!$B$192,EJ26+EI27-ER26)))</f>
        <v>157</v>
      </c>
      <c r="EK27" s="17">
        <f>EJ27*VLOOKUP('Données projet'!$B$15,Paramètres!$A$1:$I$89,3,0)*VLOOKUP('Données projet'!$B$15,Paramètres!$A$1:$I$89,5,0)</f>
        <v>93.885999999999996</v>
      </c>
      <c r="EL27" s="13">
        <f t="shared" si="45"/>
        <v>25.500116461916402</v>
      </c>
      <c r="EM27" s="20">
        <f t="shared" si="19"/>
        <v>207.9308195045044</v>
      </c>
      <c r="EN27" s="59">
        <f t="shared" si="20"/>
        <v>493.93081950450437</v>
      </c>
      <c r="EO27" s="59">
        <f ca="1">AVERAGE(OFFSET($EN$3,0,0,'Données projet'!$E$15+1,1))-AVERAGE(OFFSET($H$3,0,0,'Données projet'!$E$15+1,1))</f>
        <v>258.46015871559956</v>
      </c>
      <c r="EP27" s="59">
        <f t="shared" si="46"/>
        <v>280.26155987300996</v>
      </c>
      <c r="EQ27" s="15">
        <f>IF(ISNA(VLOOKUP(A27,'Données projet'!$A$191:$I$211,3,0)),0,VLOOKUP(A27,'Données projet'!$A$191:$I$211,3,0))</f>
        <v>3</v>
      </c>
      <c r="ER27" s="15">
        <f>IF(ISNA(VLOOKUP(A27,'Données projet'!$A$191:$I$211,4,0)),0,VLOOKUP(A27,'Données projet'!$A$191:$I$211,4,0))</f>
        <v>31</v>
      </c>
      <c r="ES27" s="16">
        <f>IF(ISNA(VLOOKUP(A27,'Données projet'!$A$191:$I$211,5,0)),0%,VLOOKUP(A27,'Données projet'!$A$191:$I$211,5,0)*VLOOKUP('Données projet'!$B$15,Paramètres!$A$1:$I$89,7,0))</f>
        <v>9.0000000000000011E-2</v>
      </c>
      <c r="ET27" s="16">
        <f>IF(ISNA(VLOOKUP(A27,'Données projet'!$A$191:$I$211,6,0)),0%,VLOOKUP(A27,'Données projet'!$A$191:$I$211,6,0)*VLOOKUP('Données projet'!$B$15,Paramètres!$A$1:$I$89,7,0))</f>
        <v>0.18000000000000002</v>
      </c>
      <c r="EU27" s="16">
        <f>IF(ISNA(VLOOKUP(A27,'Données projet'!$A$191:$I$211,7,0)),0%,VLOOKUP(A27,'Données projet'!$A$191:$I$211,7,0))</f>
        <v>0.4</v>
      </c>
      <c r="EV27" s="21">
        <f>EXP(-LN(2)/35)*EV26+(1-EXP(-LN(2)/35))/(LN(2)/35)*ER27*ES27*VLOOKUP('Données projet'!$B$15,Paramètres!$A$1:$I$89,3,0)*0.475*44/12</f>
        <v>2.9388065789871067</v>
      </c>
      <c r="EW27" s="21">
        <f>EXP(-LN(2)/25)*EW26+(1-EXP(-LN(2)/25))/(LN(2)/25)*Calculateur!ER27*Calculateur!ET27*VLOOKUP('Données projet'!$B$15,Paramètres!$A$1:$I$89,3,0)*0.475*44/12</f>
        <v>9.6960373841268126</v>
      </c>
      <c r="EX27" s="21">
        <f>EXP(-LN(2)/2)*EX26+(1-EXP(-LN(2)/2))/(LN(2)/2)*ER27*EU27*VLOOKUP('Données projet'!$B$15,Paramètres!$A$1:$I$89,3,0)*0.475*44/12</f>
        <v>10.388868210472685</v>
      </c>
      <c r="EY27" s="22">
        <f t="shared" si="21"/>
        <v>23.023712173586603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9.9</v>
      </c>
      <c r="N28" s="13">
        <f>IF('Données projet'!$A$36&gt;35,N27+M28-V27,IF(A28&lt;'Données projet'!$A$36,$K$205^A28,IF(A28='Données projet'!$A$36,'Données projet'!$B$36,N27+M28-V27)))</f>
        <v>124.50000000000003</v>
      </c>
      <c r="O28" s="13">
        <f>N28*VLOOKUP('Données projet'!$B$9,Paramètres!$A$1:$I$89,3,0)*VLOOKUP('Données projet'!$B$9,Paramètres!$A$1:$I$89,5,0)</f>
        <v>108.76320000000004</v>
      </c>
      <c r="P28" s="13">
        <f t="shared" si="33"/>
        <v>29.039393357192587</v>
      </c>
      <c r="Q28" s="20">
        <f t="shared" si="2"/>
        <v>240.0061834304438</v>
      </c>
      <c r="R28" s="59">
        <f t="shared" si="0"/>
        <v>527.22840565266597</v>
      </c>
      <c r="S28" s="59">
        <f ca="1">AVERAGE(OFFSET($R$3,0,0,'Données projet'!$E$9+1,1))-AVERAGE(OFFSET($H$3,0,0,'Données projet'!$E$9+1,1))</f>
        <v>368.41876532159154</v>
      </c>
      <c r="T28" s="59">
        <f t="shared" si="34"/>
        <v>369.39570124551125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2.0310362092332892</v>
      </c>
      <c r="AA28" s="21">
        <f>EXP(-LN(2)/25)*AA27+(1-EXP(-LN(2)/25))/(LN(2)/25)*Calculateur!V28*Calculateur!X28*VLOOKUP('Données projet'!$B$9,Paramètres!$A$1:$I$89,3,0)*0.475*44/12</f>
        <v>8.7501421351466639</v>
      </c>
      <c r="AB28" s="21">
        <f>EXP(-LN(2)/2)*AB27+(1-EXP(-LN(2)/2))/(LN(2)/2)*V28*Y28*VLOOKUP('Données projet'!$B$9,Paramètres!$A$1:$I$89,3,0)*0.475*44/12</f>
        <v>3.5407739624826946</v>
      </c>
      <c r="AC28" s="22">
        <f t="shared" si="3"/>
        <v>14.321952306862647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14.5</v>
      </c>
      <c r="AI28" s="13">
        <f>IF('Données projet'!$A$62&gt;35,AI27+AH28-AQ27,IF(A28&lt;'Données projet'!$A$62,$AF$205^A28,IF(A28='Données projet'!$A$62,'Données projet'!$B$62,AI27+AH28-AQ27)))</f>
        <v>139.5</v>
      </c>
      <c r="AJ28" s="13">
        <f>AI28*VLOOKUP('Données projet'!$B$10,Paramètres!$A$1:$I$89,3,0)*VLOOKUP('Données projet'!$B$10,Paramètres!$A$1:$I$89,5,0)</f>
        <v>121.86720000000001</v>
      </c>
      <c r="AK28" s="13">
        <f t="shared" si="35"/>
        <v>32.110100916567376</v>
      </c>
      <c r="AL28" s="20">
        <f t="shared" si="4"/>
        <v>268.17713242968824</v>
      </c>
      <c r="AM28" s="59">
        <f t="shared" si="5"/>
        <v>555.39935465191047</v>
      </c>
      <c r="AN28" s="59">
        <f ca="1">AVERAGE(OFFSET($AM$3,0,0,'Données projet'!$E$10+1,1))-AVERAGE(OFFSET($H$3,0,0,'Données projet'!$E$10+1,1))</f>
        <v>402.82278346470082</v>
      </c>
      <c r="AO28" s="59">
        <f t="shared" si="36"/>
        <v>440.17787299198977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7.4341455454842107</v>
      </c>
      <c r="AW28" s="21">
        <f>EXP(-LN(2)/2)*AW27+(1-EXP(-LN(2)/2))/(LN(2)/2)*AQ28*AT28*VLOOKUP('Données projet'!$B$10,Paramètres!$A$1:$I$89,3,0)*0.475*44/12</f>
        <v>2.4406569494479475</v>
      </c>
      <c r="AX28" s="21">
        <f t="shared" si="6"/>
        <v>9.8748024949321582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8.1999999999999993</v>
      </c>
      <c r="BD28" s="12">
        <f>IF('Données projet'!$A$88&gt;35,BD27+BC28-BL27,IF(A28&lt;'Données projet'!$A$88,$BA$205^A28,IF(A28='Données projet'!$A$88,'Données projet'!$B$88,BD27+BC28-BL27)))</f>
        <v>108.00000000000001</v>
      </c>
      <c r="BE28" s="13">
        <f>BD28*VLOOKUP('Données projet'!$B$11,Paramètres!$A$1:$I$89,3,0)*VLOOKUP('Données projet'!$B$11,Paramètres!$A$1:$I$89,5,0)</f>
        <v>97.718400000000003</v>
      </c>
      <c r="BF28" s="13">
        <f t="shared" si="37"/>
        <v>26.417709819192194</v>
      </c>
      <c r="BG28" s="20">
        <f t="shared" si="7"/>
        <v>216.20372460175975</v>
      </c>
      <c r="BH28" s="59">
        <f t="shared" si="8"/>
        <v>503.42594682398197</v>
      </c>
      <c r="BI28" s="59">
        <f ca="1">AVERAGE(OFFSET($BH$3,0,0,'Données projet'!$E$11+1,1))-AVERAGE(OFFSET($H$3,0,0,'Données projet'!$E$11+1,1))</f>
        <v>469.68830256438338</v>
      </c>
      <c r="BJ28" s="59">
        <f t="shared" si="38"/>
        <v>332.61387922152159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0.55942266737048774</v>
      </c>
      <c r="BR28" s="21">
        <f>EXP(-LN(2)/2)*BR27+(1-EXP(-LN(2)/2))/(LN(2)/2)*BL28*BO28*VLOOKUP('Données projet'!$B$11,Paramètres!$A$1:$I$89,3,0)*0.475*44/12</f>
        <v>0.22637223305114224</v>
      </c>
      <c r="BS28" s="22">
        <f t="shared" si="9"/>
        <v>0.78579490042163003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9.1</v>
      </c>
      <c r="BY28" s="12">
        <f>IF('Données projet'!$A$114&gt;35,BY27+BX28-CG27,IF(A28&lt;'Données projet'!$A$114,$BV$205^A28,IF(A28='Données projet'!$A$114,'Données projet'!$B$114,BY27+BX28-CG27)))</f>
        <v>77.5</v>
      </c>
      <c r="BZ28" s="13">
        <f>BY28*VLOOKUP('Données projet'!$B$12,Paramètres!$A$1:$I$89,3,0)*VLOOKUP('Données projet'!$B$12,Paramètres!$A$1:$I$89,5,0)</f>
        <v>73.748999999999995</v>
      </c>
      <c r="CA28" s="13">
        <f t="shared" si="39"/>
        <v>20.601620675690747</v>
      </c>
      <c r="CB28" s="20">
        <f t="shared" si="10"/>
        <v>164.32733101016137</v>
      </c>
      <c r="CC28" s="59">
        <f t="shared" si="11"/>
        <v>451.54955323238357</v>
      </c>
      <c r="CD28" s="59">
        <f ca="1">AVERAGE(OFFSET($CC$3,0,0,'Données projet'!$E$12+1,1))-AVERAGE(OFFSET($H$3,0,0,'Données projet'!$E$12+1,1))</f>
        <v>609.40025883662452</v>
      </c>
      <c r="CE28" s="59">
        <f t="shared" si="40"/>
        <v>294.48909834404577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9.1999999999999993</v>
      </c>
      <c r="CT28" s="12">
        <f>IF('Données projet'!$A$140&gt;35,CT27+CS28-DB27,IF(A28&lt;'Données projet'!$A$140,$CQ$205^A28,IF(A28='Données projet'!$A$140,'Données projet'!$B$140,CT27+CS28-DB27)))</f>
        <v>191.49999999999994</v>
      </c>
      <c r="CU28" s="17">
        <f>CT28*VLOOKUP('Données projet'!$B$13,Paramètres!$A$1:$I$89,3,0)*VLOOKUP('Données projet'!$B$13,Paramètres!$A$1:$I$89,5,0)</f>
        <v>89.621999999999986</v>
      </c>
      <c r="CV28" s="13">
        <f t="shared" si="41"/>
        <v>24.47403817697321</v>
      </c>
      <c r="CW28" s="20">
        <f t="shared" si="13"/>
        <v>198.71726649156165</v>
      </c>
      <c r="CX28" s="59">
        <f t="shared" si="14"/>
        <v>485.93948871378387</v>
      </c>
      <c r="CY28" s="59">
        <f ca="1">AVERAGE(OFFSET($CX$3,0,0,'Données projet'!$E$13+1,1))-AVERAGE(OFFSET($H$3,0,0,'Données projet'!$E$13+1,1))</f>
        <v>346.16623654404509</v>
      </c>
      <c r="CZ28" s="59">
        <f t="shared" si="42"/>
        <v>281.80933156559087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1.8505360889360563</v>
      </c>
      <c r="DH28" s="21">
        <f>EXP(-LN(2)/2)*DH27+(1-EXP(-LN(2)/2))/(LN(2)/2)*DB28*DE28*VLOOKUP('Données projet'!$B$13,Paramètres!$A$1:$I$89,3,0)*0.475*44/12</f>
        <v>0.58544543030467799</v>
      </c>
      <c r="DI28" s="22">
        <f t="shared" si="15"/>
        <v>2.4359815192407344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13.9</v>
      </c>
      <c r="DO28" s="12">
        <f>IF('Données projet'!$A$166&gt;35,DO27+DN28-DW27,IF(A28&lt;'Données projet'!$A$166,$DL$205^A28,IF(A28='Données projet'!$A$166,'Données projet'!$B$166,DO27+DN28-DW27)))</f>
        <v>150.50000000000003</v>
      </c>
      <c r="DP28" s="17">
        <f>DO28*VLOOKUP('Données projet'!$B$14,Paramètres!$A$1:$I$89,3,0)*VLOOKUP('Données projet'!$B$14,Paramètres!$A$1:$I$89,5,0)</f>
        <v>93.91200000000002</v>
      </c>
      <c r="DQ28" s="13">
        <f t="shared" si="43"/>
        <v>25.506356157232645</v>
      </c>
      <c r="DR28" s="20">
        <f t="shared" si="16"/>
        <v>207.9869703071802</v>
      </c>
      <c r="DS28" s="59">
        <f t="shared" si="17"/>
        <v>495.20919252940246</v>
      </c>
      <c r="DT28" s="59">
        <f ca="1">AVERAGE(OFFSET($DS$3,0,0,'Données projet'!$E$14+1,1))-AVERAGE(OFFSET($H$3,0,0,'Données projet'!$E$14+1,1))</f>
        <v>319.97171762304686</v>
      </c>
      <c r="DU28" s="59">
        <f t="shared" si="44"/>
        <v>337.89345858359621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7.9673990156374188</v>
      </c>
      <c r="EC28" s="21">
        <f>EXP(-LN(2)/2)*EC27+(1-EXP(-LN(2)/2))/(LN(2)/2)*DW28*DZ28*VLOOKUP('Données projet'!$B$14,Paramètres!$A$1:$I$89,3,0)*0.475*44/12</f>
        <v>2.3105579649357963</v>
      </c>
      <c r="ED28" s="22">
        <f t="shared" si="18"/>
        <v>10.277956980573215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16</v>
      </c>
      <c r="EJ28" s="12">
        <f>IF('Données projet'!$A$192&gt;35,EJ27+EI28-ER27,IF(A28&lt;'Données projet'!$A$192,$EG$205^A28,IF(A28='Données projet'!$A$192,'Données projet'!$B$192,EJ27+EI28-ER27)))</f>
        <v>142</v>
      </c>
      <c r="EK28" s="17">
        <f>EJ28*VLOOKUP('Données projet'!$B$15,Paramètres!$A$1:$I$89,3,0)*VLOOKUP('Données projet'!$B$15,Paramètres!$A$1:$I$89,5,0)</f>
        <v>84.916000000000011</v>
      </c>
      <c r="EL28" s="13">
        <f t="shared" si="45"/>
        <v>23.33496813320572</v>
      </c>
      <c r="EM28" s="20">
        <f t="shared" si="19"/>
        <v>188.53710283199996</v>
      </c>
      <c r="EN28" s="59">
        <f t="shared" si="20"/>
        <v>475.75932505422219</v>
      </c>
      <c r="EO28" s="59">
        <f ca="1">AVERAGE(OFFSET($EN$3,0,0,'Données projet'!$E$15+1,1))-AVERAGE(OFFSET($H$3,0,0,'Données projet'!$E$15+1,1))</f>
        <v>258.46015871559956</v>
      </c>
      <c r="EP28" s="59">
        <f t="shared" si="46"/>
        <v>280.26155987300996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2.8811783744681887</v>
      </c>
      <c r="EW28" s="21">
        <f>EXP(-LN(2)/25)*EW27+(1-EXP(-LN(2)/25))/(LN(2)/25)*Calculateur!ER28*Calculateur!ET28*VLOOKUP('Données projet'!$B$15,Paramètres!$A$1:$I$89,3,0)*0.475*44/12</f>
        <v>9.4308987319654189</v>
      </c>
      <c r="EX28" s="21">
        <f>EXP(-LN(2)/2)*EX27+(1-EXP(-LN(2)/2))/(LN(2)/2)*ER28*EU28*VLOOKUP('Données projet'!$B$15,Paramètres!$A$1:$I$89,3,0)*0.475*44/12</f>
        <v>7.3460391604785888</v>
      </c>
      <c r="EY28" s="22">
        <f t="shared" si="21"/>
        <v>19.658116266912195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9.9</v>
      </c>
      <c r="N29" s="13">
        <f>IF('Données projet'!$A$36&gt;35,N28+M29-V28,IF(A29&lt;'Données projet'!$A$36,$K$205^A29,IF(A29='Données projet'!$A$36,'Données projet'!$B$36,N28+M29-V28)))</f>
        <v>134.40000000000003</v>
      </c>
      <c r="O29" s="13">
        <f>N29*VLOOKUP('Données projet'!$B$9,Paramètres!$A$1:$I$89,3,0)*VLOOKUP('Données projet'!$B$9,Paramètres!$A$1:$I$89,5,0)</f>
        <v>117.41184000000004</v>
      </c>
      <c r="P29" s="13">
        <f t="shared" si="33"/>
        <v>31.070589593507073</v>
      </c>
      <c r="Q29" s="20">
        <f t="shared" si="2"/>
        <v>258.60689820869152</v>
      </c>
      <c r="R29" s="59">
        <f t="shared" si="0"/>
        <v>547.05134265313598</v>
      </c>
      <c r="S29" s="59">
        <f ca="1">AVERAGE(OFFSET($R$3,0,0,'Données projet'!$E$9+1,1))-AVERAGE(OFFSET($H$3,0,0,'Données projet'!$E$9+1,1))</f>
        <v>368.41876532159154</v>
      </c>
      <c r="T29" s="59">
        <f t="shared" si="34"/>
        <v>369.39570124551125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1.9912088279799898</v>
      </c>
      <c r="AA29" s="21">
        <f>EXP(-LN(2)/25)*AA28+(1-EXP(-LN(2)/25))/(LN(2)/25)*Calculateur!V29*Calculateur!X29*VLOOKUP('Données projet'!$B$9,Paramètres!$A$1:$I$89,3,0)*0.475*44/12</f>
        <v>8.5108690383111014</v>
      </c>
      <c r="AB29" s="21">
        <f>EXP(-LN(2)/2)*AB28+(1-EXP(-LN(2)/2))/(LN(2)/2)*V29*Y29*VLOOKUP('Données projet'!$B$9,Paramètres!$A$1:$I$89,3,0)*0.475*44/12</f>
        <v>2.5037052795202759</v>
      </c>
      <c r="AC29" s="22">
        <f t="shared" si="3"/>
        <v>13.005783145811368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14.5</v>
      </c>
      <c r="AI29" s="13">
        <f>IF('Données projet'!$A$62&gt;35,AI28+AH29-AQ28,IF(A29&lt;'Données projet'!$A$62,$AF$205^A29,IF(A29='Données projet'!$A$62,'Données projet'!$B$62,AI28+AH29-AQ28)))</f>
        <v>154</v>
      </c>
      <c r="AJ29" s="13">
        <f>AI29*VLOOKUP('Données projet'!$B$10,Paramètres!$A$1:$I$89,3,0)*VLOOKUP('Données projet'!$B$10,Paramètres!$A$1:$I$89,5,0)</f>
        <v>134.53440000000001</v>
      </c>
      <c r="AK29" s="13">
        <f t="shared" si="35"/>
        <v>35.042026165482234</v>
      </c>
      <c r="AL29" s="20">
        <f t="shared" si="4"/>
        <v>295.34560890488154</v>
      </c>
      <c r="AM29" s="59">
        <f t="shared" si="5"/>
        <v>583.79005334932594</v>
      </c>
      <c r="AN29" s="59">
        <f ca="1">AVERAGE(OFFSET($AM$3,0,0,'Données projet'!$E$10+1,1))-AVERAGE(OFFSET($H$3,0,0,'Données projet'!$E$10+1,1))</f>
        <v>402.82278346470082</v>
      </c>
      <c r="AO29" s="59">
        <f t="shared" si="36"/>
        <v>440.17787299198977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7.2308584445982218</v>
      </c>
      <c r="AW29" s="21">
        <f>EXP(-LN(2)/2)*AW28+(1-EXP(-LN(2)/2))/(LN(2)/2)*AQ29*AT29*VLOOKUP('Données projet'!$B$10,Paramètres!$A$1:$I$89,3,0)*0.475*44/12</f>
        <v>1.7258050795047166</v>
      </c>
      <c r="AX29" s="21">
        <f t="shared" si="6"/>
        <v>8.9566635241029378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8.1999999999999993</v>
      </c>
      <c r="BD29" s="12">
        <f>IF('Données projet'!$A$88&gt;35,BD28+BC29-BL28,IF(A29&lt;'Données projet'!$A$88,$BA$205^A29,IF(A29='Données projet'!$A$88,'Données projet'!$B$88,BD28+BC29-BL28)))</f>
        <v>116.20000000000002</v>
      </c>
      <c r="BE29" s="13">
        <f>BD29*VLOOKUP('Données projet'!$B$11,Paramètres!$A$1:$I$89,3,0)*VLOOKUP('Données projet'!$B$11,Paramètres!$A$1:$I$89,5,0)</f>
        <v>105.13776</v>
      </c>
      <c r="BF29" s="13">
        <f t="shared" si="37"/>
        <v>28.182406176030653</v>
      </c>
      <c r="BG29" s="20">
        <f t="shared" si="7"/>
        <v>232.19928942325339</v>
      </c>
      <c r="BH29" s="59">
        <f t="shared" si="8"/>
        <v>520.64373386769785</v>
      </c>
      <c r="BI29" s="59">
        <f ca="1">AVERAGE(OFFSET($BH$3,0,0,'Données projet'!$E$11+1,1))-AVERAGE(OFFSET($H$3,0,0,'Données projet'!$E$11+1,1))</f>
        <v>469.68830256438338</v>
      </c>
      <c r="BJ29" s="59">
        <f t="shared" si="38"/>
        <v>332.61387922152159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0.54412522511248229</v>
      </c>
      <c r="BR29" s="21">
        <f>EXP(-LN(2)/2)*BR28+(1-EXP(-LN(2)/2))/(LN(2)/2)*BL29*BO29*VLOOKUP('Données projet'!$B$11,Paramètres!$A$1:$I$89,3,0)*0.475*44/12</f>
        <v>0.16006934106280418</v>
      </c>
      <c r="BS29" s="22">
        <f t="shared" si="9"/>
        <v>0.70419456617528642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9.1</v>
      </c>
      <c r="BY29" s="12">
        <f>IF('Données projet'!$A$114&gt;35,BY28+BX29-CG28,IF(A29&lt;'Données projet'!$A$114,$BV$205^A29,IF(A29='Données projet'!$A$114,'Données projet'!$B$114,BY28+BX29-CG28)))</f>
        <v>86.6</v>
      </c>
      <c r="BZ29" s="13">
        <f>BY29*VLOOKUP('Données projet'!$B$12,Paramètres!$A$1:$I$89,3,0)*VLOOKUP('Données projet'!$B$12,Paramètres!$A$1:$I$89,5,0)</f>
        <v>82.408559999999994</v>
      </c>
      <c r="CA29" s="13">
        <f t="shared" si="39"/>
        <v>22.725069054193366</v>
      </c>
      <c r="CB29" s="20">
        <f t="shared" si="10"/>
        <v>183.10773726938677</v>
      </c>
      <c r="CC29" s="59">
        <f t="shared" si="11"/>
        <v>471.55218171383126</v>
      </c>
      <c r="CD29" s="59">
        <f ca="1">AVERAGE(OFFSET($CC$3,0,0,'Données projet'!$E$12+1,1))-AVERAGE(OFFSET($H$3,0,0,'Données projet'!$E$12+1,1))</f>
        <v>609.40025883662452</v>
      </c>
      <c r="CE29" s="59">
        <f t="shared" si="40"/>
        <v>294.48909834404577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9.1999999999999993</v>
      </c>
      <c r="CT29" s="12">
        <f>IF('Données projet'!$A$140&gt;35,CT28+CS29-DB28,IF(A29&lt;'Données projet'!$A$140,$CQ$205^A29,IF(A29='Données projet'!$A$140,'Données projet'!$B$140,CT28+CS29-DB28)))</f>
        <v>200.69999999999993</v>
      </c>
      <c r="CU29" s="17">
        <f>CT29*VLOOKUP('Données projet'!$B$13,Paramètres!$A$1:$I$89,3,0)*VLOOKUP('Données projet'!$B$13,Paramètres!$A$1:$I$89,5,0)</f>
        <v>93.927599999999956</v>
      </c>
      <c r="CV29" s="13">
        <f t="shared" si="41"/>
        <v>25.510099877901624</v>
      </c>
      <c r="CW29" s="20">
        <f t="shared" si="13"/>
        <v>208.02066062067857</v>
      </c>
      <c r="CX29" s="59">
        <f t="shared" si="14"/>
        <v>496.465105065123</v>
      </c>
      <c r="CY29" s="59">
        <f ca="1">AVERAGE(OFFSET($CX$3,0,0,'Données projet'!$E$13+1,1))-AVERAGE(OFFSET($H$3,0,0,'Données projet'!$E$13+1,1))</f>
        <v>346.16623654404509</v>
      </c>
      <c r="CZ29" s="59">
        <f t="shared" si="42"/>
        <v>281.80933156559087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1.7999330822686364</v>
      </c>
      <c r="DH29" s="21">
        <f>EXP(-LN(2)/2)*DH28+(1-EXP(-LN(2)/2))/(LN(2)/2)*DB29*DE29*VLOOKUP('Données projet'!$B$13,Paramètres!$A$1:$I$89,3,0)*0.475*44/12</f>
        <v>0.4139724337831141</v>
      </c>
      <c r="DI29" s="22">
        <f t="shared" si="15"/>
        <v>2.2139055160517502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13.9</v>
      </c>
      <c r="DO29" s="12">
        <f>IF('Données projet'!$A$166&gt;35,DO28+DN29-DW28,IF(A29&lt;'Données projet'!$A$166,$DL$205^A29,IF(A29='Données projet'!$A$166,'Données projet'!$B$166,DO28+DN29-DW28)))</f>
        <v>164.40000000000003</v>
      </c>
      <c r="DP29" s="17">
        <f>DO29*VLOOKUP('Données projet'!$B$14,Paramètres!$A$1:$I$89,3,0)*VLOOKUP('Données projet'!$B$14,Paramètres!$A$1:$I$89,5,0)</f>
        <v>102.58560000000003</v>
      </c>
      <c r="DQ29" s="13">
        <f t="shared" si="43"/>
        <v>27.577062948792328</v>
      </c>
      <c r="DR29" s="20">
        <f t="shared" si="16"/>
        <v>226.69997130248001</v>
      </c>
      <c r="DS29" s="59">
        <f t="shared" si="17"/>
        <v>515.14441574692444</v>
      </c>
      <c r="DT29" s="59">
        <f ca="1">AVERAGE(OFFSET($DS$3,0,0,'Données projet'!$E$14+1,1))-AVERAGE(OFFSET($H$3,0,0,'Données projet'!$E$14+1,1))</f>
        <v>319.97171762304686</v>
      </c>
      <c r="DU29" s="59">
        <f t="shared" si="44"/>
        <v>337.89345858359621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7.7495300705675092</v>
      </c>
      <c r="EC29" s="21">
        <f>EXP(-LN(2)/2)*EC28+(1-EXP(-LN(2)/2))/(LN(2)/2)*DW29*DZ29*VLOOKUP('Données projet'!$B$14,Paramètres!$A$1:$I$89,3,0)*0.475*44/12</f>
        <v>1.6338112053306908</v>
      </c>
      <c r="ED29" s="22">
        <f t="shared" si="18"/>
        <v>9.3833412758982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16</v>
      </c>
      <c r="EJ29" s="12">
        <f>IF('Données projet'!$A$192&gt;35,EJ28+EI29-ER28,IF(A29&lt;'Données projet'!$A$192,$EG$205^A29,IF(A29='Données projet'!$A$192,'Données projet'!$B$192,EJ28+EI29-ER28)))</f>
        <v>158</v>
      </c>
      <c r="EK29" s="17">
        <f>EJ29*VLOOKUP('Données projet'!$B$15,Paramètres!$A$1:$I$89,3,0)*VLOOKUP('Données projet'!$B$15,Paramètres!$A$1:$I$89,5,0)</f>
        <v>94.484000000000009</v>
      </c>
      <c r="EL29" s="13">
        <f t="shared" si="45"/>
        <v>25.643578691511802</v>
      </c>
      <c r="EM29" s="20">
        <f t="shared" si="19"/>
        <v>209.22219955438308</v>
      </c>
      <c r="EN29" s="59">
        <f t="shared" si="20"/>
        <v>497.66664399882757</v>
      </c>
      <c r="EO29" s="59">
        <f ca="1">AVERAGE(OFFSET($EN$3,0,0,'Données projet'!$E$15+1,1))-AVERAGE(OFFSET($H$3,0,0,'Données projet'!$E$15+1,1))</f>
        <v>258.46015871559956</v>
      </c>
      <c r="EP29" s="59">
        <f t="shared" si="46"/>
        <v>280.26155987300996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2.8246802238901525</v>
      </c>
      <c r="EW29" s="21">
        <f>EXP(-LN(2)/25)*EW28+(1-EXP(-LN(2)/25))/(LN(2)/25)*Calculateur!ER29*Calculateur!ET29*VLOOKUP('Données projet'!$B$15,Paramètres!$A$1:$I$89,3,0)*0.475*44/12</f>
        <v>9.1730103101904152</v>
      </c>
      <c r="EX29" s="21">
        <f>EXP(-LN(2)/2)*EX28+(1-EXP(-LN(2)/2))/(LN(2)/2)*ER29*EU29*VLOOKUP('Données projet'!$B$15,Paramètres!$A$1:$I$89,3,0)*0.475*44/12</f>
        <v>5.1944341052363434</v>
      </c>
      <c r="EY29" s="22">
        <f t="shared" si="21"/>
        <v>17.192124639316912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9.9</v>
      </c>
      <c r="N30" s="13">
        <f>IF('Données projet'!$A$36&gt;35,N29+M30-V29,IF(A30&lt;'Données projet'!$A$36,$K$205^A30,IF(A30='Données projet'!$A$36,'Données projet'!$B$36,N29+M30-V29)))</f>
        <v>144.30000000000004</v>
      </c>
      <c r="O30" s="13">
        <f>N30*VLOOKUP('Données projet'!$B$9,Paramètres!$A$1:$I$89,3,0)*VLOOKUP('Données projet'!$B$9,Paramètres!$A$1:$I$89,5,0)</f>
        <v>126.06048000000006</v>
      </c>
      <c r="P30" s="13">
        <f t="shared" si="33"/>
        <v>33.084428023528638</v>
      </c>
      <c r="Q30" s="20">
        <f t="shared" si="2"/>
        <v>277.17738147431248</v>
      </c>
      <c r="R30" s="59">
        <f t="shared" si="0"/>
        <v>566.84404814097911</v>
      </c>
      <c r="S30" s="59">
        <f ca="1">AVERAGE(OFFSET($R$3,0,0,'Données projet'!$E$9+1,1))-AVERAGE(OFFSET($H$3,0,0,'Données projet'!$E$9+1,1))</f>
        <v>368.41876532159154</v>
      </c>
      <c r="T30" s="59">
        <f t="shared" si="34"/>
        <v>369.39570124551125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1.9521624373807636</v>
      </c>
      <c r="AA30" s="21">
        <f>EXP(-LN(2)/25)*AA29+(1-EXP(-LN(2)/25))/(LN(2)/25)*Calculateur!V30*Calculateur!X30*VLOOKUP('Données projet'!$B$9,Paramètres!$A$1:$I$89,3,0)*0.475*44/12</f>
        <v>8.2781388768913331</v>
      </c>
      <c r="AB30" s="21">
        <f>EXP(-LN(2)/2)*AB29+(1-EXP(-LN(2)/2))/(LN(2)/2)*V30*Y30*VLOOKUP('Données projet'!$B$9,Paramètres!$A$1:$I$89,3,0)*0.475*44/12</f>
        <v>1.7703869812413477</v>
      </c>
      <c r="AC30" s="22">
        <f t="shared" si="3"/>
        <v>12.000688295513445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14.5</v>
      </c>
      <c r="AI30" s="13">
        <f>IF('Données projet'!$A$62&gt;35,AI29+AH30-AQ29,IF(A30&lt;'Données projet'!$A$62,$AF$205^A30,IF(A30='Données projet'!$A$62,'Données projet'!$B$62,AI29+AH30-AQ29)))</f>
        <v>168.5</v>
      </c>
      <c r="AJ30" s="13">
        <f>AI30*VLOOKUP('Données projet'!$B$10,Paramètres!$A$1:$I$89,3,0)*VLOOKUP('Données projet'!$B$10,Paramètres!$A$1:$I$89,5,0)</f>
        <v>147.20160000000001</v>
      </c>
      <c r="AK30" s="13">
        <f t="shared" si="35"/>
        <v>37.941943840089309</v>
      </c>
      <c r="AL30" s="20">
        <f t="shared" si="4"/>
        <v>322.45833885482222</v>
      </c>
      <c r="AM30" s="59">
        <f t="shared" si="5"/>
        <v>612.1250055214889</v>
      </c>
      <c r="AN30" s="59">
        <f ca="1">AVERAGE(OFFSET($AM$3,0,0,'Données projet'!$E$10+1,1))-AVERAGE(OFFSET($H$3,0,0,'Données projet'!$E$10+1,1))</f>
        <v>402.82278346470082</v>
      </c>
      <c r="AO30" s="59">
        <f t="shared" si="36"/>
        <v>440.17787299198977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7.033130240176364</v>
      </c>
      <c r="AW30" s="21">
        <f>EXP(-LN(2)/2)*AW29+(1-EXP(-LN(2)/2))/(LN(2)/2)*AQ30*AT30*VLOOKUP('Données projet'!$B$10,Paramètres!$A$1:$I$89,3,0)*0.475*44/12</f>
        <v>1.220328474723974</v>
      </c>
      <c r="AX30" s="21">
        <f t="shared" si="6"/>
        <v>8.2534587149003382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8.1999999999999993</v>
      </c>
      <c r="BD30" s="12">
        <f>IF('Données projet'!$A$88&gt;35,BD29+BC30-BL29,IF(A30&lt;'Données projet'!$A$88,$BA$205^A30,IF(A30='Données projet'!$A$88,'Données projet'!$B$88,BD29+BC30-BL29)))</f>
        <v>124.40000000000002</v>
      </c>
      <c r="BE30" s="13">
        <f>BD30*VLOOKUP('Données projet'!$B$11,Paramètres!$A$1:$I$89,3,0)*VLOOKUP('Données projet'!$B$11,Paramètres!$A$1:$I$89,5,0)</f>
        <v>112.55712000000001</v>
      </c>
      <c r="BF30" s="13">
        <f t="shared" si="37"/>
        <v>29.932653834140599</v>
      </c>
      <c r="BG30" s="20">
        <f t="shared" si="7"/>
        <v>248.16968942779488</v>
      </c>
      <c r="BH30" s="59">
        <f t="shared" si="8"/>
        <v>537.83635609446151</v>
      </c>
      <c r="BI30" s="59">
        <f ca="1">AVERAGE(OFFSET($BH$3,0,0,'Données projet'!$E$11+1,1))-AVERAGE(OFFSET($H$3,0,0,'Données projet'!$E$11+1,1))</f>
        <v>469.68830256438338</v>
      </c>
      <c r="BJ30" s="59">
        <f t="shared" si="38"/>
        <v>332.61387922152159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0.52924609221747954</v>
      </c>
      <c r="BR30" s="21">
        <f>EXP(-LN(2)/2)*BR29+(1-EXP(-LN(2)/2))/(LN(2)/2)*BL30*BO30*VLOOKUP('Données projet'!$B$11,Paramètres!$A$1:$I$89,3,0)*0.475*44/12</f>
        <v>0.11318611652557113</v>
      </c>
      <c r="BS30" s="22">
        <f t="shared" si="9"/>
        <v>0.64243220874305063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9.1</v>
      </c>
      <c r="BY30" s="12">
        <f>IF('Données projet'!$A$114&gt;35,BY29+BX30-CG29,IF(A30&lt;'Données projet'!$A$114,$BV$205^A30,IF(A30='Données projet'!$A$114,'Données projet'!$B$114,BY29+BX30-CG29)))</f>
        <v>95.699999999999989</v>
      </c>
      <c r="BZ30" s="13">
        <f>BY30*VLOOKUP('Données projet'!$B$12,Paramètres!$A$1:$I$89,3,0)*VLOOKUP('Données projet'!$B$12,Paramètres!$A$1:$I$89,5,0)</f>
        <v>91.068119999999993</v>
      </c>
      <c r="CA30" s="13">
        <f t="shared" si="39"/>
        <v>24.822652666384386</v>
      </c>
      <c r="CB30" s="20">
        <f t="shared" si="10"/>
        <v>201.84309572728614</v>
      </c>
      <c r="CC30" s="59">
        <f t="shared" si="11"/>
        <v>491.50976239395283</v>
      </c>
      <c r="CD30" s="59">
        <f ca="1">AVERAGE(OFFSET($CC$3,0,0,'Données projet'!$E$12+1,1))-AVERAGE(OFFSET($H$3,0,0,'Données projet'!$E$12+1,1))</f>
        <v>609.40025883662452</v>
      </c>
      <c r="CE30" s="59">
        <f t="shared" si="40"/>
        <v>294.48909834404577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9.1999999999999993</v>
      </c>
      <c r="CT30" s="12">
        <f>IF('Données projet'!$A$140&gt;35,CT29+CS30-DB29,IF(A30&lt;'Données projet'!$A$140,$CQ$205^A30,IF(A30='Données projet'!$A$140,'Données projet'!$B$140,CT29+CS30-DB29)))</f>
        <v>209.89999999999992</v>
      </c>
      <c r="CU30" s="17">
        <f>CT30*VLOOKUP('Données projet'!$B$13,Paramètres!$A$1:$I$89,3,0)*VLOOKUP('Données projet'!$B$13,Paramètres!$A$1:$I$89,5,0)</f>
        <v>98.233199999999954</v>
      </c>
      <c r="CV30" s="13">
        <f t="shared" si="41"/>
        <v>26.540646121089583</v>
      </c>
      <c r="CW30" s="20">
        <f t="shared" si="13"/>
        <v>217.3144486608976</v>
      </c>
      <c r="CX30" s="59">
        <f t="shared" si="14"/>
        <v>506.98111532756428</v>
      </c>
      <c r="CY30" s="59">
        <f ca="1">AVERAGE(OFFSET($CX$3,0,0,'Données projet'!$E$13+1,1))-AVERAGE(OFFSET($H$3,0,0,'Données projet'!$E$13+1,1))</f>
        <v>346.16623654404509</v>
      </c>
      <c r="CZ30" s="59">
        <f t="shared" si="42"/>
        <v>281.80933156559087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1.7507138174796335</v>
      </c>
      <c r="DH30" s="21">
        <f>EXP(-LN(2)/2)*DH29+(1-EXP(-LN(2)/2))/(LN(2)/2)*DB30*DE30*VLOOKUP('Données projet'!$B$13,Paramètres!$A$1:$I$89,3,0)*0.475*44/12</f>
        <v>0.292722715152339</v>
      </c>
      <c r="DI30" s="22">
        <f t="shared" si="15"/>
        <v>2.0434365326319726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13.9</v>
      </c>
      <c r="DO30" s="12">
        <f>IF('Données projet'!$A$166&gt;35,DO29+DN30-DW29,IF(A30&lt;'Données projet'!$A$166,$DL$205^A30,IF(A30='Données projet'!$A$166,'Données projet'!$B$166,DO29+DN30-DW29)))</f>
        <v>178.30000000000004</v>
      </c>
      <c r="DP30" s="17">
        <f>DO30*VLOOKUP('Données projet'!$B$14,Paramètres!$A$1:$I$89,3,0)*VLOOKUP('Données projet'!$B$14,Paramètres!$A$1:$I$89,5,0)</f>
        <v>111.25920000000002</v>
      </c>
      <c r="DQ30" s="13">
        <f t="shared" si="43"/>
        <v>29.627465095165842</v>
      </c>
      <c r="DR30" s="20">
        <f t="shared" si="16"/>
        <v>245.37760837408052</v>
      </c>
      <c r="DS30" s="59">
        <f t="shared" si="17"/>
        <v>535.04427504074715</v>
      </c>
      <c r="DT30" s="59">
        <f ca="1">AVERAGE(OFFSET($DS$3,0,0,'Données projet'!$E$14+1,1))-AVERAGE(OFFSET($H$3,0,0,'Données projet'!$E$14+1,1))</f>
        <v>319.97171762304686</v>
      </c>
      <c r="DU30" s="59">
        <f t="shared" si="44"/>
        <v>337.89345858359621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7.5376187632577665</v>
      </c>
      <c r="EC30" s="21">
        <f>EXP(-LN(2)/2)*EC29+(1-EXP(-LN(2)/2))/(LN(2)/2)*DW30*DZ30*VLOOKUP('Données projet'!$B$14,Paramètres!$A$1:$I$89,3,0)*0.475*44/12</f>
        <v>1.1552789824678984</v>
      </c>
      <c r="ED30" s="22">
        <f t="shared" si="18"/>
        <v>8.6928977457256646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16</v>
      </c>
      <c r="EJ30" s="12">
        <f>IF('Données projet'!$A$192&gt;35,EJ29+EI30-ER29,IF(A30&lt;'Données projet'!$A$192,$EG$205^A30,IF(A30='Données projet'!$A$192,'Données projet'!$B$192,EJ29+EI30-ER29)))</f>
        <v>174</v>
      </c>
      <c r="EK30" s="17">
        <f>EJ30*VLOOKUP('Données projet'!$B$15,Paramètres!$A$1:$I$89,3,0)*VLOOKUP('Données projet'!$B$15,Paramètres!$A$1:$I$89,5,0)</f>
        <v>104.05200000000001</v>
      </c>
      <c r="EL30" s="13">
        <f t="shared" si="45"/>
        <v>27.925087771564417</v>
      </c>
      <c r="EM30" s="20">
        <f t="shared" si="19"/>
        <v>229.86009453547467</v>
      </c>
      <c r="EN30" s="59">
        <f t="shared" si="20"/>
        <v>519.52676120214142</v>
      </c>
      <c r="EO30" s="59">
        <f ca="1">AVERAGE(OFFSET($EN$3,0,0,'Données projet'!$E$15+1,1))-AVERAGE(OFFSET($H$3,0,0,'Données projet'!$E$15+1,1))</f>
        <v>258.46015871559956</v>
      </c>
      <c r="EP30" s="59">
        <f t="shared" si="46"/>
        <v>280.26155987300996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2.7692899675844824</v>
      </c>
      <c r="EW30" s="21">
        <f>EXP(-LN(2)/25)*EW29+(1-EXP(-LN(2)/25))/(LN(2)/25)*Calculateur!ER30*Calculateur!ET30*VLOOKUP('Données projet'!$B$15,Paramètres!$A$1:$I$89,3,0)*0.475*44/12</f>
        <v>8.9221738608706112</v>
      </c>
      <c r="EX30" s="21">
        <f>EXP(-LN(2)/2)*EX29+(1-EXP(-LN(2)/2))/(LN(2)/2)*ER30*EU30*VLOOKUP('Données projet'!$B$15,Paramètres!$A$1:$I$89,3,0)*0.475*44/12</f>
        <v>3.6730195802392953</v>
      </c>
      <c r="EY30" s="22">
        <f t="shared" si="21"/>
        <v>15.364483408694388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9.9</v>
      </c>
      <c r="N31" s="13">
        <f>IF('Données projet'!$A$36&gt;35,N30+M31-V30,IF(A31&lt;'Données projet'!$A$36,$K$205^A31,IF(A31='Données projet'!$A$36,'Données projet'!$B$36,N30+M31-V30)))</f>
        <v>154.20000000000005</v>
      </c>
      <c r="O31" s="13">
        <f>N31*VLOOKUP('Données projet'!$B$9,Paramètres!$A$1:$I$89,3,0)*VLOOKUP('Données projet'!$B$9,Paramètres!$A$1:$I$89,5,0)</f>
        <v>134.70912000000004</v>
      </c>
      <c r="P31" s="13">
        <f t="shared" si="33"/>
        <v>35.082234990312983</v>
      </c>
      <c r="Q31" s="20">
        <f t="shared" si="2"/>
        <v>295.71994327479518</v>
      </c>
      <c r="R31" s="59">
        <f t="shared" si="0"/>
        <v>586.60883216368404</v>
      </c>
      <c r="S31" s="59">
        <f ca="1">AVERAGE(OFFSET($R$3,0,0,'Données projet'!$E$9+1,1))-AVERAGE(OFFSET($H$3,0,0,'Données projet'!$E$9+1,1))</f>
        <v>368.41876532159154</v>
      </c>
      <c r="T31" s="59">
        <f t="shared" si="34"/>
        <v>369.39570124551125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1.9138817226852416</v>
      </c>
      <c r="AA31" s="21">
        <f>EXP(-LN(2)/25)*AA30+(1-EXP(-LN(2)/25))/(LN(2)/25)*Calculateur!V31*Calculateur!X31*VLOOKUP('Données projet'!$B$9,Paramètres!$A$1:$I$89,3,0)*0.475*44/12</f>
        <v>8.0517727339743352</v>
      </c>
      <c r="AB31" s="21">
        <f>EXP(-LN(2)/2)*AB30+(1-EXP(-LN(2)/2))/(LN(2)/2)*V31*Y31*VLOOKUP('Données projet'!$B$9,Paramètres!$A$1:$I$89,3,0)*0.475*44/12</f>
        <v>1.2518526397601382</v>
      </c>
      <c r="AC31" s="22">
        <f t="shared" si="3"/>
        <v>11.217507096419714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14.5</v>
      </c>
      <c r="AI31" s="13">
        <f>IF('Données projet'!$A$62&gt;35,AI30+AH31-AQ30,IF(A31&lt;'Données projet'!$A$62,$AF$205^A31,IF(A31='Données projet'!$A$62,'Données projet'!$B$62,AI30+AH31-AQ30)))</f>
        <v>183</v>
      </c>
      <c r="AJ31" s="13">
        <f>AI31*VLOOKUP('Données projet'!$B$10,Paramètres!$A$1:$I$89,3,0)*VLOOKUP('Données projet'!$B$10,Paramètres!$A$1:$I$89,5,0)</f>
        <v>159.86880000000002</v>
      </c>
      <c r="AK31" s="13">
        <f t="shared" si="35"/>
        <v>40.812921467768035</v>
      </c>
      <c r="AL31" s="20">
        <f t="shared" si="4"/>
        <v>349.52066488969604</v>
      </c>
      <c r="AM31" s="59">
        <f t="shared" si="5"/>
        <v>640.40955377858495</v>
      </c>
      <c r="AN31" s="59">
        <f ca="1">AVERAGE(OFFSET($AM$3,0,0,'Données projet'!$E$10+1,1))-AVERAGE(OFFSET($H$3,0,0,'Données projet'!$E$10+1,1))</f>
        <v>402.82278346470082</v>
      </c>
      <c r="AO31" s="59">
        <f t="shared" si="36"/>
        <v>440.17787299198977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6.8408089239024967</v>
      </c>
      <c r="AW31" s="21">
        <f>EXP(-LN(2)/2)*AW30+(1-EXP(-LN(2)/2))/(LN(2)/2)*AQ31*AT31*VLOOKUP('Données projet'!$B$10,Paramètres!$A$1:$I$89,3,0)*0.475*44/12</f>
        <v>0.86290253975235842</v>
      </c>
      <c r="AX31" s="21">
        <f t="shared" si="6"/>
        <v>7.7037114636548552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8.1999999999999993</v>
      </c>
      <c r="BD31" s="12">
        <f>IF('Données projet'!$A$88&gt;35,BD30+BC31-BL30,IF(A31&lt;'Données projet'!$A$88,$BA$205^A31,IF(A31='Données projet'!$A$88,'Données projet'!$B$88,BD30+BC31-BL30)))</f>
        <v>132.60000000000002</v>
      </c>
      <c r="BE31" s="13">
        <f>BD31*VLOOKUP('Données projet'!$B$11,Paramètres!$A$1:$I$89,3,0)*VLOOKUP('Données projet'!$B$11,Paramètres!$A$1:$I$89,5,0)</f>
        <v>119.97648000000001</v>
      </c>
      <c r="BF31" s="13">
        <f t="shared" si="37"/>
        <v>31.669513577784763</v>
      </c>
      <c r="BG31" s="20">
        <f t="shared" si="7"/>
        <v>264.1167721479751</v>
      </c>
      <c r="BH31" s="59">
        <f t="shared" si="8"/>
        <v>555.00566103686401</v>
      </c>
      <c r="BI31" s="59">
        <f ca="1">AVERAGE(OFFSET($BH$3,0,0,'Données projet'!$E$11+1,1))-AVERAGE(OFFSET($H$3,0,0,'Données projet'!$E$11+1,1))</f>
        <v>469.68830256438338</v>
      </c>
      <c r="BJ31" s="59">
        <f t="shared" si="38"/>
        <v>332.61387922152159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0.51477382999395016</v>
      </c>
      <c r="BR31" s="21">
        <f>EXP(-LN(2)/2)*BR30+(1-EXP(-LN(2)/2))/(LN(2)/2)*BL31*BO31*VLOOKUP('Données projet'!$B$11,Paramètres!$A$1:$I$89,3,0)*0.475*44/12</f>
        <v>8.0034670531402105E-2</v>
      </c>
      <c r="BS31" s="22">
        <f t="shared" si="9"/>
        <v>0.59480850052535228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9.1</v>
      </c>
      <c r="BY31" s="12">
        <f>IF('Données projet'!$A$114&gt;35,BY30+BX31-CG30,IF(A31&lt;'Données projet'!$A$114,$BV$205^A31,IF(A31='Données projet'!$A$114,'Données projet'!$B$114,BY30+BX31-CG30)))</f>
        <v>104.79999999999998</v>
      </c>
      <c r="BZ31" s="13">
        <f>BY31*VLOOKUP('Données projet'!$B$12,Paramètres!$A$1:$I$89,3,0)*VLOOKUP('Données projet'!$B$12,Paramètres!$A$1:$I$89,5,0)</f>
        <v>99.727679999999992</v>
      </c>
      <c r="CA31" s="13">
        <f t="shared" si="39"/>
        <v>26.897110770827268</v>
      </c>
      <c r="CB31" s="20">
        <f t="shared" si="10"/>
        <v>220.5381772591908</v>
      </c>
      <c r="CC31" s="59">
        <f t="shared" si="11"/>
        <v>511.42706614807969</v>
      </c>
      <c r="CD31" s="59">
        <f ca="1">AVERAGE(OFFSET($CC$3,0,0,'Données projet'!$E$12+1,1))-AVERAGE(OFFSET($H$3,0,0,'Données projet'!$E$12+1,1))</f>
        <v>609.40025883662452</v>
      </c>
      <c r="CE31" s="59">
        <f t="shared" si="40"/>
        <v>294.48909834404577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9.1999999999999993</v>
      </c>
      <c r="CT31" s="12">
        <f>IF('Données projet'!$A$140&gt;35,CT30+CS31-DB30,IF(A31&lt;'Données projet'!$A$140,$CQ$205^A31,IF(A31='Données projet'!$A$140,'Données projet'!$B$140,CT30+CS31-DB30)))</f>
        <v>219.09999999999991</v>
      </c>
      <c r="CU31" s="17">
        <f>CT31*VLOOKUP('Données projet'!$B$13,Paramètres!$A$1:$I$89,3,0)*VLOOKUP('Données projet'!$B$13,Paramètres!$A$1:$I$89,5,0)</f>
        <v>102.53879999999995</v>
      </c>
      <c r="CV31" s="13">
        <f t="shared" si="41"/>
        <v>27.565946279127878</v>
      </c>
      <c r="CW31" s="20">
        <f t="shared" si="13"/>
        <v>226.59909976948094</v>
      </c>
      <c r="CX31" s="59">
        <f t="shared" si="14"/>
        <v>517.48798865836977</v>
      </c>
      <c r="CY31" s="59">
        <f ca="1">AVERAGE(OFFSET($CX$3,0,0,'Données projet'!$E$13+1,1))-AVERAGE(OFFSET($H$3,0,0,'Données projet'!$E$13+1,1))</f>
        <v>346.16623654404509</v>
      </c>
      <c r="CZ31" s="59">
        <f t="shared" si="42"/>
        <v>281.80933156559087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1.7028404560746147</v>
      </c>
      <c r="DH31" s="21">
        <f>EXP(-LN(2)/2)*DH30+(1-EXP(-LN(2)/2))/(LN(2)/2)*DB31*DE31*VLOOKUP('Données projet'!$B$13,Paramètres!$A$1:$I$89,3,0)*0.475*44/12</f>
        <v>0.20698621689155705</v>
      </c>
      <c r="DI31" s="22">
        <f t="shared" si="15"/>
        <v>1.9098266729661717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13.9</v>
      </c>
      <c r="DO31" s="12">
        <f>IF('Données projet'!$A$166&gt;35,DO30+DN31-DW30,IF(A31&lt;'Données projet'!$A$166,$DL$205^A31,IF(A31='Données projet'!$A$166,'Données projet'!$B$166,DO30+DN31-DW30)))</f>
        <v>192.20000000000005</v>
      </c>
      <c r="DP31" s="17">
        <f>DO31*VLOOKUP('Données projet'!$B$14,Paramètres!$A$1:$I$89,3,0)*VLOOKUP('Données projet'!$B$14,Paramètres!$A$1:$I$89,5,0)</f>
        <v>119.93280000000003</v>
      </c>
      <c r="DQ31" s="13">
        <f t="shared" si="43"/>
        <v>31.659325486741768</v>
      </c>
      <c r="DR31" s="20">
        <f t="shared" si="16"/>
        <v>264.0229518894086</v>
      </c>
      <c r="DS31" s="59">
        <f t="shared" si="17"/>
        <v>554.91184077829746</v>
      </c>
      <c r="DT31" s="59">
        <f ca="1">AVERAGE(OFFSET($DS$3,0,0,'Données projet'!$E$14+1,1))-AVERAGE(OFFSET($H$3,0,0,'Données projet'!$E$14+1,1))</f>
        <v>319.97171762304686</v>
      </c>
      <c r="DU31" s="59">
        <f t="shared" si="44"/>
        <v>337.89345858359621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7.3315021817903396</v>
      </c>
      <c r="EC31" s="21">
        <f>EXP(-LN(2)/2)*EC30+(1-EXP(-LN(2)/2))/(LN(2)/2)*DW31*DZ31*VLOOKUP('Données projet'!$B$14,Paramètres!$A$1:$I$89,3,0)*0.475*44/12</f>
        <v>0.81690560266534551</v>
      </c>
      <c r="ED31" s="22">
        <f t="shared" si="18"/>
        <v>8.148407784455685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>
        <f>VLOOKUP(A31,'Données projet'!$A$191:$I$211,2,0)</f>
        <v>190</v>
      </c>
      <c r="EH31" s="12">
        <f>VLOOKUP(A31,'Données projet'!$A$191:$I$211,9,0)</f>
        <v>16</v>
      </c>
      <c r="EI31" s="12">
        <f t="array" ref="EI31">INDEX(EH:EH,MIN(IF(ISNUMBER(EH31:EH227),ROW(EH31:EH227),"")))</f>
        <v>16</v>
      </c>
      <c r="EJ31" s="12">
        <f>IF('Données projet'!$A$192&gt;35,EJ30+EI31-ER30,IF(A31&lt;'Données projet'!$A$192,$EG$205^A31,IF(A31='Données projet'!$A$192,'Données projet'!$B$192,EJ30+EI31-ER30)))</f>
        <v>190</v>
      </c>
      <c r="EK31" s="17">
        <f>EJ31*VLOOKUP('Données projet'!$B$15,Paramètres!$A$1:$I$89,3,0)*VLOOKUP('Données projet'!$B$15,Paramètres!$A$1:$I$89,5,0)</f>
        <v>113.62</v>
      </c>
      <c r="EL31" s="13">
        <f t="shared" si="45"/>
        <v>30.182270904187739</v>
      </c>
      <c r="EM31" s="20">
        <f t="shared" si="19"/>
        <v>250.45562182479364</v>
      </c>
      <c r="EN31" s="59">
        <f t="shared" si="20"/>
        <v>541.34451071368244</v>
      </c>
      <c r="EO31" s="59">
        <f ca="1">AVERAGE(OFFSET($EN$3,0,0,'Données projet'!$E$15+1,1))-AVERAGE(OFFSET($H$3,0,0,'Données projet'!$E$15+1,1))</f>
        <v>258.46015871559956</v>
      </c>
      <c r="EP31" s="59">
        <f t="shared" si="46"/>
        <v>280.26155987300996</v>
      </c>
      <c r="EQ31" s="15">
        <f>IF(ISNA(VLOOKUP(A31,'Données projet'!$A$191:$I$211,3,0)),0,VLOOKUP(A31,'Données projet'!$A$191:$I$211,3,0))</f>
        <v>4</v>
      </c>
      <c r="ER31" s="15">
        <f>IF(ISNA(VLOOKUP(A31,'Données projet'!$A$191:$I$211,4,0)),0,VLOOKUP(A31,'Données projet'!$A$191:$I$211,4,0))</f>
        <v>35</v>
      </c>
      <c r="ES31" s="16">
        <f>IF(ISNA(VLOOKUP(A31,'Données projet'!$A$191:$I$211,5,0)),0%,VLOOKUP(A31,'Données projet'!$A$191:$I$211,5,0)*VLOOKUP('Données projet'!$B$15,Paramètres!$A$1:$I$89,7,0))</f>
        <v>0.13500000000000001</v>
      </c>
      <c r="ET31" s="16">
        <f>IF(ISNA(VLOOKUP(A31,'Données projet'!$A$191:$I$211,6,0)),0%,VLOOKUP(A31,'Données projet'!$A$191:$I$211,6,0)*VLOOKUP('Données projet'!$B$15,Paramètres!$A$1:$I$89,7,0))</f>
        <v>0.1575</v>
      </c>
      <c r="EU31" s="16">
        <f>IF(ISNA(VLOOKUP(A31,'Données projet'!$A$191:$I$211,7,0)),0%,VLOOKUP(A31,'Données projet'!$A$191:$I$211,7,0))</f>
        <v>0.35</v>
      </c>
      <c r="EV31" s="21">
        <f>EXP(-LN(2)/35)*EV30+(1-EXP(-LN(2)/35))/(LN(2)/35)*ER31*ES31*VLOOKUP('Données projet'!$B$15,Paramètres!$A$1:$I$89,3,0)*0.475*44/12</f>
        <v>6.4632600774874396</v>
      </c>
      <c r="EW31" s="21">
        <f>EXP(-LN(2)/25)*EW30+(1-EXP(-LN(2)/25))/(LN(2)/25)*Calculateur!ER31*Calculateur!ET31*VLOOKUP('Données projet'!$B$15,Paramètres!$A$1:$I$89,3,0)*0.475*44/12</f>
        <v>13.033964996355422</v>
      </c>
      <c r="EX31" s="21">
        <f>EXP(-LN(2)/2)*EX30+(1-EXP(-LN(2)/2))/(LN(2)/2)*ER31*EU31*VLOOKUP('Données projet'!$B$15,Paramètres!$A$1:$I$89,3,0)*0.475*44/12</f>
        <v>10.891384748148297</v>
      </c>
      <c r="EY31" s="22">
        <f t="shared" si="21"/>
        <v>30.38860982199116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9.9</v>
      </c>
      <c r="N32" s="13">
        <f>IF('Données projet'!$A$36&gt;35,N31+M32-V31,IF(A32&lt;'Données projet'!$A$36,$K$205^A32,IF(A32='Données projet'!$A$36,'Données projet'!$B$36,N31+M32-V31)))</f>
        <v>164.10000000000005</v>
      </c>
      <c r="O32" s="13">
        <f>N32*VLOOKUP('Données projet'!$B$9,Paramètres!$A$1:$I$89,3,0)*VLOOKUP('Données projet'!$B$9,Paramètres!$A$1:$I$89,5,0)</f>
        <v>143.35776000000007</v>
      </c>
      <c r="P32" s="13">
        <f t="shared" si="33"/>
        <v>37.06515689907522</v>
      </c>
      <c r="Q32" s="20">
        <f t="shared" si="2"/>
        <v>314.23658026588947</v>
      </c>
      <c r="R32" s="59">
        <f t="shared" si="0"/>
        <v>606.34769137700061</v>
      </c>
      <c r="S32" s="59">
        <f ca="1">AVERAGE(OFFSET($R$3,0,0,'Données projet'!$E$9+1,1))-AVERAGE(OFFSET($H$3,0,0,'Données projet'!$E$9+1,1))</f>
        <v>368.41876532159154</v>
      </c>
      <c r="T32" s="59">
        <f t="shared" si="34"/>
        <v>369.39570124551125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1.8763516694559683</v>
      </c>
      <c r="AA32" s="21">
        <f>EXP(-LN(2)/25)*AA31+(1-EXP(-LN(2)/25))/(LN(2)/25)*Calculateur!V32*Calculateur!X32*VLOOKUP('Données projet'!$B$9,Paramètres!$A$1:$I$89,3,0)*0.475*44/12</f>
        <v>7.831596585139482</v>
      </c>
      <c r="AB32" s="21">
        <f>EXP(-LN(2)/2)*AB31+(1-EXP(-LN(2)/2))/(LN(2)/2)*V32*Y32*VLOOKUP('Données projet'!$B$9,Paramètres!$A$1:$I$89,3,0)*0.475*44/12</f>
        <v>0.88519349062067398</v>
      </c>
      <c r="AC32" s="22">
        <f t="shared" si="3"/>
        <v>10.593141745216125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14.5</v>
      </c>
      <c r="AI32" s="13">
        <f>IF('Données projet'!$A$62&gt;35,AI31+AH32-AQ31,IF(A32&lt;'Données projet'!$A$62,$AF$205^A32,IF(A32='Données projet'!$A$62,'Données projet'!$B$62,AI31+AH32-AQ31)))</f>
        <v>197.5</v>
      </c>
      <c r="AJ32" s="13">
        <f>AI32*VLOOKUP('Données projet'!$B$10,Paramètres!$A$1:$I$89,3,0)*VLOOKUP('Données projet'!$B$10,Paramètres!$A$1:$I$89,5,0)</f>
        <v>172.53600000000003</v>
      </c>
      <c r="AK32" s="13">
        <f t="shared" si="35"/>
        <v>43.657512815796977</v>
      </c>
      <c r="AL32" s="20">
        <f t="shared" si="4"/>
        <v>376.53703482084643</v>
      </c>
      <c r="AM32" s="59">
        <f t="shared" si="5"/>
        <v>668.64814593195752</v>
      </c>
      <c r="AN32" s="59">
        <f ca="1">AVERAGE(OFFSET($AM$3,0,0,'Données projet'!$E$10+1,1))-AVERAGE(OFFSET($H$3,0,0,'Données projet'!$E$10+1,1))</f>
        <v>402.82278346470082</v>
      </c>
      <c r="AO32" s="59">
        <f t="shared" si="36"/>
        <v>440.17787299198977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6.6537466441358761</v>
      </c>
      <c r="AW32" s="21">
        <f>EXP(-LN(2)/2)*AW31+(1-EXP(-LN(2)/2))/(LN(2)/2)*AQ32*AT32*VLOOKUP('Données projet'!$B$10,Paramètres!$A$1:$I$89,3,0)*0.475*44/12</f>
        <v>0.61016423736198711</v>
      </c>
      <c r="AX32" s="21">
        <f t="shared" si="6"/>
        <v>7.2639108814978632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8.1999999999999993</v>
      </c>
      <c r="BD32" s="12">
        <f>IF('Données projet'!$A$88&gt;35,BD31+BC32-BL31,IF(A32&lt;'Données projet'!$A$88,$BA$205^A32,IF(A32='Données projet'!$A$88,'Données projet'!$B$88,BD31+BC32-BL31)))</f>
        <v>140.80000000000001</v>
      </c>
      <c r="BE32" s="13">
        <f>BD32*VLOOKUP('Données projet'!$B$11,Paramètres!$A$1:$I$89,3,0)*VLOOKUP('Données projet'!$B$11,Paramètres!$A$1:$I$89,5,0)</f>
        <v>127.39584000000001</v>
      </c>
      <c r="BF32" s="13">
        <f t="shared" si="37"/>
        <v>33.393907578695213</v>
      </c>
      <c r="BG32" s="20">
        <f t="shared" si="7"/>
        <v>280.04214369956082</v>
      </c>
      <c r="BH32" s="59">
        <f t="shared" si="8"/>
        <v>572.15325481067202</v>
      </c>
      <c r="BI32" s="59">
        <f ca="1">AVERAGE(OFFSET($BH$3,0,0,'Données projet'!$E$11+1,1))-AVERAGE(OFFSET($H$3,0,0,'Données projet'!$E$11+1,1))</f>
        <v>469.68830256438338</v>
      </c>
      <c r="BJ32" s="59">
        <f t="shared" si="38"/>
        <v>332.61387922152159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0.50069731254198635</v>
      </c>
      <c r="BR32" s="21">
        <f>EXP(-LN(2)/2)*BR31+(1-EXP(-LN(2)/2))/(LN(2)/2)*BL32*BO32*VLOOKUP('Données projet'!$B$11,Paramètres!$A$1:$I$89,3,0)*0.475*44/12</f>
        <v>5.6593058262785573E-2</v>
      </c>
      <c r="BS32" s="22">
        <f t="shared" si="9"/>
        <v>0.55729037080477195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9.1</v>
      </c>
      <c r="BY32" s="12">
        <f>IF('Données projet'!$A$114&gt;35,BY31+BX32-CG31,IF(A32&lt;'Données projet'!$A$114,$BV$205^A32,IF(A32='Données projet'!$A$114,'Données projet'!$B$114,BY31+BX32-CG31)))</f>
        <v>113.89999999999998</v>
      </c>
      <c r="BZ32" s="13">
        <f>BY32*VLOOKUP('Données projet'!$B$12,Paramètres!$A$1:$I$89,3,0)*VLOOKUP('Données projet'!$B$12,Paramètres!$A$1:$I$89,5,0)</f>
        <v>108.38723999999998</v>
      </c>
      <c r="CA32" s="13">
        <f t="shared" si="39"/>
        <v>28.950679719947619</v>
      </c>
      <c r="CB32" s="20">
        <f t="shared" si="10"/>
        <v>239.19687684557539</v>
      </c>
      <c r="CC32" s="59">
        <f t="shared" si="11"/>
        <v>531.30798795668647</v>
      </c>
      <c r="CD32" s="59">
        <f ca="1">AVERAGE(OFFSET($CC$3,0,0,'Données projet'!$E$12+1,1))-AVERAGE(OFFSET($H$3,0,0,'Données projet'!$E$12+1,1))</f>
        <v>609.40025883662452</v>
      </c>
      <c r="CE32" s="59">
        <f t="shared" si="40"/>
        <v>294.48909834404577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9.1999999999999993</v>
      </c>
      <c r="CT32" s="12">
        <f>IF('Données projet'!$A$140&gt;35,CT31+CS32-DB31,IF(A32&lt;'Données projet'!$A$140,$CQ$205^A32,IF(A32='Données projet'!$A$140,'Données projet'!$B$140,CT31+CS32-DB31)))</f>
        <v>228.2999999999999</v>
      </c>
      <c r="CU32" s="17">
        <f>CT32*VLOOKUP('Données projet'!$B$13,Paramètres!$A$1:$I$89,3,0)*VLOOKUP('Données projet'!$B$13,Paramètres!$A$1:$I$89,5,0)</f>
        <v>106.84439999999995</v>
      </c>
      <c r="CV32" s="13">
        <f t="shared" si="41"/>
        <v>28.586245822975961</v>
      </c>
      <c r="CW32" s="20">
        <f t="shared" si="13"/>
        <v>235.87504147501636</v>
      </c>
      <c r="CX32" s="59">
        <f t="shared" si="14"/>
        <v>527.98615258612745</v>
      </c>
      <c r="CY32" s="59">
        <f ca="1">AVERAGE(OFFSET($CX$3,0,0,'Données projet'!$E$13+1,1))-AVERAGE(OFFSET($H$3,0,0,'Données projet'!$E$13+1,1))</f>
        <v>346.16623654404509</v>
      </c>
      <c r="CZ32" s="59">
        <f t="shared" si="42"/>
        <v>281.80933156559087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1.6562761942547666</v>
      </c>
      <c r="DH32" s="21">
        <f>EXP(-LN(2)/2)*DH31+(1-EXP(-LN(2)/2))/(LN(2)/2)*DB32*DE32*VLOOKUP('Données projet'!$B$13,Paramètres!$A$1:$I$89,3,0)*0.475*44/12</f>
        <v>0.1463613575761695</v>
      </c>
      <c r="DI32" s="22">
        <f t="shared" si="15"/>
        <v>1.8026375518309361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13.9</v>
      </c>
      <c r="DO32" s="12">
        <f>IF('Données projet'!$A$166&gt;35,DO31+DN32-DW31,IF(A32&lt;'Données projet'!$A$166,$DL$205^A32,IF(A32='Données projet'!$A$166,'Données projet'!$B$166,DO31+DN32-DW31)))</f>
        <v>206.10000000000005</v>
      </c>
      <c r="DP32" s="17">
        <f>DO32*VLOOKUP('Données projet'!$B$14,Paramètres!$A$1:$I$89,3,0)*VLOOKUP('Données projet'!$B$14,Paramètres!$A$1:$I$89,5,0)</f>
        <v>128.60640000000004</v>
      </c>
      <c r="DQ32" s="13">
        <f t="shared" si="43"/>
        <v>33.67413757380087</v>
      </c>
      <c r="DR32" s="20">
        <f t="shared" si="16"/>
        <v>282.63860294103654</v>
      </c>
      <c r="DS32" s="59">
        <f t="shared" si="17"/>
        <v>574.74971405214774</v>
      </c>
      <c r="DT32" s="59">
        <f ca="1">AVERAGE(OFFSET($DS$3,0,0,'Données projet'!$E$14+1,1))-AVERAGE(OFFSET($H$3,0,0,'Données projet'!$E$14+1,1))</f>
        <v>319.97171762304686</v>
      </c>
      <c r="DU32" s="59">
        <f t="shared" si="44"/>
        <v>337.89345858359621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7.131021869082339</v>
      </c>
      <c r="EC32" s="21">
        <f>EXP(-LN(2)/2)*EC31+(1-EXP(-LN(2)/2))/(LN(2)/2)*DW32*DZ32*VLOOKUP('Données projet'!$B$14,Paramètres!$A$1:$I$89,3,0)*0.475*44/12</f>
        <v>0.5776394912339492</v>
      </c>
      <c r="ED32" s="22">
        <f t="shared" si="18"/>
        <v>7.7086613603162881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14.833333333333334</v>
      </c>
      <c r="EJ32" s="12">
        <f>IF('Données projet'!$A$192&gt;35,EJ31+EI32-ER31,IF(A32&lt;'Données projet'!$A$192,$EG$205^A32,IF(A32='Données projet'!$A$192,'Données projet'!$B$192,EJ31+EI32-ER31)))</f>
        <v>169.83333333333334</v>
      </c>
      <c r="EK32" s="17">
        <f>EJ32*VLOOKUP('Données projet'!$B$15,Paramètres!$A$1:$I$89,3,0)*VLOOKUP('Données projet'!$B$15,Paramètres!$A$1:$I$89,5,0)</f>
        <v>101.56033333333333</v>
      </c>
      <c r="EL32" s="13">
        <f t="shared" si="45"/>
        <v>27.333389821325063</v>
      </c>
      <c r="EM32" s="20">
        <f t="shared" si="19"/>
        <v>224.48990116103005</v>
      </c>
      <c r="EN32" s="59">
        <f t="shared" si="20"/>
        <v>516.60101227214113</v>
      </c>
      <c r="EO32" s="59">
        <f ca="1">AVERAGE(OFFSET($EN$3,0,0,'Données projet'!$E$15+1,1))-AVERAGE(OFFSET($H$3,0,0,'Données projet'!$E$15+1,1))</f>
        <v>258.46015871559956</v>
      </c>
      <c r="EP32" s="59">
        <f t="shared" si="46"/>
        <v>280.26155987300996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6.3365194895672987</v>
      </c>
      <c r="EW32" s="21">
        <f>EXP(-LN(2)/25)*EW31+(1-EXP(-LN(2)/25))/(LN(2)/25)*Calculateur!ER32*Calculateur!ET32*VLOOKUP('Données projet'!$B$15,Paramètres!$A$1:$I$89,3,0)*0.475*44/12</f>
        <v>12.677550538103654</v>
      </c>
      <c r="EX32" s="21">
        <f>EXP(-LN(2)/2)*EX31+(1-EXP(-LN(2)/2))/(LN(2)/2)*ER32*EU32*VLOOKUP('Données projet'!$B$15,Paramètres!$A$1:$I$89,3,0)*0.475*44/12</f>
        <v>7.7013720119273996</v>
      </c>
      <c r="EY32" s="22">
        <f t="shared" si="21"/>
        <v>26.715442039598354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174</v>
      </c>
      <c r="L33" s="12">
        <f>VLOOKUP(A33,'Données projet'!$A$35:$I$55,9,0)</f>
        <v>9.9</v>
      </c>
      <c r="M33" s="12">
        <f t="array" ref="M33">INDEX(L:L,MIN(IF(ISNUMBER(L33:L229),ROW(L33:L229),"")))</f>
        <v>9.9</v>
      </c>
      <c r="N33" s="13">
        <f>IF('Données projet'!$A$36&gt;35,N32+M33-V32,IF(A33&lt;'Données projet'!$A$36,$K$205^A33,IF(A33='Données projet'!$A$36,'Données projet'!$B$36,N32+M33-V32)))</f>
        <v>174.00000000000006</v>
      </c>
      <c r="O33" s="13">
        <f>N33*VLOOKUP('Données projet'!$B$9,Paramètres!$A$1:$I$89,3,0)*VLOOKUP('Données projet'!$B$9,Paramètres!$A$1:$I$89,5,0)</f>
        <v>152.00640000000007</v>
      </c>
      <c r="P33" s="13">
        <f t="shared" si="33"/>
        <v>39.034194016561486</v>
      </c>
      <c r="Q33" s="20">
        <f t="shared" si="2"/>
        <v>332.72903457884468</v>
      </c>
      <c r="R33" s="59">
        <f t="shared" si="0"/>
        <v>626.06236791217793</v>
      </c>
      <c r="S33" s="59">
        <f ca="1">AVERAGE(OFFSET($R$3,0,0,'Données projet'!$E$9+1,1))-AVERAGE(OFFSET($H$3,0,0,'Données projet'!$E$9+1,1))</f>
        <v>368.41876532159154</v>
      </c>
      <c r="T33" s="59">
        <f t="shared" si="34"/>
        <v>369.39570124551125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52</v>
      </c>
      <c r="W33" s="16">
        <f>IF(ISNA(VLOOKUP(A33,'Données projet'!$A$35:$I$55,5,0)),0%,VLOOKUP(A33,'Données projet'!$A$35:$I$55,5,0)*VLOOKUP('Données projet'!$B$9,Paramètres!$A$1:$I$89,7,0))</f>
        <v>8.6000000000000007E-2</v>
      </c>
      <c r="X33" s="16">
        <f>IF(ISNA(VLOOKUP(A33,'Données projet'!$A$35:$I$55,6,0)),0%,VLOOKUP(A33,'Données projet'!$A$35:$I$55,6,0)*VLOOKUP('Données projet'!$B$9,Paramètres!$A$1:$I$89,7,0))</f>
        <v>0.17200000000000001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6.1583420238397046</v>
      </c>
      <c r="AA33" s="21">
        <f>EXP(-LN(2)/25)*AA32+(1-EXP(-LN(2)/25))/(LN(2)/25)*Calculateur!V33*Calculateur!X33*VLOOKUP('Données projet'!$B$9,Paramètres!$A$1:$I$89,3,0)*0.475*44/12</f>
        <v>16.221000696935256</v>
      </c>
      <c r="AB33" s="21">
        <f>EXP(-LN(2)/2)*AB32+(1-EXP(-LN(2)/2))/(LN(2)/2)*V33*Y33*VLOOKUP('Données projet'!$B$9,Paramètres!$A$1:$I$89,3,0)*0.475*44/12</f>
        <v>17.770640661944825</v>
      </c>
      <c r="AC33" s="22">
        <f t="shared" si="3"/>
        <v>40.149983382719782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212</v>
      </c>
      <c r="AG33" s="12">
        <f>VLOOKUP(A33,'Données projet'!$A$61:$I$81,9,0)</f>
        <v>14.5</v>
      </c>
      <c r="AH33" s="12">
        <f t="array" ref="AH33">INDEX(AG:AG,MIN(IF(ISNUMBER(AG33:AG229),ROW(AG33:AG229),"")))</f>
        <v>14.5</v>
      </c>
      <c r="AI33" s="13">
        <f>IF('Données projet'!$A$62&gt;35,AI32+AH33-AQ32,IF(A33&lt;'Données projet'!$A$62,$AF$205^A33,IF(A33='Données projet'!$A$62,'Données projet'!$B$62,AI32+AH33-AQ32)))</f>
        <v>212</v>
      </c>
      <c r="AJ33" s="13">
        <f>AI33*VLOOKUP('Données projet'!$B$10,Paramètres!$A$1:$I$89,3,0)*VLOOKUP('Données projet'!$B$10,Paramètres!$A$1:$I$89,5,0)</f>
        <v>185.20320000000004</v>
      </c>
      <c r="AK33" s="13">
        <f t="shared" si="35"/>
        <v>46.477875402099386</v>
      </c>
      <c r="AL33" s="20">
        <f t="shared" si="4"/>
        <v>403.51120632532314</v>
      </c>
      <c r="AM33" s="59">
        <f t="shared" si="5"/>
        <v>696.84453965865646</v>
      </c>
      <c r="AN33" s="59">
        <f ca="1">AVERAGE(OFFSET($AM$3,0,0,'Données projet'!$E$10+1,1))-AVERAGE(OFFSET($H$3,0,0,'Données projet'!$E$10+1,1))</f>
        <v>402.82278346470082</v>
      </c>
      <c r="AO33" s="59">
        <f t="shared" si="36"/>
        <v>440.17787299198977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5.3000000000000005E-2</v>
      </c>
      <c r="AS33" s="16">
        <f>IF(ISNA(VLOOKUP(A33,'Données projet'!$A$61:$I$81,6,0)),0%,VLOOKUP(A33,'Données projet'!$A$61:$I$81,6,0)*VLOOKUP('Données projet'!$B$10,Paramètres!$A$1:$I$89,7,0))</f>
        <v>0.23850000000000002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3.5828914064075463</v>
      </c>
      <c r="AV33" s="21">
        <f>EXP(-LN(2)/25)*AV32+(1-EXP(-LN(2)/25))/(LN(2)/25)*Calculateur!AQ33*Calculateur!AS33*VLOOKUP('Données projet'!$B$10,Paramètres!$A$1:$I$89,3,0)*0.475*44/12</f>
        <v>22.531328482130039</v>
      </c>
      <c r="AW33" s="21">
        <f>EXP(-LN(2)/2)*AW32+(1-EXP(-LN(2)/2))/(LN(2)/2)*AQ33*AT33*VLOOKUP('Données projet'!$B$10,Paramètres!$A$1:$I$89,3,0)*0.475*44/12</f>
        <v>26.395802316753095</v>
      </c>
      <c r="AX33" s="21">
        <f t="shared" si="6"/>
        <v>52.510022205290682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149</v>
      </c>
      <c r="BB33" s="12">
        <f>VLOOKUP(A33,'Données projet'!$A$87:$I$107,9,0)</f>
        <v>8.1999999999999993</v>
      </c>
      <c r="BC33" s="12">
        <f t="array" ref="BC33">INDEX(BB:BB,MIN(IF(ISNUMBER(BB33:BB229),ROW(BB33:BB229),"")))</f>
        <v>8.1999999999999993</v>
      </c>
      <c r="BD33" s="12">
        <f>IF('Données projet'!$A$88&gt;35,BD32+BC33-BL32,IF(A33&lt;'Données projet'!$A$88,$BA$205^A33,IF(A33='Données projet'!$A$88,'Données projet'!$B$88,BD32+BC33-BL32)))</f>
        <v>149</v>
      </c>
      <c r="BE33" s="13">
        <f>BD33*VLOOKUP('Données projet'!$B$11,Paramètres!$A$1:$I$89,3,0)*VLOOKUP('Données projet'!$B$11,Paramètres!$A$1:$I$89,5,0)</f>
        <v>134.81519999999998</v>
      </c>
      <c r="BF33" s="13">
        <f t="shared" si="37"/>
        <v>35.106644529103392</v>
      </c>
      <c r="BG33" s="20">
        <f t="shared" si="7"/>
        <v>295.94721255485501</v>
      </c>
      <c r="BH33" s="59">
        <f t="shared" si="8"/>
        <v>589.28054588818827</v>
      </c>
      <c r="BI33" s="59">
        <f ca="1">AVERAGE(OFFSET($BH$3,0,0,'Données projet'!$E$11+1,1))-AVERAGE(OFFSET($H$3,0,0,'Données projet'!$E$11+1,1))</f>
        <v>469.68830256438338</v>
      </c>
      <c r="BJ33" s="59">
        <f t="shared" si="38"/>
        <v>332.61387922152159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56</v>
      </c>
      <c r="BM33" s="16">
        <f>IF(ISNA(VLOOKUP(A33,'Données projet'!$A$87:$I$107,5,0)),0%,VLOOKUP(A33,'Données projet'!$A$87:$I$107,5,0)*VLOOKUP('Données projet'!$B$11,Paramètres!$A$1:$I$89,7,0))</f>
        <v>4.3000000000000003E-2</v>
      </c>
      <c r="BN33" s="16">
        <f>IF(ISNA(VLOOKUP(A33,'Données projet'!$A$87:$I$107,6,0)),0%,VLOOKUP(A33,'Données projet'!$A$87:$I$107,6,0)*VLOOKUP('Données projet'!$B$11,Paramètres!$A$1:$I$89,7,0))</f>
        <v>0.19350000000000001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2.4085528753586032</v>
      </c>
      <c r="BQ33" s="21">
        <f>EXP(-LN(2)/25)*BQ32+(1-EXP(-LN(2)/25))/(LN(2)/25)*Calculateur!BL33*Calculateur!BN33*VLOOKUP('Données projet'!$B$11,Paramètres!$A$1:$I$89,3,0)*0.475*44/12</f>
        <v>11.282818400509749</v>
      </c>
      <c r="BR33" s="21">
        <f>EXP(-LN(2)/2)*BR32+(1-EXP(-LN(2)/2))/(LN(2)/2)*BL33*BO33*VLOOKUP('Données projet'!$B$11,Paramètres!$A$1:$I$89,3,0)*0.475*44/12</f>
        <v>21.553336774106572</v>
      </c>
      <c r="BS33" s="22">
        <f t="shared" si="9"/>
        <v>35.244708049974925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123</v>
      </c>
      <c r="BW33" s="12">
        <f>VLOOKUP(A33,'Données projet'!$A$113:$I$133,9,0)</f>
        <v>9.1</v>
      </c>
      <c r="BX33" s="12">
        <f t="array" ref="BX33">INDEX(BW:BW,MIN(IF(ISNUMBER(BW33:BW229),ROW(BW33:BW229),"")))</f>
        <v>9.1</v>
      </c>
      <c r="BY33" s="12">
        <f>IF('Données projet'!$A$114&gt;35,BY32+BX33-CG32,IF(A33&lt;'Données projet'!$A$114,$BV$205^A33,IF(A33='Données projet'!$A$114,'Données projet'!$B$114,BY32+BX33-CG32)))</f>
        <v>122.99999999999997</v>
      </c>
      <c r="BZ33" s="13">
        <f>BY33*VLOOKUP('Données projet'!$B$12,Paramètres!$A$1:$I$89,3,0)*VLOOKUP('Données projet'!$B$12,Paramètres!$A$1:$I$89,5,0)</f>
        <v>117.04679999999999</v>
      </c>
      <c r="CA33" s="13">
        <f t="shared" si="39"/>
        <v>30.985218187968854</v>
      </c>
      <c r="CB33" s="20">
        <f t="shared" si="10"/>
        <v>257.82243167737909</v>
      </c>
      <c r="CC33" s="59">
        <f t="shared" si="11"/>
        <v>551.15576501071246</v>
      </c>
      <c r="CD33" s="59">
        <f ca="1">AVERAGE(OFFSET($CC$3,0,0,'Données projet'!$E$12+1,1))-AVERAGE(OFFSET($H$3,0,0,'Données projet'!$E$12+1,1))</f>
        <v>609.40025883662452</v>
      </c>
      <c r="CE33" s="59">
        <f t="shared" si="40"/>
        <v>294.48909834404577</v>
      </c>
      <c r="CF33" s="15">
        <f>IF(ISNA(VLOOKUP(A33,'Données projet'!$A$113:$I$133,3,0)),0,VLOOKUP(A33,'Données projet'!$A$113:$I$133,3,0))</f>
        <v>1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0.1075</v>
      </c>
      <c r="CJ33" s="16">
        <f>IF(ISNA(VLOOKUP(A33,'Données projet'!$A$113:$I$133,7,0)),0%,VLOOKUP(A33,'Données projet'!$A$113:$I$133,7,0))</f>
        <v>0.25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3.9424363842247048</v>
      </c>
      <c r="CM33" s="21">
        <f>EXP(-LN(2)/2)*CM32+(1-EXP(-LN(2)/2))/(LN(2)/2)*CG33*CJ33*VLOOKUP('Données projet'!$B$12,Paramètres!$A$1:$I$89,3,0)*0.475*44/12</f>
        <v>7.8562768544617656</v>
      </c>
      <c r="CN33" s="22">
        <f t="shared" si="12"/>
        <v>11.798713238686471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237.5</v>
      </c>
      <c r="CR33" s="12">
        <f>VLOOKUP(A33,'Données projet'!$A$139:$I$159,9,0)</f>
        <v>9.1999999999999993</v>
      </c>
      <c r="CS33" s="12">
        <f t="array" ref="CS33">INDEX(CR:CR,MIN(IF(ISNUMBER(CR33:CR229),ROW(CR33:CR229),"")))</f>
        <v>9.1999999999999993</v>
      </c>
      <c r="CT33" s="12">
        <f>IF('Données projet'!$A$140&gt;35,CT32+CS33-DB32,IF(A33&lt;'Données projet'!$A$140,$CQ$205^A33,IF(A33='Données projet'!$A$140,'Données projet'!$B$140,CT32+CS33-DB32)))</f>
        <v>237.49999999999989</v>
      </c>
      <c r="CU33" s="17">
        <f>CT33*VLOOKUP('Données projet'!$B$13,Paramètres!$A$1:$I$89,3,0)*VLOOKUP('Données projet'!$B$13,Paramètres!$A$1:$I$89,5,0)</f>
        <v>111.14999999999995</v>
      </c>
      <c r="CV33" s="13">
        <f t="shared" si="41"/>
        <v>29.601769319956546</v>
      </c>
      <c r="CW33" s="20">
        <f t="shared" si="13"/>
        <v>245.14266489892427</v>
      </c>
      <c r="CX33" s="59">
        <f t="shared" si="14"/>
        <v>538.47599823225755</v>
      </c>
      <c r="CY33" s="59">
        <f ca="1">AVERAGE(OFFSET($CX$3,0,0,'Données projet'!$E$13+1,1))-AVERAGE(OFFSET($H$3,0,0,'Données projet'!$E$13+1,1))</f>
        <v>346.16623654404509</v>
      </c>
      <c r="CZ33" s="59">
        <f t="shared" si="42"/>
        <v>281.80933156559087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45.9</v>
      </c>
      <c r="DC33" s="16">
        <f>IF(ISNA(VLOOKUP(A33,'Données projet'!$A$139:$I$159,5,0)),0%,VLOOKUP(A33,'Données projet'!$A$139:$I$159,5,0)*VLOOKUP('Données projet'!$B$13,Paramètres!$A$1:$I$89,7,0))</f>
        <v>0.11000000000000001</v>
      </c>
      <c r="DD33" s="16">
        <f>IF(ISNA(VLOOKUP(A33,'Données projet'!$A$139:$I$159,6,0)),0%,VLOOKUP(A33,'Données projet'!$A$139:$I$159,6,0)*VLOOKUP('Données projet'!$B$13,Paramètres!$A$1:$I$89,7,0))</f>
        <v>0.22000000000000003</v>
      </c>
      <c r="DE33" s="16">
        <f>IF(ISNA(VLOOKUP(A33,'Données projet'!$A$139:$I$159,7,0)),0%,VLOOKUP(A33,'Données projet'!$A$139:$I$159,7,0))</f>
        <v>0.4</v>
      </c>
      <c r="DF33" s="21">
        <f>EXP(-LN(2)/35)*DF32+(1-EXP(-LN(2)/35))/(LN(2)/35)*DB33*DC33*VLOOKUP('Données projet'!$B$13,Paramètres!$A$1:$I$89,3,0)*0.475*44/12</f>
        <v>3.1345816018206638</v>
      </c>
      <c r="DG33" s="21">
        <f>EXP(-LN(2)/25)*DG32+(1-EXP(-LN(2)/25))/(LN(2)/25)*Calculateur!DB33*Calculateur!DD33*VLOOKUP('Données projet'!$B$13,Paramètres!$A$1:$I$89,3,0)*0.475*44/12</f>
        <v>7.8554643539932272</v>
      </c>
      <c r="DH33" s="21">
        <f>EXP(-LN(2)/2)*DH32+(1-EXP(-LN(2)/2))/(LN(2)/2)*DB33*DE33*VLOOKUP('Données projet'!$B$13,Paramètres!$A$1:$I$89,3,0)*0.475*44/12</f>
        <v>9.8321764802959866</v>
      </c>
      <c r="DI33" s="22">
        <f t="shared" si="15"/>
        <v>20.822222436109875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220</v>
      </c>
      <c r="DM33" s="12">
        <f>VLOOKUP(A33,'Données projet'!$A$165:$I$185,9,0)</f>
        <v>13.9</v>
      </c>
      <c r="DN33" s="12">
        <f t="array" ref="DN33">INDEX(DM:DM,MIN(IF(ISNUMBER(DM33:DM229),ROW(DM33:DM229),"")))</f>
        <v>13.9</v>
      </c>
      <c r="DO33" s="12">
        <f>IF('Données projet'!$A$166&gt;35,DO32+DN33-DW32,IF(A33&lt;'Données projet'!$A$166,$DL$205^A33,IF(A33='Données projet'!$A$166,'Données projet'!$B$166,DO32+DN33-DW32)))</f>
        <v>220.00000000000006</v>
      </c>
      <c r="DP33" s="17">
        <f>DO33*VLOOKUP('Données projet'!$B$14,Paramètres!$A$1:$I$89,3,0)*VLOOKUP('Données projet'!$B$14,Paramètres!$A$1:$I$89,5,0)</f>
        <v>137.28000000000003</v>
      </c>
      <c r="DQ33" s="13">
        <f t="shared" si="43"/>
        <v>35.673181961873446</v>
      </c>
      <c r="DR33" s="20">
        <f t="shared" si="16"/>
        <v>301.22679191692964</v>
      </c>
      <c r="DS33" s="59">
        <f t="shared" si="17"/>
        <v>594.5601252502629</v>
      </c>
      <c r="DT33" s="59">
        <f ca="1">AVERAGE(OFFSET($DS$3,0,0,'Données projet'!$E$14+1,1))-AVERAGE(OFFSET($H$3,0,0,'Données projet'!$E$14+1,1))</f>
        <v>319.97171762304686</v>
      </c>
      <c r="DU33" s="59">
        <f t="shared" si="44"/>
        <v>337.89345858359621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70</v>
      </c>
      <c r="DX33" s="16">
        <f>IF(ISNA(VLOOKUP(A33,'Données projet'!$A$165:$I$185,5,0)),0%,VLOOKUP(A33,'Données projet'!$A$165:$I$185,5,0)*VLOOKUP('Données projet'!$B$14,Paramètres!$A$1:$I$89,7,0))</f>
        <v>0.12</v>
      </c>
      <c r="DY33" s="16">
        <f>IF(ISNA(VLOOKUP(A33,'Données projet'!$A$165:$I$185,6,0)),0%,VLOOKUP(A33,'Données projet'!$A$165:$I$185,6,0)*VLOOKUP('Données projet'!$B$14,Paramètres!$A$1:$I$89,7,0))</f>
        <v>0.24</v>
      </c>
      <c r="DZ33" s="16">
        <f>IF(ISNA(VLOOKUP(A33,'Données projet'!$A$165:$I$185,7,0)),0%,VLOOKUP(A33,'Données projet'!$A$165:$I$185,7,0))</f>
        <v>0.4</v>
      </c>
      <c r="EA33" s="21">
        <f>EXP(-LN(2)/35)*EA32+(1-EXP(-LN(2)/35))/(LN(2)/35)*DW33*DX33*VLOOKUP('Données projet'!$B$14,Paramètres!$A$1:$I$89,3,0)*0.475*44/12</f>
        <v>6.9533202496318935</v>
      </c>
      <c r="EB33" s="21">
        <f>EXP(-LN(2)/25)*EB32+(1-EXP(-LN(2)/25))/(LN(2)/25)*Calculateur!DW33*Calculateur!DY33*VLOOKUP('Données projet'!$B$14,Paramètres!$A$1:$I$89,3,0)*0.475*44/12</f>
        <v>20.787908457840874</v>
      </c>
      <c r="EC33" s="21">
        <f>EXP(-LN(2)/2)*EC32+(1-EXP(-LN(2)/2))/(LN(2)/2)*DW33*DZ33*VLOOKUP('Données projet'!$B$14,Paramètres!$A$1:$I$89,3,0)*0.475*44/12</f>
        <v>20.190815503715083</v>
      </c>
      <c r="ED33" s="22">
        <f t="shared" si="18"/>
        <v>47.932044211187851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14.833333333333334</v>
      </c>
      <c r="EJ33" s="12">
        <f>IF('Données projet'!$A$192&gt;35,EJ32+EI33-ER32,IF(A33&lt;'Données projet'!$A$192,$EG$205^A33,IF(A33='Données projet'!$A$192,'Données projet'!$B$192,EJ32+EI33-ER32)))</f>
        <v>184.66666666666669</v>
      </c>
      <c r="EK33" s="17">
        <f>EJ33*VLOOKUP('Données projet'!$B$15,Paramètres!$A$1:$I$89,3,0)*VLOOKUP('Données projet'!$B$15,Paramètres!$A$1:$I$89,5,0)</f>
        <v>110.43066666666668</v>
      </c>
      <c r="EL33" s="13">
        <f t="shared" si="45"/>
        <v>29.43242991113809</v>
      </c>
      <c r="EM33" s="20">
        <f t="shared" si="19"/>
        <v>243.5948932063433</v>
      </c>
      <c r="EN33" s="59">
        <f t="shared" si="20"/>
        <v>536.92822653967664</v>
      </c>
      <c r="EO33" s="59">
        <f ca="1">AVERAGE(OFFSET($EN$3,0,0,'Données projet'!$E$15+1,1))-AVERAGE(OFFSET($H$3,0,0,'Données projet'!$E$15+1,1))</f>
        <v>258.46015871559956</v>
      </c>
      <c r="EP33" s="59">
        <f t="shared" si="46"/>
        <v>280.26155987300996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6.2122642072721463</v>
      </c>
      <c r="EW33" s="21">
        <f>EXP(-LN(2)/25)*EW32+(1-EXP(-LN(2)/25))/(LN(2)/25)*Calculateur!ER33*Calculateur!ET33*VLOOKUP('Données projet'!$B$15,Paramètres!$A$1:$I$89,3,0)*0.475*44/12</f>
        <v>12.330882251955801</v>
      </c>
      <c r="EX33" s="21">
        <f>EXP(-LN(2)/2)*EX32+(1-EXP(-LN(2)/2))/(LN(2)/2)*ER33*EU33*VLOOKUP('Données projet'!$B$15,Paramètres!$A$1:$I$89,3,0)*0.475*44/12</f>
        <v>5.4456923740741496</v>
      </c>
      <c r="EY33" s="22">
        <f t="shared" si="21"/>
        <v>23.988838833302097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9</v>
      </c>
      <c r="N34" s="13">
        <f>IF('Données projet'!$A$36&gt;35,N33+M34-V33,IF(A34&lt;'Données projet'!$A$36,$K$205^A34,IF(A34='Données projet'!$A$36,'Données projet'!$B$36,N33+M34-V33)))</f>
        <v>131.00000000000006</v>
      </c>
      <c r="O34" s="13">
        <f>N34*VLOOKUP('Données projet'!$B$9,Paramètres!$A$1:$I$89,3,0)*VLOOKUP('Données projet'!$B$9,Paramètres!$A$1:$I$89,5,0)</f>
        <v>114.44160000000007</v>
      </c>
      <c r="P34" s="13">
        <f t="shared" si="33"/>
        <v>30.375037129843747</v>
      </c>
      <c r="Q34" s="20">
        <f t="shared" si="2"/>
        <v>252.22230966781126</v>
      </c>
      <c r="R34" s="59">
        <f t="shared" si="0"/>
        <v>545.55564300114452</v>
      </c>
      <c r="S34" s="59">
        <f ca="1">AVERAGE(OFFSET($R$3,0,0,'Données projet'!$E$9+1,1))-AVERAGE(OFFSET($H$3,0,0,'Données projet'!$E$9+1,1))</f>
        <v>368.41876532159154</v>
      </c>
      <c r="T34" s="59">
        <f t="shared" si="34"/>
        <v>369.39570124551125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6.0375806929699465</v>
      </c>
      <c r="AA34" s="21">
        <f>EXP(-LN(2)/25)*AA33+(1-EXP(-LN(2)/25))/(LN(2)/25)*Calculateur!V34*Calculateur!X34*VLOOKUP('Données projet'!$B$9,Paramètres!$A$1:$I$89,3,0)*0.475*44/12</f>
        <v>15.777436579852209</v>
      </c>
      <c r="AB34" s="21">
        <f>EXP(-LN(2)/2)*AB33+(1-EXP(-LN(2)/2))/(LN(2)/2)*V34*Y34*VLOOKUP('Données projet'!$B$9,Paramètres!$A$1:$I$89,3,0)*0.475*44/12</f>
        <v>12.565740518090584</v>
      </c>
      <c r="AC34" s="22">
        <f t="shared" si="3"/>
        <v>34.380757790912739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12.1</v>
      </c>
      <c r="AI34" s="13">
        <f>IF('Données projet'!$A$62&gt;35,AI33+AH34-AQ33,IF(A34&lt;'Données projet'!$A$62,$AF$205^A34,IF(A34='Données projet'!$A$62,'Données projet'!$B$62,AI33+AH34-AQ33)))</f>
        <v>154.1</v>
      </c>
      <c r="AJ34" s="13">
        <f>AI34*VLOOKUP('Données projet'!$B$10,Paramètres!$A$1:$I$89,3,0)*VLOOKUP('Données projet'!$B$10,Paramètres!$A$1:$I$89,5,0)</f>
        <v>134.62176000000002</v>
      </c>
      <c r="AK34" s="13">
        <f t="shared" si="35"/>
        <v>35.062131337194764</v>
      </c>
      <c r="AL34" s="20">
        <f t="shared" si="4"/>
        <v>295.53277741228089</v>
      </c>
      <c r="AM34" s="59">
        <f t="shared" si="5"/>
        <v>588.86611074561415</v>
      </c>
      <c r="AN34" s="59">
        <f ca="1">AVERAGE(OFFSET($AM$3,0,0,'Données projet'!$E$10+1,1))-AVERAGE(OFFSET($H$3,0,0,'Données projet'!$E$10+1,1))</f>
        <v>402.82278346470082</v>
      </c>
      <c r="AO34" s="59">
        <f t="shared" si="36"/>
        <v>440.17787299198977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3.512633091275867</v>
      </c>
      <c r="AV34" s="21">
        <f>EXP(-LN(2)/25)*AV33+(1-EXP(-LN(2)/25))/(LN(2)/25)*Calculateur!AQ34*Calculateur!AS34*VLOOKUP('Données projet'!$B$10,Paramètres!$A$1:$I$89,3,0)*0.475*44/12</f>
        <v>21.915208119915125</v>
      </c>
      <c r="AW34" s="21">
        <f>EXP(-LN(2)/2)*AW33+(1-EXP(-LN(2)/2))/(LN(2)/2)*AQ34*AT34*VLOOKUP('Données projet'!$B$10,Paramètres!$A$1:$I$89,3,0)*0.475*44/12</f>
        <v>18.664650813035696</v>
      </c>
      <c r="AX34" s="21">
        <f t="shared" si="6"/>
        <v>44.092492024226686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</v>
      </c>
      <c r="BD34" s="12">
        <f>IF('Données projet'!$A$88&gt;35,BD33+BC34-BL33,IF(A34&lt;'Données projet'!$A$88,$BA$205^A34,IF(A34='Données projet'!$A$88,'Données projet'!$B$88,BD33+BC34-BL33)))</f>
        <v>104</v>
      </c>
      <c r="BE34" s="13">
        <f>BD34*VLOOKUP('Données projet'!$B$11,Paramètres!$A$1:$I$89,3,0)*VLOOKUP('Données projet'!$B$11,Paramètres!$A$1:$I$89,5,0)</f>
        <v>94.099199999999996</v>
      </c>
      <c r="BF34" s="13">
        <f t="shared" si="37"/>
        <v>25.551276031514817</v>
      </c>
      <c r="BG34" s="20">
        <f t="shared" si="7"/>
        <v>208.39124575488827</v>
      </c>
      <c r="BH34" s="59">
        <f t="shared" si="8"/>
        <v>501.72457908822162</v>
      </c>
      <c r="BI34" s="59">
        <f ca="1">AVERAGE(OFFSET($BH$3,0,0,'Données projet'!$E$11+1,1))-AVERAGE(OFFSET($H$3,0,0,'Données projet'!$E$11+1,1))</f>
        <v>469.68830256438338</v>
      </c>
      <c r="BJ34" s="59">
        <f t="shared" si="38"/>
        <v>332.61387922152159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2.3613226225450159</v>
      </c>
      <c r="BQ34" s="21">
        <f>EXP(-LN(2)/25)*BQ33+(1-EXP(-LN(2)/25))/(LN(2)/25)*Calculateur!BL34*Calculateur!BN34*VLOOKUP('Données projet'!$B$11,Paramètres!$A$1:$I$89,3,0)*0.475*44/12</f>
        <v>10.974289138010176</v>
      </c>
      <c r="BR34" s="21">
        <f>EXP(-LN(2)/2)*BR33+(1-EXP(-LN(2)/2))/(LN(2)/2)*BL34*BO34*VLOOKUP('Données projet'!$B$11,Paramètres!$A$1:$I$89,3,0)*0.475*44/12</f>
        <v>15.240510590168146</v>
      </c>
      <c r="BS34" s="22">
        <f t="shared" si="9"/>
        <v>28.576122350723338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10.3</v>
      </c>
      <c r="BY34" s="12">
        <f>IF('Données projet'!$A$114&gt;35,BY33+BX34-CG33,IF(A34&lt;'Données projet'!$A$114,$BV$205^A34,IF(A34='Données projet'!$A$114,'Données projet'!$B$114,BY33+BX34-CG33)))</f>
        <v>98.299999999999983</v>
      </c>
      <c r="BZ34" s="13">
        <f>BY34*VLOOKUP('Données projet'!$B$12,Paramètres!$A$1:$I$89,3,0)*VLOOKUP('Données projet'!$B$12,Paramètres!$A$1:$I$89,5,0)</f>
        <v>93.542279999999977</v>
      </c>
      <c r="CA34" s="13">
        <f t="shared" si="39"/>
        <v>25.417608760098435</v>
      </c>
      <c r="CB34" s="20">
        <f t="shared" si="10"/>
        <v>207.18847292383805</v>
      </c>
      <c r="CC34" s="59">
        <f t="shared" si="11"/>
        <v>500.52180625717136</v>
      </c>
      <c r="CD34" s="59">
        <f ca="1">AVERAGE(OFFSET($CC$3,0,0,'Données projet'!$E$12+1,1))-AVERAGE(OFFSET($H$3,0,0,'Données projet'!$E$12+1,1))</f>
        <v>609.40025883662452</v>
      </c>
      <c r="CE34" s="59">
        <f t="shared" si="40"/>
        <v>294.48909834404577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3.8346302539743613</v>
      </c>
      <c r="CM34" s="21">
        <f>EXP(-LN(2)/2)*CM33+(1-EXP(-LN(2)/2))/(LN(2)/2)*CG34*CJ34*VLOOKUP('Données projet'!$B$12,Paramètres!$A$1:$I$89,3,0)*0.475*44/12</f>
        <v>5.5552266386688336</v>
      </c>
      <c r="CN34" s="22">
        <f t="shared" si="12"/>
        <v>9.3898568926431949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10.000000000000004</v>
      </c>
      <c r="CT34" s="12">
        <f>IF('Données projet'!$A$140&gt;35,CT33+CS34-DB33,IF(A34&lt;'Données projet'!$A$140,$CQ$205^A34,IF(A34='Données projet'!$A$140,'Données projet'!$B$140,CT33+CS34-DB33)))</f>
        <v>201.59999999999988</v>
      </c>
      <c r="CU34" s="17">
        <f>CT34*VLOOKUP('Données projet'!$B$13,Paramètres!$A$1:$I$89,3,0)*VLOOKUP('Données projet'!$B$13,Paramètres!$A$1:$I$89,5,0)</f>
        <v>94.34879999999994</v>
      </c>
      <c r="CV34" s="13">
        <f t="shared" si="41"/>
        <v>25.611153022386439</v>
      </c>
      <c r="CW34" s="20">
        <f t="shared" si="13"/>
        <v>208.93025151398959</v>
      </c>
      <c r="CX34" s="59">
        <f t="shared" si="14"/>
        <v>502.26358484732293</v>
      </c>
      <c r="CY34" s="59">
        <f ca="1">AVERAGE(OFFSET($CX$3,0,0,'Données projet'!$E$13+1,1))-AVERAGE(OFFSET($H$3,0,0,'Données projet'!$E$13+1,1))</f>
        <v>346.16623654404509</v>
      </c>
      <c r="CZ34" s="59">
        <f t="shared" si="42"/>
        <v>281.80933156559087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3.0731143685149527</v>
      </c>
      <c r="DG34" s="21">
        <f>EXP(-LN(2)/25)*DG33+(1-EXP(-LN(2)/25))/(LN(2)/25)*Calculateur!DB34*Calculateur!DD34*VLOOKUP('Données projet'!$B$13,Paramètres!$A$1:$I$89,3,0)*0.475*44/12</f>
        <v>7.640656268132366</v>
      </c>
      <c r="DH34" s="21">
        <f>EXP(-LN(2)/2)*DH33+(1-EXP(-LN(2)/2))/(LN(2)/2)*DB34*DE34*VLOOKUP('Données projet'!$B$13,Paramètres!$A$1:$I$89,3,0)*0.475*44/12</f>
        <v>6.9523986630401735</v>
      </c>
      <c r="DI34" s="22">
        <f t="shared" si="15"/>
        <v>17.666169299687493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13.3</v>
      </c>
      <c r="DO34" s="12">
        <f>IF('Données projet'!$A$166&gt;35,DO33+DN34-DW33,IF(A34&lt;'Données projet'!$A$166,$DL$205^A34,IF(A34='Données projet'!$A$166,'Données projet'!$B$166,DO33+DN34-DW33)))</f>
        <v>163.30000000000007</v>
      </c>
      <c r="DP34" s="17">
        <f>DO34*VLOOKUP('Données projet'!$B$14,Paramètres!$A$1:$I$89,3,0)*VLOOKUP('Données projet'!$B$14,Paramètres!$A$1:$I$89,5,0)</f>
        <v>101.89920000000004</v>
      </c>
      <c r="DQ34" s="13">
        <f t="shared" si="43"/>
        <v>27.413959140905018</v>
      </c>
      <c r="DR34" s="20">
        <f t="shared" si="16"/>
        <v>225.22041883707629</v>
      </c>
      <c r="DS34" s="59">
        <f t="shared" si="17"/>
        <v>518.55375217040955</v>
      </c>
      <c r="DT34" s="59">
        <f ca="1">AVERAGE(OFFSET($DS$3,0,0,'Données projet'!$E$14+1,1))-AVERAGE(OFFSET($H$3,0,0,'Données projet'!$E$14+1,1))</f>
        <v>319.97171762304686</v>
      </c>
      <c r="DU34" s="59">
        <f t="shared" si="44"/>
        <v>337.89345858359621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6.8169698806431898</v>
      </c>
      <c r="EB34" s="21">
        <f>EXP(-LN(2)/25)*EB33+(1-EXP(-LN(2)/25))/(LN(2)/25)*Calculateur!DW34*Calculateur!DY34*VLOOKUP('Données projet'!$B$14,Paramètres!$A$1:$I$89,3,0)*0.475*44/12</f>
        <v>20.219462007872622</v>
      </c>
      <c r="EC34" s="21">
        <f>EXP(-LN(2)/2)*EC33+(1-EXP(-LN(2)/2))/(LN(2)/2)*DW34*DZ34*VLOOKUP('Données projet'!$B$14,Paramètres!$A$1:$I$89,3,0)*0.475*44/12</f>
        <v>14.277062560363413</v>
      </c>
      <c r="ED34" s="22">
        <f t="shared" si="18"/>
        <v>41.313494448879226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14.833333333333334</v>
      </c>
      <c r="EJ34" s="12">
        <f>IF('Données projet'!$A$192&gt;35,EJ33+EI34-ER33,IF(A34&lt;'Données projet'!$A$192,$EG$205^A34,IF(A34='Données projet'!$A$192,'Données projet'!$B$192,EJ33+EI34-ER33)))</f>
        <v>199.50000000000003</v>
      </c>
      <c r="EK34" s="17">
        <f>EJ34*VLOOKUP('Données projet'!$B$15,Paramètres!$A$1:$I$89,3,0)*VLOOKUP('Données projet'!$B$15,Paramètres!$A$1:$I$89,5,0)</f>
        <v>119.30100000000002</v>
      </c>
      <c r="EL34" s="13">
        <f t="shared" si="45"/>
        <v>31.51191363312137</v>
      </c>
      <c r="EM34" s="20">
        <f t="shared" si="19"/>
        <v>262.66582457768635</v>
      </c>
      <c r="EN34" s="59">
        <f t="shared" si="20"/>
        <v>555.99915791101967</v>
      </c>
      <c r="EO34" s="59">
        <f ca="1">AVERAGE(OFFSET($EN$3,0,0,'Données projet'!$E$15+1,1))-AVERAGE(OFFSET($H$3,0,0,'Données projet'!$E$15+1,1))</f>
        <v>258.46015871559956</v>
      </c>
      <c r="EP34" s="59">
        <f t="shared" si="46"/>
        <v>280.26155987300996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6.0904454952745626</v>
      </c>
      <c r="EW34" s="21">
        <f>EXP(-LN(2)/25)*EW33+(1-EXP(-LN(2)/25))/(LN(2)/25)*Calculateur!ER34*Calculateur!ET34*VLOOKUP('Données projet'!$B$15,Paramètres!$A$1:$I$89,3,0)*0.475*44/12</f>
        <v>11.993693628323154</v>
      </c>
      <c r="EX34" s="21">
        <f>EXP(-LN(2)/2)*EX33+(1-EXP(-LN(2)/2))/(LN(2)/2)*ER34*EU34*VLOOKUP('Données projet'!$B$15,Paramètres!$A$1:$I$89,3,0)*0.475*44/12</f>
        <v>3.8506860059637007</v>
      </c>
      <c r="EY34" s="22">
        <f t="shared" si="21"/>
        <v>21.934825129561418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9</v>
      </c>
      <c r="N35" s="13">
        <f>IF('Données projet'!$A$36&gt;35,N34+M35-V34,IF(A35&lt;'Données projet'!$A$36,$K$205^A35,IF(A35='Données projet'!$A$36,'Données projet'!$B$36,N34+M35-V34)))</f>
        <v>140.00000000000006</v>
      </c>
      <c r="O35" s="13">
        <f>N35*VLOOKUP('Données projet'!$B$9,Paramètres!$A$1:$I$89,3,0)*VLOOKUP('Données projet'!$B$9,Paramètres!$A$1:$I$89,5,0)</f>
        <v>122.30400000000006</v>
      </c>
      <c r="P35" s="13">
        <f t="shared" si="33"/>
        <v>32.211773226559373</v>
      </c>
      <c r="Q35" s="20">
        <f t="shared" ref="Q35:Q66" si="53">(O35+P35)*0.475*44/12</f>
        <v>269.11497170292427</v>
      </c>
      <c r="R35" s="59">
        <f t="shared" si="0"/>
        <v>562.44830503625758</v>
      </c>
      <c r="S35" s="59">
        <f ca="1">AVERAGE(OFFSET($R$3,0,0,'Données projet'!$E$9+1,1))-AVERAGE(OFFSET($H$3,0,0,'Données projet'!$E$9+1,1))</f>
        <v>368.41876532159154</v>
      </c>
      <c r="T35" s="59">
        <f t="shared" si="34"/>
        <v>369.39570124551125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5.9191874181414059</v>
      </c>
      <c r="AA35" s="21">
        <f>EXP(-LN(2)/25)*AA34+(1-EXP(-LN(2)/25))/(LN(2)/25)*Calculateur!V35*Calculateur!X35*VLOOKUP('Données projet'!$B$9,Paramètres!$A$1:$I$89,3,0)*0.475*44/12</f>
        <v>15.346001746876819</v>
      </c>
      <c r="AB35" s="21">
        <f>EXP(-LN(2)/2)*AB34+(1-EXP(-LN(2)/2))/(LN(2)/2)*V35*Y35*VLOOKUP('Données projet'!$B$9,Paramètres!$A$1:$I$89,3,0)*0.475*44/12</f>
        <v>8.885320330972414</v>
      </c>
      <c r="AC35" s="22">
        <f t="shared" si="3"/>
        <v>30.15050949599064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12.1</v>
      </c>
      <c r="AI35" s="13">
        <f>IF('Données projet'!$A$62&gt;35,AI34+AH35-AQ34,IF(A35&lt;'Données projet'!$A$62,$AF$205^A35,IF(A35='Données projet'!$A$62,'Données projet'!$B$62,AI34+AH35-AQ34)))</f>
        <v>166.2</v>
      </c>
      <c r="AJ35" s="13">
        <f>AI35*VLOOKUP('Données projet'!$B$10,Paramètres!$A$1:$I$89,3,0)*VLOOKUP('Données projet'!$B$10,Paramètres!$A$1:$I$89,5,0)</f>
        <v>145.19232</v>
      </c>
      <c r="AK35" s="13">
        <f t="shared" si="35"/>
        <v>37.48396031597408</v>
      </c>
      <c r="AL35" s="20">
        <f t="shared" si="4"/>
        <v>318.16118821698814</v>
      </c>
      <c r="AM35" s="59">
        <f t="shared" si="5"/>
        <v>611.49452155032145</v>
      </c>
      <c r="AN35" s="59">
        <f ca="1">AVERAGE(OFFSET($AM$3,0,0,'Données projet'!$E$10+1,1))-AVERAGE(OFFSET($H$3,0,0,'Données projet'!$E$10+1,1))</f>
        <v>402.82278346470082</v>
      </c>
      <c r="AO35" s="59">
        <f t="shared" si="36"/>
        <v>440.17787299198977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3.443752498850579</v>
      </c>
      <c r="AV35" s="21">
        <f>EXP(-LN(2)/25)*AV34+(1-EXP(-LN(2)/25))/(LN(2)/25)*Calculateur!AQ35*Calculateur!AS35*VLOOKUP('Données projet'!$B$10,Paramètres!$A$1:$I$89,3,0)*0.475*44/12</f>
        <v>21.315935601405339</v>
      </c>
      <c r="AW35" s="21">
        <f>EXP(-LN(2)/2)*AW34+(1-EXP(-LN(2)/2))/(LN(2)/2)*AQ35*AT35*VLOOKUP('Données projet'!$B$10,Paramètres!$A$1:$I$89,3,0)*0.475*44/12</f>
        <v>13.197901158376549</v>
      </c>
      <c r="AX35" s="21">
        <f t="shared" si="6"/>
        <v>37.957589258632467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</v>
      </c>
      <c r="BD35" s="12">
        <f>IF('Données projet'!$A$88&gt;35,BD34+BC35-BL34,IF(A35&lt;'Données projet'!$A$88,$BA$205^A35,IF(A35='Données projet'!$A$88,'Données projet'!$B$88,BD34+BC35-BL34)))</f>
        <v>115</v>
      </c>
      <c r="BE35" s="13">
        <f>BD35*VLOOKUP('Données projet'!$B$11,Paramètres!$A$1:$I$89,3,0)*VLOOKUP('Données projet'!$B$11,Paramètres!$A$1:$I$89,5,0)</f>
        <v>104.05199999999999</v>
      </c>
      <c r="BF35" s="13">
        <f t="shared" si="37"/>
        <v>27.925087771564417</v>
      </c>
      <c r="BG35" s="20">
        <f t="shared" si="7"/>
        <v>229.86009453547467</v>
      </c>
      <c r="BH35" s="59">
        <f t="shared" si="8"/>
        <v>523.19342786880793</v>
      </c>
      <c r="BI35" s="59">
        <f ca="1">AVERAGE(OFFSET($BH$3,0,0,'Données projet'!$E$11+1,1))-AVERAGE(OFFSET($H$3,0,0,'Données projet'!$E$11+1,1))</f>
        <v>469.68830256438338</v>
      </c>
      <c r="BJ35" s="59">
        <f t="shared" si="38"/>
        <v>332.61387922152159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2.3150185261814937</v>
      </c>
      <c r="BQ35" s="21">
        <f>EXP(-LN(2)/25)*BQ34+(1-EXP(-LN(2)/25))/(LN(2)/25)*Calculateur!BL35*Calculateur!BN35*VLOOKUP('Données projet'!$B$11,Paramètres!$A$1:$I$89,3,0)*0.475*44/12</f>
        <v>10.674196624418505</v>
      </c>
      <c r="BR35" s="21">
        <f>EXP(-LN(2)/2)*BR34+(1-EXP(-LN(2)/2))/(LN(2)/2)*BL35*BO35*VLOOKUP('Données projet'!$B$11,Paramètres!$A$1:$I$89,3,0)*0.475*44/12</f>
        <v>10.776668387053288</v>
      </c>
      <c r="BS35" s="22">
        <f t="shared" si="9"/>
        <v>23.765883537653288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10.3</v>
      </c>
      <c r="BY35" s="12">
        <f>IF('Données projet'!$A$114&gt;35,BY34+BX35-CG34,IF(A35&lt;'Données projet'!$A$114,$BV$205^A35,IF(A35='Données projet'!$A$114,'Données projet'!$B$114,BY34+BX35-CG34)))</f>
        <v>108.59999999999998</v>
      </c>
      <c r="BZ35" s="13">
        <f>BY35*VLOOKUP('Données projet'!$B$12,Paramètres!$A$1:$I$89,3,0)*VLOOKUP('Données projet'!$B$12,Paramètres!$A$1:$I$89,5,0)</f>
        <v>103.34375999999997</v>
      </c>
      <c r="CA35" s="13">
        <f t="shared" si="39"/>
        <v>27.757070967619558</v>
      </c>
      <c r="CB35" s="20">
        <f t="shared" si="10"/>
        <v>228.33394726860402</v>
      </c>
      <c r="CC35" s="59">
        <f t="shared" si="11"/>
        <v>521.66728060193736</v>
      </c>
      <c r="CD35" s="59">
        <f ca="1">AVERAGE(OFFSET($CC$3,0,0,'Données projet'!$E$12+1,1))-AVERAGE(OFFSET($H$3,0,0,'Données projet'!$E$12+1,1))</f>
        <v>609.40025883662452</v>
      </c>
      <c r="CE35" s="59">
        <f t="shared" si="40"/>
        <v>294.48909834404577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3.7297720880249914</v>
      </c>
      <c r="CM35" s="21">
        <f>EXP(-LN(2)/2)*CM34+(1-EXP(-LN(2)/2))/(LN(2)/2)*CG35*CJ35*VLOOKUP('Données projet'!$B$12,Paramètres!$A$1:$I$89,3,0)*0.475*44/12</f>
        <v>3.9281384272308832</v>
      </c>
      <c r="CN35" s="22">
        <f t="shared" si="12"/>
        <v>7.6579105152558746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10.000000000000004</v>
      </c>
      <c r="CT35" s="12">
        <f>IF('Données projet'!$A$140&gt;35,CT34+CS35-DB34,IF(A35&lt;'Données projet'!$A$140,$CQ$205^A35,IF(A35='Données projet'!$A$140,'Données projet'!$B$140,CT34+CS35-DB34)))</f>
        <v>211.59999999999988</v>
      </c>
      <c r="CU35" s="17">
        <f>CT35*VLOOKUP('Données projet'!$B$13,Paramètres!$A$1:$I$89,3,0)*VLOOKUP('Données projet'!$B$13,Paramètres!$A$1:$I$89,5,0)</f>
        <v>99.028799999999947</v>
      </c>
      <c r="CV35" s="13">
        <f t="shared" si="41"/>
        <v>26.730491283721712</v>
      </c>
      <c r="CW35" s="20">
        <f t="shared" si="13"/>
        <v>219.0307656524819</v>
      </c>
      <c r="CX35" s="59">
        <f t="shared" si="14"/>
        <v>512.36409898581519</v>
      </c>
      <c r="CY35" s="59">
        <f ca="1">AVERAGE(OFFSET($CX$3,0,0,'Données projet'!$E$13+1,1))-AVERAGE(OFFSET($H$3,0,0,'Données projet'!$E$13+1,1))</f>
        <v>346.16623654404509</v>
      </c>
      <c r="CZ35" s="59">
        <f t="shared" si="42"/>
        <v>281.80933156559087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3.0128524701630561</v>
      </c>
      <c r="DG35" s="21">
        <f>EXP(-LN(2)/25)*DG34+(1-EXP(-LN(2)/25))/(LN(2)/25)*Calculateur!DB35*Calculateur!DD35*VLOOKUP('Données projet'!$B$13,Paramètres!$A$1:$I$89,3,0)*0.475*44/12</f>
        <v>7.4317221206756363</v>
      </c>
      <c r="DH35" s="21">
        <f>EXP(-LN(2)/2)*DH34+(1-EXP(-LN(2)/2))/(LN(2)/2)*DB35*DE35*VLOOKUP('Données projet'!$B$13,Paramètres!$A$1:$I$89,3,0)*0.475*44/12</f>
        <v>4.9160882401479942</v>
      </c>
      <c r="DI35" s="22">
        <f t="shared" si="15"/>
        <v>15.360662830986687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13.3</v>
      </c>
      <c r="DO35" s="12">
        <f>IF('Données projet'!$A$166&gt;35,DO34+DN35-DW34,IF(A35&lt;'Données projet'!$A$166,$DL$205^A35,IF(A35='Données projet'!$A$166,'Données projet'!$B$166,DO34+DN35-DW34)))</f>
        <v>176.60000000000008</v>
      </c>
      <c r="DP35" s="17">
        <f>DO35*VLOOKUP('Données projet'!$B$14,Paramètres!$A$1:$I$89,3,0)*VLOOKUP('Données projet'!$B$14,Paramètres!$A$1:$I$89,5,0)</f>
        <v>110.19840000000003</v>
      </c>
      <c r="DQ35" s="13">
        <f t="shared" si="43"/>
        <v>29.377724256456361</v>
      </c>
      <c r="DR35" s="20">
        <f t="shared" si="16"/>
        <v>243.09508307999488</v>
      </c>
      <c r="DS35" s="59">
        <f t="shared" si="17"/>
        <v>536.42841641332825</v>
      </c>
      <c r="DT35" s="59">
        <f ca="1">AVERAGE(OFFSET($DS$3,0,0,'Données projet'!$E$14+1,1))-AVERAGE(OFFSET($H$3,0,0,'Données projet'!$E$14+1,1))</f>
        <v>319.97171762304686</v>
      </c>
      <c r="DU35" s="59">
        <f t="shared" si="44"/>
        <v>337.89345858359621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6.6832932592248415</v>
      </c>
      <c r="EB35" s="21">
        <f>EXP(-LN(2)/25)*EB34+(1-EXP(-LN(2)/25))/(LN(2)/25)*Calculateur!DW35*Calculateur!DY35*VLOOKUP('Données projet'!$B$14,Paramètres!$A$1:$I$89,3,0)*0.475*44/12</f>
        <v>19.666559755972049</v>
      </c>
      <c r="EC35" s="21">
        <f>EXP(-LN(2)/2)*EC34+(1-EXP(-LN(2)/2))/(LN(2)/2)*DW35*DZ35*VLOOKUP('Données projet'!$B$14,Paramètres!$A$1:$I$89,3,0)*0.475*44/12</f>
        <v>10.095407751857543</v>
      </c>
      <c r="ED35" s="22">
        <f t="shared" si="18"/>
        <v>36.445260767054435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14.833333333333334</v>
      </c>
      <c r="EJ35" s="12">
        <f>IF('Données projet'!$A$192&gt;35,EJ34+EI35-ER34,IF(A35&lt;'Données projet'!$A$192,$EG$205^A35,IF(A35='Données projet'!$A$192,'Données projet'!$B$192,EJ34+EI35-ER34)))</f>
        <v>214.33333333333337</v>
      </c>
      <c r="EK35" s="17">
        <f>EJ35*VLOOKUP('Données projet'!$B$15,Paramètres!$A$1:$I$89,3,0)*VLOOKUP('Données projet'!$B$15,Paramètres!$A$1:$I$89,5,0)</f>
        <v>128.17133333333337</v>
      </c>
      <c r="EL35" s="13">
        <f t="shared" si="45"/>
        <v>33.5734603980111</v>
      </c>
      <c r="EM35" s="20">
        <f t="shared" si="19"/>
        <v>281.70551574875822</v>
      </c>
      <c r="EN35" s="59">
        <f t="shared" si="20"/>
        <v>575.03884908209147</v>
      </c>
      <c r="EO35" s="59">
        <f ca="1">AVERAGE(OFFSET($EN$3,0,0,'Données projet'!$E$15+1,1))-AVERAGE(OFFSET($H$3,0,0,'Données projet'!$E$15+1,1))</f>
        <v>258.46015871559956</v>
      </c>
      <c r="EP35" s="59">
        <f t="shared" si="46"/>
        <v>280.26155987300996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5.9710155739171737</v>
      </c>
      <c r="EW35" s="21">
        <f>EXP(-LN(2)/25)*EW34+(1-EXP(-LN(2)/25))/(LN(2)/25)*Calculateur!ER35*Calculateur!ET35*VLOOKUP('Données projet'!$B$15,Paramètres!$A$1:$I$89,3,0)*0.475*44/12</f>
        <v>11.66572544533572</v>
      </c>
      <c r="EX35" s="21">
        <f>EXP(-LN(2)/2)*EX34+(1-EXP(-LN(2)/2))/(LN(2)/2)*ER35*EU35*VLOOKUP('Données projet'!$B$15,Paramètres!$A$1:$I$89,3,0)*0.475*44/12</f>
        <v>2.7228461870370753</v>
      </c>
      <c r="EY35" s="22">
        <f t="shared" si="21"/>
        <v>20.359587206289969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9</v>
      </c>
      <c r="N36" s="13">
        <f>IF('Données projet'!$A$36&gt;35,N35+M36-V35,IF(A36&lt;'Données projet'!$A$36,$K$205^A36,IF(A36='Données projet'!$A$36,'Données projet'!$B$36,N35+M36-V35)))</f>
        <v>149.00000000000006</v>
      </c>
      <c r="O36" s="13">
        <f>N36*VLOOKUP('Données projet'!$B$9,Paramètres!$A$1:$I$89,3,0)*VLOOKUP('Données projet'!$B$9,Paramètres!$A$1:$I$89,5,0)</f>
        <v>130.16640000000007</v>
      </c>
      <c r="P36" s="13">
        <f t="shared" si="33"/>
        <v>34.034806623706302</v>
      </c>
      <c r="Q36" s="20">
        <f t="shared" si="53"/>
        <v>285.98376820295522</v>
      </c>
      <c r="R36" s="59">
        <f t="shared" si="0"/>
        <v>579.31710153628853</v>
      </c>
      <c r="S36" s="59">
        <f ca="1">AVERAGE(OFFSET($R$3,0,0,'Données projet'!$E$9+1,1))-AVERAGE(OFFSET($H$3,0,0,'Données projet'!$E$9+1,1))</f>
        <v>368.41876532159154</v>
      </c>
      <c r="T36" s="59">
        <f t="shared" si="34"/>
        <v>369.39570124551125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5.8031157632194859</v>
      </c>
      <c r="AA36" s="21">
        <f>EXP(-LN(2)/25)*AA35+(1-EXP(-LN(2)/25))/(LN(2)/25)*Calculateur!V36*Calculateur!X36*VLOOKUP('Données projet'!$B$9,Paramètres!$A$1:$I$89,3,0)*0.475*44/12</f>
        <v>14.926364522097314</v>
      </c>
      <c r="AB36" s="21">
        <f>EXP(-LN(2)/2)*AB35+(1-EXP(-LN(2)/2))/(LN(2)/2)*V36*Y36*VLOOKUP('Données projet'!$B$9,Paramètres!$A$1:$I$89,3,0)*0.475*44/12</f>
        <v>6.2828702590452936</v>
      </c>
      <c r="AC36" s="22">
        <f t="shared" si="3"/>
        <v>27.012350544362093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12.1</v>
      </c>
      <c r="AI36" s="13">
        <f>IF('Données projet'!$A$62&gt;35,AI35+AH36-AQ35,IF(A36&lt;'Données projet'!$A$62,$AF$205^A36,IF(A36='Données projet'!$A$62,'Données projet'!$B$62,AI35+AH36-AQ35)))</f>
        <v>178.29999999999998</v>
      </c>
      <c r="AJ36" s="13">
        <f>AI36*VLOOKUP('Données projet'!$B$10,Paramètres!$A$1:$I$89,3,0)*VLOOKUP('Données projet'!$B$10,Paramètres!$A$1:$I$89,5,0)</f>
        <v>155.76288</v>
      </c>
      <c r="AK36" s="13">
        <f t="shared" si="35"/>
        <v>39.885333474787885</v>
      </c>
      <c r="AL36" s="20">
        <f t="shared" si="4"/>
        <v>340.75397180192221</v>
      </c>
      <c r="AM36" s="59">
        <f t="shared" si="5"/>
        <v>634.08730513525552</v>
      </c>
      <c r="AN36" s="59">
        <f ca="1">AVERAGE(OFFSET($AM$3,0,0,'Données projet'!$E$10+1,1))-AVERAGE(OFFSET($H$3,0,0,'Données projet'!$E$10+1,1))</f>
        <v>402.82278346470082</v>
      </c>
      <c r="AO36" s="59">
        <f t="shared" si="36"/>
        <v>440.17787299198977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3.3762226128297379</v>
      </c>
      <c r="AV36" s="21">
        <f>EXP(-LN(2)/25)*AV35+(1-EXP(-LN(2)/25))/(LN(2)/25)*Calculateur!AQ36*Calculateur!AS36*VLOOKUP('Données projet'!$B$10,Paramètres!$A$1:$I$89,3,0)*0.475*44/12</f>
        <v>20.733050221428574</v>
      </c>
      <c r="AW36" s="21">
        <f>EXP(-LN(2)/2)*AW35+(1-EXP(-LN(2)/2))/(LN(2)/2)*AQ36*AT36*VLOOKUP('Données projet'!$B$10,Paramètres!$A$1:$I$89,3,0)*0.475*44/12</f>
        <v>9.3323254065178496</v>
      </c>
      <c r="AX36" s="21">
        <f t="shared" si="6"/>
        <v>33.441598240776159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</v>
      </c>
      <c r="BD36" s="12">
        <f>IF('Données projet'!$A$88&gt;35,BD35+BC36-BL35,IF(A36&lt;'Données projet'!$A$88,$BA$205^A36,IF(A36='Données projet'!$A$88,'Données projet'!$B$88,BD35+BC36-BL35)))</f>
        <v>126</v>
      </c>
      <c r="BE36" s="13">
        <f>BD36*VLOOKUP('Données projet'!$B$11,Paramètres!$A$1:$I$89,3,0)*VLOOKUP('Données projet'!$B$11,Paramètres!$A$1:$I$89,5,0)</f>
        <v>114.0048</v>
      </c>
      <c r="BF36" s="13">
        <f t="shared" si="37"/>
        <v>30.272573949217303</v>
      </c>
      <c r="BG36" s="20">
        <f t="shared" si="7"/>
        <v>251.28309296155342</v>
      </c>
      <c r="BH36" s="59">
        <f t="shared" si="8"/>
        <v>544.61642629488676</v>
      </c>
      <c r="BI36" s="59">
        <f ca="1">AVERAGE(OFFSET($BH$3,0,0,'Données projet'!$E$11+1,1))-AVERAGE(OFFSET($H$3,0,0,'Données projet'!$E$11+1,1))</f>
        <v>469.68830256438338</v>
      </c>
      <c r="BJ36" s="59">
        <f t="shared" si="38"/>
        <v>332.61387922152159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2.2696224249049499</v>
      </c>
      <c r="BQ36" s="21">
        <f>EXP(-LN(2)/25)*BQ35+(1-EXP(-LN(2)/25))/(LN(2)/25)*Calculateur!BL36*Calculateur!BN36*VLOOKUP('Données projet'!$B$11,Paramètres!$A$1:$I$89,3,0)*0.475*44/12</f>
        <v>10.382310156392176</v>
      </c>
      <c r="BR36" s="21">
        <f>EXP(-LN(2)/2)*BR35+(1-EXP(-LN(2)/2))/(LN(2)/2)*BL36*BO36*VLOOKUP('Données projet'!$B$11,Paramètres!$A$1:$I$89,3,0)*0.475*44/12</f>
        <v>7.6202552950840738</v>
      </c>
      <c r="BS36" s="22">
        <f t="shared" si="9"/>
        <v>20.272187876381199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10.3</v>
      </c>
      <c r="BY36" s="12">
        <f>IF('Données projet'!$A$114&gt;35,BY35+BX36-CG35,IF(A36&lt;'Données projet'!$A$114,$BV$205^A36,IF(A36='Données projet'!$A$114,'Données projet'!$B$114,BY35+BX36-CG35)))</f>
        <v>118.89999999999998</v>
      </c>
      <c r="BZ36" s="13">
        <f>BY36*VLOOKUP('Données projet'!$B$12,Paramètres!$A$1:$I$89,3,0)*VLOOKUP('Données projet'!$B$12,Paramètres!$A$1:$I$89,5,0)</f>
        <v>113.14523999999997</v>
      </c>
      <c r="CA36" s="13">
        <f t="shared" si="39"/>
        <v>30.070807392055354</v>
      </c>
      <c r="CB36" s="20">
        <f t="shared" si="10"/>
        <v>249.43461587449633</v>
      </c>
      <c r="CC36" s="59">
        <f t="shared" si="11"/>
        <v>542.76794920782959</v>
      </c>
      <c r="CD36" s="59">
        <f ca="1">AVERAGE(OFFSET($CC$3,0,0,'Données projet'!$E$12+1,1))-AVERAGE(OFFSET($H$3,0,0,'Données projet'!$E$12+1,1))</f>
        <v>609.40025883662452</v>
      </c>
      <c r="CE36" s="59">
        <f t="shared" si="40"/>
        <v>294.48909834404577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3.6277812741377584</v>
      </c>
      <c r="CM36" s="21">
        <f>EXP(-LN(2)/2)*CM35+(1-EXP(-LN(2)/2))/(LN(2)/2)*CG36*CJ36*VLOOKUP('Données projet'!$B$12,Paramètres!$A$1:$I$89,3,0)*0.475*44/12</f>
        <v>2.7776133193344172</v>
      </c>
      <c r="CN36" s="22">
        <f t="shared" si="12"/>
        <v>6.4053945934721757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10.000000000000004</v>
      </c>
      <c r="CT36" s="12">
        <f>IF('Données projet'!$A$140&gt;35,CT35+CS36-DB35,IF(A36&lt;'Données projet'!$A$140,$CQ$205^A36,IF(A36='Données projet'!$A$140,'Données projet'!$B$140,CT35+CS36-DB35)))</f>
        <v>221.59999999999988</v>
      </c>
      <c r="CU36" s="17">
        <f>CT36*VLOOKUP('Données projet'!$B$13,Paramètres!$A$1:$I$89,3,0)*VLOOKUP('Données projet'!$B$13,Paramètres!$A$1:$I$89,5,0)</f>
        <v>103.70879999999994</v>
      </c>
      <c r="CV36" s="13">
        <f t="shared" si="41"/>
        <v>27.84368661708951</v>
      </c>
      <c r="CW36" s="20">
        <f t="shared" si="13"/>
        <v>229.12058085809744</v>
      </c>
      <c r="CX36" s="59">
        <f t="shared" si="14"/>
        <v>522.45391419143073</v>
      </c>
      <c r="CY36" s="59">
        <f ca="1">AVERAGE(OFFSET($CX$3,0,0,'Données projet'!$E$13+1,1))-AVERAGE(OFFSET($H$3,0,0,'Données projet'!$E$13+1,1))</f>
        <v>346.16623654404509</v>
      </c>
      <c r="CZ36" s="59">
        <f t="shared" si="42"/>
        <v>281.80933156559087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2.9537722708817116</v>
      </c>
      <c r="DG36" s="21">
        <f>EXP(-LN(2)/25)*DG35+(1-EXP(-LN(2)/25))/(LN(2)/25)*Calculateur!DB36*Calculateur!DD36*VLOOKUP('Données projet'!$B$13,Paramètres!$A$1:$I$89,3,0)*0.475*44/12</f>
        <v>7.2285012884684798</v>
      </c>
      <c r="DH36" s="21">
        <f>EXP(-LN(2)/2)*DH35+(1-EXP(-LN(2)/2))/(LN(2)/2)*DB36*DE36*VLOOKUP('Données projet'!$B$13,Paramètres!$A$1:$I$89,3,0)*0.475*44/12</f>
        <v>3.4761993315200876</v>
      </c>
      <c r="DI36" s="22">
        <f t="shared" si="15"/>
        <v>13.658472890870279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13.3</v>
      </c>
      <c r="DO36" s="12">
        <f>IF('Données projet'!$A$166&gt;35,DO35+DN36-DW35,IF(A36&lt;'Données projet'!$A$166,$DL$205^A36,IF(A36='Données projet'!$A$166,'Données projet'!$B$166,DO35+DN36-DW35)))</f>
        <v>189.90000000000009</v>
      </c>
      <c r="DP36" s="17">
        <f>DO36*VLOOKUP('Données projet'!$B$14,Paramètres!$A$1:$I$89,3,0)*VLOOKUP('Données projet'!$B$14,Paramètres!$A$1:$I$89,5,0)</f>
        <v>118.49760000000006</v>
      </c>
      <c r="DQ36" s="13">
        <f t="shared" si="43"/>
        <v>31.324332637527956</v>
      </c>
      <c r="DR36" s="20">
        <f t="shared" si="16"/>
        <v>260.9398660103613</v>
      </c>
      <c r="DS36" s="59">
        <f t="shared" si="17"/>
        <v>554.27319934369461</v>
      </c>
      <c r="DT36" s="59">
        <f ca="1">AVERAGE(OFFSET($DS$3,0,0,'Données projet'!$E$14+1,1))-AVERAGE(OFFSET($H$3,0,0,'Données projet'!$E$14+1,1))</f>
        <v>319.97171762304686</v>
      </c>
      <c r="DU36" s="59">
        <f t="shared" si="44"/>
        <v>337.89345858359621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6.5522379548178185</v>
      </c>
      <c r="EB36" s="21">
        <f>EXP(-LN(2)/25)*EB35+(1-EXP(-LN(2)/25))/(LN(2)/25)*Calculateur!DW36*Calculateur!DY36*VLOOKUP('Données projet'!$B$14,Paramètres!$A$1:$I$89,3,0)*0.475*44/12</f>
        <v>19.128776645225564</v>
      </c>
      <c r="EC36" s="21">
        <f>EXP(-LN(2)/2)*EC35+(1-EXP(-LN(2)/2))/(LN(2)/2)*DW36*DZ36*VLOOKUP('Données projet'!$B$14,Paramètres!$A$1:$I$89,3,0)*0.475*44/12</f>
        <v>7.1385312801817076</v>
      </c>
      <c r="ED36" s="22">
        <f t="shared" si="18"/>
        <v>32.819545880225093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14.833333333333334</v>
      </c>
      <c r="EJ36" s="12">
        <f>IF('Données projet'!$A$192&gt;35,EJ35+EI36-ER35,IF(A36&lt;'Données projet'!$A$192,$EG$205^A36,IF(A36='Données projet'!$A$192,'Données projet'!$B$192,EJ35+EI36-ER35)))</f>
        <v>229.16666666666671</v>
      </c>
      <c r="EK36" s="17">
        <f>EJ36*VLOOKUP('Données projet'!$B$15,Paramètres!$A$1:$I$89,3,0)*VLOOKUP('Données projet'!$B$15,Paramètres!$A$1:$I$89,5,0)</f>
        <v>137.04166666666671</v>
      </c>
      <c r="EL36" s="13">
        <f t="shared" si="45"/>
        <v>35.618452776877568</v>
      </c>
      <c r="EM36" s="20">
        <f t="shared" si="19"/>
        <v>300.7163746975063</v>
      </c>
      <c r="EN36" s="59">
        <f t="shared" si="20"/>
        <v>594.04970803083961</v>
      </c>
      <c r="EO36" s="59">
        <f ca="1">AVERAGE(OFFSET($EN$3,0,0,'Données projet'!$E$15+1,1))-AVERAGE(OFFSET($H$3,0,0,'Données projet'!$E$15+1,1))</f>
        <v>258.46015871559956</v>
      </c>
      <c r="EP36" s="59">
        <f t="shared" si="46"/>
        <v>280.26155987300996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5.8539276004725442</v>
      </c>
      <c r="EW36" s="21">
        <f>EXP(-LN(2)/25)*EW35+(1-EXP(-LN(2)/25))/(LN(2)/25)*Calculateur!ER36*Calculateur!ET36*VLOOKUP('Données projet'!$B$15,Paramètres!$A$1:$I$89,3,0)*0.475*44/12</f>
        <v>11.346725569559176</v>
      </c>
      <c r="EX36" s="21">
        <f>EXP(-LN(2)/2)*EX35+(1-EXP(-LN(2)/2))/(LN(2)/2)*ER36*EU36*VLOOKUP('Données projet'!$B$15,Paramètres!$A$1:$I$89,3,0)*0.475*44/12</f>
        <v>1.9253430029818506</v>
      </c>
      <c r="EY36" s="22">
        <f t="shared" si="21"/>
        <v>19.125996173013572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9</v>
      </c>
      <c r="N37" s="13">
        <f>IF('Données projet'!$A$36&gt;35,N36+M37-V36,IF(A37&lt;'Données projet'!$A$36,$K$205^A37,IF(A37='Données projet'!$A$36,'Données projet'!$B$36,N36+M37-V36)))</f>
        <v>158.00000000000006</v>
      </c>
      <c r="O37" s="13">
        <f>N37*VLOOKUP('Données projet'!$B$9,Paramètres!$A$1:$I$89,3,0)*VLOOKUP('Données projet'!$B$9,Paramètres!$A$1:$I$89,5,0)</f>
        <v>138.02880000000007</v>
      </c>
      <c r="P37" s="13">
        <f t="shared" si="33"/>
        <v>35.845059256813073</v>
      </c>
      <c r="Q37" s="20">
        <f t="shared" si="53"/>
        <v>302.83030487228291</v>
      </c>
      <c r="R37" s="59">
        <f t="shared" si="0"/>
        <v>596.16363820561628</v>
      </c>
      <c r="S37" s="59">
        <f ca="1">AVERAGE(OFFSET($R$3,0,0,'Données projet'!$E$9+1,1))-AVERAGE(OFFSET($H$3,0,0,'Données projet'!$E$9+1,1))</f>
        <v>368.41876532159154</v>
      </c>
      <c r="T37" s="59">
        <f t="shared" si="34"/>
        <v>369.39570124551125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5.6893202026538656</v>
      </c>
      <c r="AA37" s="21">
        <f>EXP(-LN(2)/25)*AA36+(1-EXP(-LN(2)/25))/(LN(2)/25)*Calculateur!V37*Calculateur!X37*VLOOKUP('Données projet'!$B$9,Paramètres!$A$1:$I$89,3,0)*0.475*44/12</f>
        <v>14.518202299297167</v>
      </c>
      <c r="AB37" s="21">
        <f>EXP(-LN(2)/2)*AB36+(1-EXP(-LN(2)/2))/(LN(2)/2)*V37*Y37*VLOOKUP('Données projet'!$B$9,Paramètres!$A$1:$I$89,3,0)*0.475*44/12</f>
        <v>4.4426601654862079</v>
      </c>
      <c r="AC37" s="22">
        <f t="shared" si="3"/>
        <v>24.650182667437242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12.1</v>
      </c>
      <c r="AI37" s="13">
        <f>IF('Données projet'!$A$62&gt;35,AI36+AH37-AQ36,IF(A37&lt;'Données projet'!$A$62,$AF$205^A37,IF(A37='Données projet'!$A$62,'Données projet'!$B$62,AI36+AH37-AQ36)))</f>
        <v>190.39999999999998</v>
      </c>
      <c r="AJ37" s="13">
        <f>AI37*VLOOKUP('Données projet'!$B$10,Paramètres!$A$1:$I$89,3,0)*VLOOKUP('Données projet'!$B$10,Paramètres!$A$1:$I$89,5,0)</f>
        <v>166.33344</v>
      </c>
      <c r="AK37" s="13">
        <f t="shared" si="35"/>
        <v>42.267796944897761</v>
      </c>
      <c r="AL37" s="20">
        <f t="shared" si="4"/>
        <v>363.31382101236358</v>
      </c>
      <c r="AM37" s="59">
        <f t="shared" si="5"/>
        <v>656.64715434569689</v>
      </c>
      <c r="AN37" s="59">
        <f ca="1">AVERAGE(OFFSET($AM$3,0,0,'Données projet'!$E$10+1,1))-AVERAGE(OFFSET($H$3,0,0,'Données projet'!$E$10+1,1))</f>
        <v>402.82278346470082</v>
      </c>
      <c r="AO37" s="59">
        <f t="shared" si="36"/>
        <v>440.17787299198977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3.3100169466846023</v>
      </c>
      <c r="AV37" s="21">
        <f>EXP(-LN(2)/25)*AV36+(1-EXP(-LN(2)/25))/(LN(2)/25)*Calculateur!AQ37*Calculateur!AS37*VLOOKUP('Données projet'!$B$10,Paramètres!$A$1:$I$89,3,0)*0.475*44/12</f>
        <v>20.166103872819885</v>
      </c>
      <c r="AW37" s="21">
        <f>EXP(-LN(2)/2)*AW36+(1-EXP(-LN(2)/2))/(LN(2)/2)*AQ37*AT37*VLOOKUP('Données projet'!$B$10,Paramètres!$A$1:$I$89,3,0)*0.475*44/12</f>
        <v>6.5989505791882754</v>
      </c>
      <c r="AX37" s="21">
        <f t="shared" si="6"/>
        <v>30.075071398692764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</v>
      </c>
      <c r="BD37" s="12">
        <f>IF('Données projet'!$A$88&gt;35,BD36+BC37-BL36,IF(A37&lt;'Données projet'!$A$88,$BA$205^A37,IF(A37='Données projet'!$A$88,'Données projet'!$B$88,BD36+BC37-BL36)))</f>
        <v>137</v>
      </c>
      <c r="BE37" s="13">
        <f>BD37*VLOOKUP('Données projet'!$B$11,Paramètres!$A$1:$I$89,3,0)*VLOOKUP('Données projet'!$B$11,Paramètres!$A$1:$I$89,5,0)</f>
        <v>123.9576</v>
      </c>
      <c r="BF37" s="13">
        <f t="shared" si="37"/>
        <v>32.59629414926458</v>
      </c>
      <c r="BG37" s="20">
        <f t="shared" si="7"/>
        <v>272.6646989766358</v>
      </c>
      <c r="BH37" s="59">
        <f t="shared" si="8"/>
        <v>565.99803230996918</v>
      </c>
      <c r="BI37" s="59">
        <f ca="1">AVERAGE(OFFSET($BH$3,0,0,'Données projet'!$E$11+1,1))-AVERAGE(OFFSET($H$3,0,0,'Données projet'!$E$11+1,1))</f>
        <v>469.68830256438338</v>
      </c>
      <c r="BJ37" s="59">
        <f t="shared" si="38"/>
        <v>332.61387922152159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2.2251165134855517</v>
      </c>
      <c r="BQ37" s="21">
        <f>EXP(-LN(2)/25)*BQ36+(1-EXP(-LN(2)/25))/(LN(2)/25)*Calculateur!BL37*Calculateur!BN37*VLOOKUP('Données projet'!$B$11,Paramètres!$A$1:$I$89,3,0)*0.475*44/12</f>
        <v>10.098405339183669</v>
      </c>
      <c r="BR37" s="21">
        <f>EXP(-LN(2)/2)*BR36+(1-EXP(-LN(2)/2))/(LN(2)/2)*BL37*BO37*VLOOKUP('Données projet'!$B$11,Paramètres!$A$1:$I$89,3,0)*0.475*44/12</f>
        <v>5.3883341935266449</v>
      </c>
      <c r="BS37" s="22">
        <f t="shared" si="9"/>
        <v>17.711856046195866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10.3</v>
      </c>
      <c r="BY37" s="12">
        <f>IF('Données projet'!$A$114&gt;35,BY36+BX37-CG36,IF(A37&lt;'Données projet'!$A$114,$BV$205^A37,IF(A37='Données projet'!$A$114,'Données projet'!$B$114,BY36+BX37-CG36)))</f>
        <v>129.19999999999999</v>
      </c>
      <c r="BZ37" s="13">
        <f>BY37*VLOOKUP('Données projet'!$B$12,Paramètres!$A$1:$I$89,3,0)*VLOOKUP('Données projet'!$B$12,Paramètres!$A$1:$I$89,5,0)</f>
        <v>122.94672</v>
      </c>
      <c r="CA37" s="13">
        <f t="shared" si="39"/>
        <v>32.361299980262274</v>
      </c>
      <c r="CB37" s="20">
        <f t="shared" si="10"/>
        <v>270.49480146562342</v>
      </c>
      <c r="CC37" s="59">
        <f t="shared" si="11"/>
        <v>563.82813479895674</v>
      </c>
      <c r="CD37" s="59">
        <f ca="1">AVERAGE(OFFSET($CC$3,0,0,'Données projet'!$E$12+1,1))-AVERAGE(OFFSET($H$3,0,0,'Données projet'!$E$12+1,1))</f>
        <v>609.40025883662452</v>
      </c>
      <c r="CE37" s="59">
        <f t="shared" si="40"/>
        <v>294.48909834404577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3.5285794044197356</v>
      </c>
      <c r="CM37" s="21">
        <f>EXP(-LN(2)/2)*CM36+(1-EXP(-LN(2)/2))/(LN(2)/2)*CG37*CJ37*VLOOKUP('Données projet'!$B$12,Paramètres!$A$1:$I$89,3,0)*0.475*44/12</f>
        <v>1.9640692136154418</v>
      </c>
      <c r="CN37" s="22">
        <f t="shared" si="12"/>
        <v>5.4926486180351777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10.000000000000004</v>
      </c>
      <c r="CT37" s="12">
        <f>IF('Données projet'!$A$140&gt;35,CT36+CS37-DB36,IF(A37&lt;'Données projet'!$A$140,$CQ$205^A37,IF(A37='Données projet'!$A$140,'Données projet'!$B$140,CT36+CS37-DB36)))</f>
        <v>231.59999999999988</v>
      </c>
      <c r="CU37" s="17">
        <f>CT37*VLOOKUP('Données projet'!$B$13,Paramètres!$A$1:$I$89,3,0)*VLOOKUP('Données projet'!$B$13,Paramètres!$A$1:$I$89,5,0)</f>
        <v>108.38879999999993</v>
      </c>
      <c r="CV37" s="13">
        <f t="shared" si="41"/>
        <v>28.951047900249165</v>
      </c>
      <c r="CW37" s="20">
        <f t="shared" si="13"/>
        <v>239.20023509293381</v>
      </c>
      <c r="CX37" s="59">
        <f t="shared" si="14"/>
        <v>532.53356842626715</v>
      </c>
      <c r="CY37" s="59">
        <f ca="1">AVERAGE(OFFSET($CX$3,0,0,'Données projet'!$E$13+1,1))-AVERAGE(OFFSET($H$3,0,0,'Données projet'!$E$13+1,1))</f>
        <v>346.16623654404509</v>
      </c>
      <c r="CZ37" s="59">
        <f t="shared" si="42"/>
        <v>281.80933156559087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2.895850598272911</v>
      </c>
      <c r="DG37" s="21">
        <f>EXP(-LN(2)/25)*DG36+(1-EXP(-LN(2)/25))/(LN(2)/25)*Calculateur!DB37*Calculateur!DD37*VLOOKUP('Données projet'!$B$13,Paramètres!$A$1:$I$89,3,0)*0.475*44/12</f>
        <v>7.0308375406049475</v>
      </c>
      <c r="DH37" s="21">
        <f>EXP(-LN(2)/2)*DH36+(1-EXP(-LN(2)/2))/(LN(2)/2)*DB37*DE37*VLOOKUP('Données projet'!$B$13,Paramètres!$A$1:$I$89,3,0)*0.475*44/12</f>
        <v>2.4580441200739975</v>
      </c>
      <c r="DI37" s="22">
        <f t="shared" si="15"/>
        <v>12.384732258951857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13.3</v>
      </c>
      <c r="DO37" s="12">
        <f>IF('Données projet'!$A$166&gt;35,DO36+DN37-DW36,IF(A37&lt;'Données projet'!$A$166,$DL$205^A37,IF(A37='Données projet'!$A$166,'Données projet'!$B$166,DO36+DN37-DW36)))</f>
        <v>203.2000000000001</v>
      </c>
      <c r="DP37" s="17">
        <f>DO37*VLOOKUP('Données projet'!$B$14,Paramètres!$A$1:$I$89,3,0)*VLOOKUP('Données projet'!$B$14,Paramètres!$A$1:$I$89,5,0)</f>
        <v>126.79680000000006</v>
      </c>
      <c r="DQ37" s="13">
        <f t="shared" si="43"/>
        <v>33.25512256626952</v>
      </c>
      <c r="DR37" s="20">
        <f t="shared" si="16"/>
        <v>278.7570984695862</v>
      </c>
      <c r="DS37" s="59">
        <f t="shared" si="17"/>
        <v>572.09043180291951</v>
      </c>
      <c r="DT37" s="59">
        <f ca="1">AVERAGE(OFFSET($DS$3,0,0,'Données projet'!$E$14+1,1))-AVERAGE(OFFSET($H$3,0,0,'Données projet'!$E$14+1,1))</f>
        <v>319.97171762304686</v>
      </c>
      <c r="DU37" s="59">
        <f t="shared" si="44"/>
        <v>337.89345858359621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6.4237525649943752</v>
      </c>
      <c r="EB37" s="21">
        <f>EXP(-LN(2)/25)*EB36+(1-EXP(-LN(2)/25))/(LN(2)/25)*Calculateur!DW37*Calculateur!DY37*VLOOKUP('Données projet'!$B$14,Paramètres!$A$1:$I$89,3,0)*0.475*44/12</f>
        <v>18.605699241923226</v>
      </c>
      <c r="EC37" s="21">
        <f>EXP(-LN(2)/2)*EC36+(1-EXP(-LN(2)/2))/(LN(2)/2)*DW37*DZ37*VLOOKUP('Données projet'!$B$14,Paramètres!$A$1:$I$89,3,0)*0.475*44/12</f>
        <v>5.0477038759287725</v>
      </c>
      <c r="ED37" s="22">
        <f t="shared" si="18"/>
        <v>30.077155682846371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>
        <f>VLOOKUP(A37,'Données projet'!$A$191:$I$211,2,0)</f>
        <v>244</v>
      </c>
      <c r="EH37" s="12">
        <f>VLOOKUP(A37,'Données projet'!$A$191:$I$211,9,0)</f>
        <v>14.833333333333334</v>
      </c>
      <c r="EI37" s="12">
        <f t="array" ref="EI37">INDEX(EH:EH,MIN(IF(ISNUMBER(EH37:EH233),ROW(EH37:EH233),"")))</f>
        <v>14.833333333333334</v>
      </c>
      <c r="EJ37" s="12">
        <f>IF('Données projet'!$A$192&gt;35,EJ36+EI37-ER36,IF(A37&lt;'Données projet'!$A$192,$EG$205^A37,IF(A37='Données projet'!$A$192,'Données projet'!$B$192,EJ36+EI37-ER36)))</f>
        <v>244.00000000000006</v>
      </c>
      <c r="EK37" s="17">
        <f>EJ37*VLOOKUP('Données projet'!$B$15,Paramètres!$A$1:$I$89,3,0)*VLOOKUP('Données projet'!$B$15,Paramètres!$A$1:$I$89,5,0)</f>
        <v>145.91200000000006</v>
      </c>
      <c r="EL37" s="13">
        <f t="shared" si="45"/>
        <v>37.648084239987625</v>
      </c>
      <c r="EM37" s="20">
        <f t="shared" si="19"/>
        <v>319.7004800513119</v>
      </c>
      <c r="EN37" s="59">
        <f t="shared" si="20"/>
        <v>613.03381338464521</v>
      </c>
      <c r="EO37" s="59">
        <f ca="1">AVERAGE(OFFSET($EN$3,0,0,'Données projet'!$E$15+1,1))-AVERAGE(OFFSET($H$3,0,0,'Données projet'!$E$15+1,1))</f>
        <v>258.46015871559956</v>
      </c>
      <c r="EP37" s="59">
        <f t="shared" si="46"/>
        <v>280.26155987300996</v>
      </c>
      <c r="EQ37" s="15">
        <f>IF(ISNA(VLOOKUP(A37,'Données projet'!$A$191:$I$211,3,0)),0,VLOOKUP(A37,'Données projet'!$A$191:$I$211,3,0))</f>
        <v>5</v>
      </c>
      <c r="ER37" s="15">
        <f>IF(ISNA(VLOOKUP(A37,'Données projet'!$A$191:$I$211,4,0)),0,VLOOKUP(A37,'Données projet'!$A$191:$I$211,4,0))</f>
        <v>46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5.7391356507705522</v>
      </c>
      <c r="EW37" s="21">
        <f>EXP(-LN(2)/25)*EW36+(1-EXP(-LN(2)/25))/(LN(2)/25)*Calculateur!ER37*Calculateur!ET37*VLOOKUP('Données projet'!$B$15,Paramètres!$A$1:$I$89,3,0)*0.475*44/12</f>
        <v>11.036448762161216</v>
      </c>
      <c r="EX37" s="21">
        <f>EXP(-LN(2)/2)*EX36+(1-EXP(-LN(2)/2))/(LN(2)/2)*ER37*EU37*VLOOKUP('Données projet'!$B$15,Paramètres!$A$1:$I$89,3,0)*0.475*44/12</f>
        <v>1.3614230935185379</v>
      </c>
      <c r="EY37" s="22">
        <f t="shared" si="21"/>
        <v>18.137007506450306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9</v>
      </c>
      <c r="N38" s="13">
        <f>IF('Données projet'!$A$36&gt;35,N37+M38-V37,IF(A38&lt;'Données projet'!$A$36,$K$205^A38,IF(A38='Données projet'!$A$36,'Données projet'!$B$36,N37+M38-V37)))</f>
        <v>167.00000000000006</v>
      </c>
      <c r="O38" s="13">
        <f>N38*VLOOKUP('Données projet'!$B$9,Paramètres!$A$1:$I$89,3,0)*VLOOKUP('Données projet'!$B$9,Paramètres!$A$1:$I$89,5,0)</f>
        <v>145.89120000000005</v>
      </c>
      <c r="P38" s="13">
        <f t="shared" si="33"/>
        <v>37.643342098399685</v>
      </c>
      <c r="Q38" s="20">
        <f t="shared" si="53"/>
        <v>319.65599415471291</v>
      </c>
      <c r="R38" s="59">
        <f t="shared" si="0"/>
        <v>612.98932748804623</v>
      </c>
      <c r="S38" s="59">
        <f ca="1">AVERAGE(OFFSET($R$3,0,0,'Données projet'!$E$9+1,1))-AVERAGE(OFFSET($H$3,0,0,'Données projet'!$E$9+1,1))</f>
        <v>368.41876532159154</v>
      </c>
      <c r="T38" s="59">
        <f t="shared" si="34"/>
        <v>369.39570124551125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5.577756103622499</v>
      </c>
      <c r="AA38" s="21">
        <f>EXP(-LN(2)/25)*AA37+(1-EXP(-LN(2)/25))/(LN(2)/25)*Calculateur!V38*Calculateur!X38*VLOOKUP('Données projet'!$B$9,Paramètres!$A$1:$I$89,3,0)*0.475*44/12</f>
        <v>14.121201293943809</v>
      </c>
      <c r="AB38" s="21">
        <f>EXP(-LN(2)/2)*AB37+(1-EXP(-LN(2)/2))/(LN(2)/2)*V38*Y38*VLOOKUP('Données projet'!$B$9,Paramètres!$A$1:$I$89,3,0)*0.475*44/12</f>
        <v>3.1414351295226473</v>
      </c>
      <c r="AC38" s="22">
        <f t="shared" si="3"/>
        <v>22.840392527088955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12.1</v>
      </c>
      <c r="AI38" s="13">
        <f>IF('Données projet'!$A$62&gt;35,AI37+AH38-AQ37,IF(A38&lt;'Données projet'!$A$62,$AF$205^A38,IF(A38='Données projet'!$A$62,'Données projet'!$B$62,AI37+AH38-AQ37)))</f>
        <v>202.49999999999997</v>
      </c>
      <c r="AJ38" s="13">
        <f>AI38*VLOOKUP('Données projet'!$B$10,Paramètres!$A$1:$I$89,3,0)*VLOOKUP('Données projet'!$B$10,Paramètres!$A$1:$I$89,5,0)</f>
        <v>176.904</v>
      </c>
      <c r="AK38" s="13">
        <f t="shared" si="35"/>
        <v>44.632689233663157</v>
      </c>
      <c r="AL38" s="20">
        <f t="shared" si="4"/>
        <v>385.84306708196328</v>
      </c>
      <c r="AM38" s="59">
        <f t="shared" si="5"/>
        <v>679.1764004152966</v>
      </c>
      <c r="AN38" s="59">
        <f ca="1">AVERAGE(OFFSET($AM$3,0,0,'Données projet'!$E$10+1,1))-AVERAGE(OFFSET($H$3,0,0,'Données projet'!$E$10+1,1))</f>
        <v>402.82278346470082</v>
      </c>
      <c r="AO38" s="59">
        <f t="shared" si="36"/>
        <v>440.17787299198977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3.245109533271104</v>
      </c>
      <c r="AV38" s="21">
        <f>EXP(-LN(2)/25)*AV37+(1-EXP(-LN(2)/25))/(LN(2)/25)*Calculateur!AQ38*Calculateur!AS38*VLOOKUP('Données projet'!$B$10,Paramètres!$A$1:$I$89,3,0)*0.475*44/12</f>
        <v>19.614660701928312</v>
      </c>
      <c r="AW38" s="21">
        <f>EXP(-LN(2)/2)*AW37+(1-EXP(-LN(2)/2))/(LN(2)/2)*AQ38*AT38*VLOOKUP('Données projet'!$B$10,Paramètres!$A$1:$I$89,3,0)*0.475*44/12</f>
        <v>4.6661627032589257</v>
      </c>
      <c r="AX38" s="21">
        <f t="shared" si="6"/>
        <v>27.525932938458343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</v>
      </c>
      <c r="BD38" s="12">
        <f>IF('Données projet'!$A$88&gt;35,BD37+BC38-BL37,IF(A38&lt;'Données projet'!$A$88,$BA$205^A38,IF(A38='Données projet'!$A$88,'Données projet'!$B$88,BD37+BC38-BL37)))</f>
        <v>148</v>
      </c>
      <c r="BE38" s="13">
        <f>BD38*VLOOKUP('Données projet'!$B$11,Paramètres!$A$1:$I$89,3,0)*VLOOKUP('Données projet'!$B$11,Paramètres!$A$1:$I$89,5,0)</f>
        <v>133.91039999999998</v>
      </c>
      <c r="BF38" s="13">
        <f t="shared" si="37"/>
        <v>34.898373535125089</v>
      </c>
      <c r="BG38" s="20">
        <f t="shared" si="7"/>
        <v>294.00861390700948</v>
      </c>
      <c r="BH38" s="59">
        <f t="shared" si="8"/>
        <v>587.34194724034273</v>
      </c>
      <c r="BI38" s="59">
        <f ca="1">AVERAGE(OFFSET($BH$3,0,0,'Données projet'!$E$11+1,1))-AVERAGE(OFFSET($H$3,0,0,'Données projet'!$E$11+1,1))</f>
        <v>469.68830256438338</v>
      </c>
      <c r="BJ38" s="59">
        <f t="shared" si="38"/>
        <v>332.61387922152159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2.1814833358431622</v>
      </c>
      <c r="BQ38" s="21">
        <f>EXP(-LN(2)/25)*BQ37+(1-EXP(-LN(2)/25))/(LN(2)/25)*Calculateur!BL38*Calculateur!BN38*VLOOKUP('Données projet'!$B$11,Paramètres!$A$1:$I$89,3,0)*0.475*44/12</f>
        <v>9.8222639141316357</v>
      </c>
      <c r="BR38" s="21">
        <f>EXP(-LN(2)/2)*BR37+(1-EXP(-LN(2)/2))/(LN(2)/2)*BL38*BO38*VLOOKUP('Données projet'!$B$11,Paramètres!$A$1:$I$89,3,0)*0.475*44/12</f>
        <v>3.8101276475420374</v>
      </c>
      <c r="BS38" s="22">
        <f t="shared" si="9"/>
        <v>15.813874897516834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10.3</v>
      </c>
      <c r="BY38" s="12">
        <f>IF('Données projet'!$A$114&gt;35,BY37+BX38-CG37,IF(A38&lt;'Données projet'!$A$114,$BV$205^A38,IF(A38='Données projet'!$A$114,'Données projet'!$B$114,BY37+BX38-CG37)))</f>
        <v>139.5</v>
      </c>
      <c r="BZ38" s="13">
        <f>BY38*VLOOKUP('Données projet'!$B$12,Paramètres!$A$1:$I$89,3,0)*VLOOKUP('Données projet'!$B$12,Paramètres!$A$1:$I$89,5,0)</f>
        <v>132.7482</v>
      </c>
      <c r="CA38" s="13">
        <f t="shared" si="39"/>
        <v>34.630612435972736</v>
      </c>
      <c r="CB38" s="20">
        <f t="shared" si="10"/>
        <v>291.51809832598582</v>
      </c>
      <c r="CC38" s="59">
        <f t="shared" si="11"/>
        <v>584.85143165931913</v>
      </c>
      <c r="CD38" s="59">
        <f ca="1">AVERAGE(OFFSET($CC$3,0,0,'Données projet'!$E$12+1,1))-AVERAGE(OFFSET($H$3,0,0,'Données projet'!$E$12+1,1))</f>
        <v>609.40025883662452</v>
      </c>
      <c r="CE38" s="59">
        <f t="shared" si="40"/>
        <v>294.48909834404577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3.4320902150459518</v>
      </c>
      <c r="CM38" s="21">
        <f>EXP(-LN(2)/2)*CM37+(1-EXP(-LN(2)/2))/(LN(2)/2)*CG38*CJ38*VLOOKUP('Données projet'!$B$12,Paramètres!$A$1:$I$89,3,0)*0.475*44/12</f>
        <v>1.3888066596672088</v>
      </c>
      <c r="CN38" s="22">
        <f t="shared" si="12"/>
        <v>4.8208968747131609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10.000000000000004</v>
      </c>
      <c r="CT38" s="12">
        <f>IF('Données projet'!$A$140&gt;35,CT37+CS38-DB37,IF(A38&lt;'Données projet'!$A$140,$CQ$205^A38,IF(A38='Données projet'!$A$140,'Données projet'!$B$140,CT37+CS38-DB37)))</f>
        <v>241.59999999999988</v>
      </c>
      <c r="CU38" s="17">
        <f>CT38*VLOOKUP('Données projet'!$B$13,Paramètres!$A$1:$I$89,3,0)*VLOOKUP('Données projet'!$B$13,Paramètres!$A$1:$I$89,5,0)</f>
        <v>113.06879999999995</v>
      </c>
      <c r="CV38" s="13">
        <f t="shared" si="41"/>
        <v>30.052855829090237</v>
      </c>
      <c r="CW38" s="20">
        <f t="shared" si="13"/>
        <v>249.27021723566543</v>
      </c>
      <c r="CX38" s="59">
        <f t="shared" si="14"/>
        <v>542.6035505689988</v>
      </c>
      <c r="CY38" s="59">
        <f ca="1">AVERAGE(OFFSET($CX$3,0,0,'Données projet'!$E$13+1,1))-AVERAGE(OFFSET($H$3,0,0,'Données projet'!$E$13+1,1))</f>
        <v>346.16623654404509</v>
      </c>
      <c r="CZ38" s="59">
        <f t="shared" si="42"/>
        <v>281.80933156559087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2.8390647343352371</v>
      </c>
      <c r="DG38" s="21">
        <f>EXP(-LN(2)/25)*DG37+(1-EXP(-LN(2)/25))/(LN(2)/25)*Calculateur!DB38*Calculateur!DD38*VLOOKUP('Données projet'!$B$13,Paramètres!$A$1:$I$89,3,0)*0.475*44/12</f>
        <v>6.8385789183214278</v>
      </c>
      <c r="DH38" s="21">
        <f>EXP(-LN(2)/2)*DH37+(1-EXP(-LN(2)/2))/(LN(2)/2)*DB38*DE38*VLOOKUP('Données projet'!$B$13,Paramètres!$A$1:$I$89,3,0)*0.475*44/12</f>
        <v>1.738099665760044</v>
      </c>
      <c r="DI38" s="22">
        <f t="shared" si="15"/>
        <v>11.415743318416709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13.3</v>
      </c>
      <c r="DO38" s="12">
        <f>IF('Données projet'!$A$166&gt;35,DO37+DN38-DW37,IF(A38&lt;'Données projet'!$A$166,$DL$205^A38,IF(A38='Données projet'!$A$166,'Données projet'!$B$166,DO37+DN38-DW37)))</f>
        <v>216.50000000000011</v>
      </c>
      <c r="DP38" s="17">
        <f>DO38*VLOOKUP('Données projet'!$B$14,Paramètres!$A$1:$I$89,3,0)*VLOOKUP('Données projet'!$B$14,Paramètres!$A$1:$I$89,5,0)</f>
        <v>135.09600000000006</v>
      </c>
      <c r="DQ38" s="13">
        <f t="shared" si="43"/>
        <v>35.171247228284784</v>
      </c>
      <c r="DR38" s="20">
        <f t="shared" si="16"/>
        <v>296.54878892259609</v>
      </c>
      <c r="DS38" s="59">
        <f t="shared" si="17"/>
        <v>589.8821222559294</v>
      </c>
      <c r="DT38" s="59">
        <f ca="1">AVERAGE(OFFSET($DS$3,0,0,'Données projet'!$E$14+1,1))-AVERAGE(OFFSET($H$3,0,0,'Données projet'!$E$14+1,1))</f>
        <v>319.97171762304686</v>
      </c>
      <c r="DU38" s="59">
        <f t="shared" si="44"/>
        <v>337.89345858359621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6.2977866952970194</v>
      </c>
      <c r="EB38" s="21">
        <f>EXP(-LN(2)/25)*EB37+(1-EXP(-LN(2)/25))/(LN(2)/25)*Calculateur!DW38*Calculateur!DY38*VLOOKUP('Données projet'!$B$14,Paramètres!$A$1:$I$89,3,0)*0.475*44/12</f>
        <v>18.096925417721636</v>
      </c>
      <c r="EC38" s="21">
        <f>EXP(-LN(2)/2)*EC37+(1-EXP(-LN(2)/2))/(LN(2)/2)*DW38*DZ38*VLOOKUP('Données projet'!$B$14,Paramètres!$A$1:$I$89,3,0)*0.475*44/12</f>
        <v>3.5692656400908547</v>
      </c>
      <c r="ED38" s="22">
        <f t="shared" si="18"/>
        <v>27.963977753109511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12.833333333333334</v>
      </c>
      <c r="EJ38" s="12">
        <f>IF('Données projet'!$A$192&gt;35,EJ37+EI38-ER37,IF(A38&lt;'Données projet'!$A$192,$EG$205^A38,IF(A38='Données projet'!$A$192,'Données projet'!$B$192,EJ37+EI38-ER37)))</f>
        <v>210.83333333333337</v>
      </c>
      <c r="EK38" s="17">
        <f>EJ38*VLOOKUP('Données projet'!$B$15,Paramètres!$A$1:$I$89,3,0)*VLOOKUP('Données projet'!$B$15,Paramètres!$A$1:$I$89,5,0)</f>
        <v>126.07833333333336</v>
      </c>
      <c r="EL38" s="13">
        <f t="shared" si="45"/>
        <v>33.08856817390501</v>
      </c>
      <c r="EM38" s="20">
        <f t="shared" si="19"/>
        <v>277.21568679177352</v>
      </c>
      <c r="EN38" s="59">
        <f t="shared" si="20"/>
        <v>570.54902012510684</v>
      </c>
      <c r="EO38" s="59">
        <f ca="1">AVERAGE(OFFSET($EN$3,0,0,'Données projet'!$E$15+1,1))-AVERAGE(OFFSET($H$3,0,0,'Données projet'!$E$15+1,1))</f>
        <v>258.46015871559956</v>
      </c>
      <c r="EP38" s="59">
        <f t="shared" si="46"/>
        <v>280.26155987300996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5.6265947011860407</v>
      </c>
      <c r="EW38" s="21">
        <f>EXP(-LN(2)/25)*EW37+(1-EXP(-LN(2)/25))/(LN(2)/25)*Calculateur!ER38*Calculateur!ET38*VLOOKUP('Données projet'!$B$15,Paramètres!$A$1:$I$89,3,0)*0.475*44/12</f>
        <v>10.734656490378301</v>
      </c>
      <c r="EX38" s="21">
        <f>EXP(-LN(2)/2)*EX37+(1-EXP(-LN(2)/2))/(LN(2)/2)*ER38*EU38*VLOOKUP('Données projet'!$B$15,Paramètres!$A$1:$I$89,3,0)*0.475*44/12</f>
        <v>0.9626715014909254</v>
      </c>
      <c r="EY38" s="22">
        <f t="shared" si="21"/>
        <v>17.323922693055266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</v>
      </c>
      <c r="N39" s="13">
        <f>IF('Données projet'!$A$36&gt;35,N38+M39-V38,IF(A39&lt;'Données projet'!$A$36,$K$205^A39,IF(A39='Données projet'!$A$36,'Données projet'!$B$36,N38+M39-V38)))</f>
        <v>176.00000000000006</v>
      </c>
      <c r="O39" s="13">
        <f>N39*VLOOKUP('Données projet'!$B$9,Paramètres!$A$1:$I$89,3,0)*VLOOKUP('Données projet'!$B$9,Paramètres!$A$1:$I$89,5,0)</f>
        <v>153.75360000000006</v>
      </c>
      <c r="P39" s="13">
        <f t="shared" si="33"/>
        <v>39.430373774012359</v>
      </c>
      <c r="Q39" s="20">
        <f t="shared" si="53"/>
        <v>336.462087656405</v>
      </c>
      <c r="R39" s="59">
        <f t="shared" si="0"/>
        <v>629.79542098973832</v>
      </c>
      <c r="S39" s="59">
        <f ca="1">AVERAGE(OFFSET($R$3,0,0,'Données projet'!$E$9+1,1))-AVERAGE(OFFSET($H$3,0,0,'Données projet'!$E$9+1,1))</f>
        <v>368.41876532159154</v>
      </c>
      <c r="T39" s="59">
        <f t="shared" si="34"/>
        <v>369.39570124551125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5.4683797085257559</v>
      </c>
      <c r="AA39" s="21">
        <f>EXP(-LN(2)/25)*AA38+(1-EXP(-LN(2)/25))/(LN(2)/25)*Calculateur!V39*Calculateur!X39*VLOOKUP('Données projet'!$B$9,Paramètres!$A$1:$I$89,3,0)*0.475*44/12</f>
        <v>13.735056301959213</v>
      </c>
      <c r="AB39" s="21">
        <f>EXP(-LN(2)/2)*AB38+(1-EXP(-LN(2)/2))/(LN(2)/2)*V39*Y39*VLOOKUP('Données projet'!$B$9,Paramètres!$A$1:$I$89,3,0)*0.475*44/12</f>
        <v>2.2213300827431044</v>
      </c>
      <c r="AC39" s="22">
        <f t="shared" si="3"/>
        <v>21.424766093228076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12.1</v>
      </c>
      <c r="AI39" s="13">
        <f>IF('Données projet'!$A$62&gt;35,AI38+AH39-AQ38,IF(A39&lt;'Données projet'!$A$62,$AF$205^A39,IF(A39='Données projet'!$A$62,'Données projet'!$B$62,AI38+AH39-AQ38)))</f>
        <v>214.59999999999997</v>
      </c>
      <c r="AJ39" s="13">
        <f>AI39*VLOOKUP('Données projet'!$B$10,Paramètres!$A$1:$I$89,3,0)*VLOOKUP('Données projet'!$B$10,Paramètres!$A$1:$I$89,5,0)</f>
        <v>187.47456</v>
      </c>
      <c r="AK39" s="13">
        <f t="shared" si="35"/>
        <v>46.981179851370143</v>
      </c>
      <c r="AL39" s="20">
        <f t="shared" si="4"/>
        <v>408.34374690780299</v>
      </c>
      <c r="AM39" s="59">
        <f t="shared" si="5"/>
        <v>701.67708024113631</v>
      </c>
      <c r="AN39" s="59">
        <f ca="1">AVERAGE(OFFSET($AM$3,0,0,'Données projet'!$E$10+1,1))-AVERAGE(OFFSET($H$3,0,0,'Données projet'!$E$10+1,1))</f>
        <v>402.82278346470082</v>
      </c>
      <c r="AO39" s="59">
        <f t="shared" si="36"/>
        <v>440.17787299198977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3.181474914645031</v>
      </c>
      <c r="AV39" s="21">
        <f>EXP(-LN(2)/25)*AV38+(1-EXP(-LN(2)/25))/(LN(2)/25)*Calculateur!AQ39*Calculateur!AS39*VLOOKUP('Données projet'!$B$10,Paramètres!$A$1:$I$89,3,0)*0.475*44/12</f>
        <v>19.078296773543904</v>
      </c>
      <c r="AW39" s="21">
        <f>EXP(-LN(2)/2)*AW38+(1-EXP(-LN(2)/2))/(LN(2)/2)*AQ39*AT39*VLOOKUP('Données projet'!$B$10,Paramètres!$A$1:$I$89,3,0)*0.475*44/12</f>
        <v>3.2994752895941386</v>
      </c>
      <c r="AX39" s="21">
        <f t="shared" si="6"/>
        <v>25.559246977783072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</v>
      </c>
      <c r="BD39" s="12">
        <f>IF('Données projet'!$A$88&gt;35,BD38+BC39-BL38,IF(A39&lt;'Données projet'!$A$88,$BA$205^A39,IF(A39='Données projet'!$A$88,'Données projet'!$B$88,BD38+BC39-BL38)))</f>
        <v>159</v>
      </c>
      <c r="BE39" s="13">
        <f>BD39*VLOOKUP('Données projet'!$B$11,Paramètres!$A$1:$I$89,3,0)*VLOOKUP('Données projet'!$B$11,Paramètres!$A$1:$I$89,5,0)</f>
        <v>143.86320000000001</v>
      </c>
      <c r="BF39" s="13">
        <f t="shared" si="37"/>
        <v>37.180603445028773</v>
      </c>
      <c r="BG39" s="20">
        <f t="shared" si="7"/>
        <v>315.31795766675845</v>
      </c>
      <c r="BH39" s="59">
        <f t="shared" si="8"/>
        <v>608.65129100009176</v>
      </c>
      <c r="BI39" s="59">
        <f ca="1">AVERAGE(OFFSET($BH$3,0,0,'Données projet'!$E$11+1,1))-AVERAGE(OFFSET($H$3,0,0,'Données projet'!$E$11+1,1))</f>
        <v>469.68830256438338</v>
      </c>
      <c r="BJ39" s="59">
        <f t="shared" si="38"/>
        <v>332.61387922152159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2.1387057782007295</v>
      </c>
      <c r="BQ39" s="21">
        <f>EXP(-LN(2)/25)*BQ38+(1-EXP(-LN(2)/25))/(LN(2)/25)*Calculateur!BL39*Calculateur!BN39*VLOOKUP('Données projet'!$B$11,Paramètres!$A$1:$I$89,3,0)*0.475*44/12</f>
        <v>9.5536735908692965</v>
      </c>
      <c r="BR39" s="21">
        <f>EXP(-LN(2)/2)*BR38+(1-EXP(-LN(2)/2))/(LN(2)/2)*BL39*BO39*VLOOKUP('Données projet'!$B$11,Paramètres!$A$1:$I$89,3,0)*0.475*44/12</f>
        <v>2.6941670967633229</v>
      </c>
      <c r="BS39" s="22">
        <f t="shared" si="9"/>
        <v>14.386546465833348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10.3</v>
      </c>
      <c r="BY39" s="12">
        <f>IF('Données projet'!$A$114&gt;35,BY38+BX39-CG38,IF(A39&lt;'Données projet'!$A$114,$BV$205^A39,IF(A39='Données projet'!$A$114,'Données projet'!$B$114,BY38+BX39-CG38)))</f>
        <v>149.80000000000001</v>
      </c>
      <c r="BZ39" s="13">
        <f>BY39*VLOOKUP('Données projet'!$B$12,Paramètres!$A$1:$I$89,3,0)*VLOOKUP('Données projet'!$B$12,Paramètres!$A$1:$I$89,5,0)</f>
        <v>142.54968</v>
      </c>
      <c r="CA39" s="13">
        <f t="shared" si="39"/>
        <v>36.880486429449853</v>
      </c>
      <c r="CB39" s="20">
        <f t="shared" si="10"/>
        <v>312.50753986462513</v>
      </c>
      <c r="CC39" s="59">
        <f t="shared" si="11"/>
        <v>605.84087319795844</v>
      </c>
      <c r="CD39" s="59">
        <f ca="1">AVERAGE(OFFSET($CC$3,0,0,'Données projet'!$E$12+1,1))-AVERAGE(OFFSET($H$3,0,0,'Données projet'!$E$12+1,1))</f>
        <v>609.40025883662452</v>
      </c>
      <c r="CE39" s="59">
        <f t="shared" si="40"/>
        <v>294.48909834404577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3.3382395276297401</v>
      </c>
      <c r="CM39" s="21">
        <f>EXP(-LN(2)/2)*CM38+(1-EXP(-LN(2)/2))/(LN(2)/2)*CG39*CJ39*VLOOKUP('Données projet'!$B$12,Paramètres!$A$1:$I$89,3,0)*0.475*44/12</f>
        <v>0.98203460680772103</v>
      </c>
      <c r="CN39" s="22">
        <f t="shared" si="12"/>
        <v>4.3202741344374616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10.000000000000004</v>
      </c>
      <c r="CT39" s="12">
        <f>IF('Données projet'!$A$140&gt;35,CT38+CS39-DB38,IF(A39&lt;'Données projet'!$A$140,$CQ$205^A39,IF(A39='Données projet'!$A$140,'Données projet'!$B$140,CT38+CS39-DB38)))</f>
        <v>251.59999999999988</v>
      </c>
      <c r="CU39" s="17">
        <f>CT39*VLOOKUP('Données projet'!$B$13,Paramètres!$A$1:$I$89,3,0)*VLOOKUP('Données projet'!$B$13,Paramètres!$A$1:$I$89,5,0)</f>
        <v>117.74879999999995</v>
      </c>
      <c r="CV39" s="13">
        <f t="shared" si="41"/>
        <v>31.149366548366</v>
      </c>
      <c r="CW39" s="20">
        <f t="shared" si="13"/>
        <v>259.33097340507067</v>
      </c>
      <c r="CX39" s="59">
        <f t="shared" si="14"/>
        <v>552.66430673840398</v>
      </c>
      <c r="CY39" s="59">
        <f ca="1">AVERAGE(OFFSET($CX$3,0,0,'Données projet'!$E$13+1,1))-AVERAGE(OFFSET($H$3,0,0,'Données projet'!$E$13+1,1))</f>
        <v>346.16623654404509</v>
      </c>
      <c r="CZ39" s="59">
        <f t="shared" si="42"/>
        <v>281.80933156559087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2.7833924065534239</v>
      </c>
      <c r="DG39" s="21">
        <f>EXP(-LN(2)/25)*DG38+(1-EXP(-LN(2)/25))/(LN(2)/25)*Calculateur!DB39*Calculateur!DD39*VLOOKUP('Données projet'!$B$13,Paramètres!$A$1:$I$89,3,0)*0.475*44/12</f>
        <v>6.6515776181746933</v>
      </c>
      <c r="DH39" s="21">
        <f>EXP(-LN(2)/2)*DH38+(1-EXP(-LN(2)/2))/(LN(2)/2)*DB39*DE39*VLOOKUP('Données projet'!$B$13,Paramètres!$A$1:$I$89,3,0)*0.475*44/12</f>
        <v>1.229022060036999</v>
      </c>
      <c r="DI39" s="22">
        <f t="shared" si="15"/>
        <v>10.663992084765116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13.3</v>
      </c>
      <c r="DO39" s="12">
        <f>IF('Données projet'!$A$166&gt;35,DO38+DN39-DW38,IF(A39&lt;'Données projet'!$A$166,$DL$205^A39,IF(A39='Données projet'!$A$166,'Données projet'!$B$166,DO38+DN39-DW38)))</f>
        <v>229.80000000000013</v>
      </c>
      <c r="DP39" s="17">
        <f>DO39*VLOOKUP('Données projet'!$B$14,Paramètres!$A$1:$I$89,3,0)*VLOOKUP('Données projet'!$B$14,Paramètres!$A$1:$I$89,5,0)</f>
        <v>143.39520000000007</v>
      </c>
      <c r="DQ39" s="13">
        <f t="shared" si="43"/>
        <v>37.073710117899822</v>
      </c>
      <c r="DR39" s="20">
        <f t="shared" si="16"/>
        <v>314.31668512200895</v>
      </c>
      <c r="DS39" s="59">
        <f t="shared" si="17"/>
        <v>607.65001845534221</v>
      </c>
      <c r="DT39" s="59">
        <f ca="1">AVERAGE(OFFSET($DS$3,0,0,'Données projet'!$E$14+1,1))-AVERAGE(OFFSET($H$3,0,0,'Données projet'!$E$14+1,1))</f>
        <v>319.97171762304686</v>
      </c>
      <c r="DU39" s="59">
        <f t="shared" si="44"/>
        <v>337.89345858359621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6.1742909394728347</v>
      </c>
      <c r="EB39" s="21">
        <f>EXP(-LN(2)/25)*EB38+(1-EXP(-LN(2)/25))/(LN(2)/25)*Calculateur!DW39*Calculateur!DY39*VLOOKUP('Données projet'!$B$14,Paramètres!$A$1:$I$89,3,0)*0.475*44/12</f>
        <v>17.602064040498092</v>
      </c>
      <c r="EC39" s="21">
        <f>EXP(-LN(2)/2)*EC38+(1-EXP(-LN(2)/2))/(LN(2)/2)*DW39*DZ39*VLOOKUP('Données projet'!$B$14,Paramètres!$A$1:$I$89,3,0)*0.475*44/12</f>
        <v>2.5238519379643867</v>
      </c>
      <c r="ED39" s="22">
        <f t="shared" si="18"/>
        <v>26.300206917935313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12.833333333333334</v>
      </c>
      <c r="EJ39" s="12">
        <f>IF('Données projet'!$A$192&gt;35,EJ38+EI39-ER38,IF(A39&lt;'Données projet'!$A$192,$EG$205^A39,IF(A39='Données projet'!$A$192,'Données projet'!$B$192,EJ38+EI39-ER38)))</f>
        <v>223.66666666666671</v>
      </c>
      <c r="EK39" s="17">
        <f>EJ39*VLOOKUP('Données projet'!$B$15,Paramètres!$A$1:$I$89,3,0)*VLOOKUP('Données projet'!$B$15,Paramètres!$A$1:$I$89,5,0)</f>
        <v>133.75266666666673</v>
      </c>
      <c r="EL39" s="13">
        <f t="shared" si="45"/>
        <v>34.86204901776788</v>
      </c>
      <c r="EM39" s="20">
        <f t="shared" si="19"/>
        <v>293.67062981705698</v>
      </c>
      <c r="EN39" s="59">
        <f t="shared" si="20"/>
        <v>587.00396315039029</v>
      </c>
      <c r="EO39" s="59">
        <f ca="1">AVERAGE(OFFSET($EN$3,0,0,'Données projet'!$E$15+1,1))-AVERAGE(OFFSET($H$3,0,0,'Données projet'!$E$15+1,1))</f>
        <v>258.46015871559956</v>
      </c>
      <c r="EP39" s="59">
        <f t="shared" si="46"/>
        <v>280.26155987300996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5.5162606109796801</v>
      </c>
      <c r="EW39" s="21">
        <f>EXP(-LN(2)/25)*EW38+(1-EXP(-LN(2)/25))/(LN(2)/25)*Calculateur!ER39*Calculateur!ET39*VLOOKUP('Données projet'!$B$15,Paramètres!$A$1:$I$89,3,0)*0.475*44/12</f>
        <v>10.441116744137856</v>
      </c>
      <c r="EX39" s="21">
        <f>EXP(-LN(2)/2)*EX38+(1-EXP(-LN(2)/2))/(LN(2)/2)*ER39*EU39*VLOOKUP('Données projet'!$B$15,Paramètres!$A$1:$I$89,3,0)*0.475*44/12</f>
        <v>0.68071154675926904</v>
      </c>
      <c r="EY39" s="22">
        <f t="shared" si="21"/>
        <v>16.638088901876806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</v>
      </c>
      <c r="N40" s="13">
        <f>IF('Données projet'!$A$36&gt;35,N39+M40-V39,IF(A40&lt;'Données projet'!$A$36,$K$205^A40,IF(A40='Données projet'!$A$36,'Données projet'!$B$36,N39+M40-V39)))</f>
        <v>185.00000000000006</v>
      </c>
      <c r="O40" s="13">
        <f>N40*VLOOKUP('Données projet'!$B$9,Paramètres!$A$1:$I$89,3,0)*VLOOKUP('Données projet'!$B$9,Paramètres!$A$1:$I$89,5,0)</f>
        <v>161.61600000000007</v>
      </c>
      <c r="P40" s="13">
        <f t="shared" si="33"/>
        <v>41.20679526204917</v>
      </c>
      <c r="Q40" s="20">
        <f t="shared" si="53"/>
        <v>353.24970174806907</v>
      </c>
      <c r="R40" s="59">
        <f t="shared" si="0"/>
        <v>646.58303508140239</v>
      </c>
      <c r="S40" s="59">
        <f ca="1">AVERAGE(OFFSET($R$3,0,0,'Données projet'!$E$9+1,1))-AVERAGE(OFFSET($H$3,0,0,'Données projet'!$E$9+1,1))</f>
        <v>368.41876532159154</v>
      </c>
      <c r="T40" s="59">
        <f t="shared" si="34"/>
        <v>369.39570124551125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5.3611481178238467</v>
      </c>
      <c r="AA40" s="21">
        <f>EXP(-LN(2)/25)*AA39+(1-EXP(-LN(2)/25))/(LN(2)/25)*Calculateur!V40*Calculateur!X40*VLOOKUP('Données projet'!$B$9,Paramètres!$A$1:$I$89,3,0)*0.475*44/12</f>
        <v>13.35947046508692</v>
      </c>
      <c r="AB40" s="21">
        <f>EXP(-LN(2)/2)*AB39+(1-EXP(-LN(2)/2))/(LN(2)/2)*V40*Y40*VLOOKUP('Données projet'!$B$9,Paramètres!$A$1:$I$89,3,0)*0.475*44/12</f>
        <v>1.5707175647613238</v>
      </c>
      <c r="AC40" s="22">
        <f t="shared" si="3"/>
        <v>20.291336147672091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12.1</v>
      </c>
      <c r="AI40" s="13">
        <f>IF('Données projet'!$A$62&gt;35,AI39+AH40-AQ39,IF(A40&lt;'Données projet'!$A$62,$AF$205^A40,IF(A40='Données projet'!$A$62,'Données projet'!$B$62,AI39+AH40-AQ39)))</f>
        <v>226.69999999999996</v>
      </c>
      <c r="AJ40" s="13">
        <f>AI40*VLOOKUP('Données projet'!$B$10,Paramètres!$A$1:$I$89,3,0)*VLOOKUP('Données projet'!$B$10,Paramètres!$A$1:$I$89,5,0)</f>
        <v>198.04511999999997</v>
      </c>
      <c r="AK40" s="13">
        <f t="shared" si="35"/>
        <v>49.314298976184432</v>
      </c>
      <c r="AL40" s="20">
        <f t="shared" si="4"/>
        <v>430.81765471685441</v>
      </c>
      <c r="AM40" s="59">
        <f t="shared" si="5"/>
        <v>724.15098805018772</v>
      </c>
      <c r="AN40" s="59">
        <f ca="1">AVERAGE(OFFSET($AM$3,0,0,'Données projet'!$E$10+1,1))-AVERAGE(OFFSET($H$3,0,0,'Données projet'!$E$10+1,1))</f>
        <v>402.82278346470082</v>
      </c>
      <c r="AO40" s="59">
        <f t="shared" si="36"/>
        <v>440.17787299198977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3.1190881320769304</v>
      </c>
      <c r="AV40" s="21">
        <f>EXP(-LN(2)/25)*AV39+(1-EXP(-LN(2)/25))/(LN(2)/25)*Calculateur!AQ40*Calculateur!AS40*VLOOKUP('Données projet'!$B$10,Paramètres!$A$1:$I$89,3,0)*0.475*44/12</f>
        <v>18.556599744987324</v>
      </c>
      <c r="AW40" s="21">
        <f>EXP(-LN(2)/2)*AW39+(1-EXP(-LN(2)/2))/(LN(2)/2)*AQ40*AT40*VLOOKUP('Données projet'!$B$10,Paramètres!$A$1:$I$89,3,0)*0.475*44/12</f>
        <v>2.3330813516294633</v>
      </c>
      <c r="AX40" s="21">
        <f t="shared" si="6"/>
        <v>24.008769228693719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</v>
      </c>
      <c r="BD40" s="12">
        <f>IF('Données projet'!$A$88&gt;35,BD39+BC40-BL39,IF(A40&lt;'Données projet'!$A$88,$BA$205^A40,IF(A40='Données projet'!$A$88,'Données projet'!$B$88,BD39+BC40-BL39)))</f>
        <v>170</v>
      </c>
      <c r="BE40" s="13">
        <f>BD40*VLOOKUP('Données projet'!$B$11,Paramètres!$A$1:$I$89,3,0)*VLOOKUP('Données projet'!$B$11,Paramètres!$A$1:$I$89,5,0)</f>
        <v>153.816</v>
      </c>
      <c r="BF40" s="13">
        <f t="shared" si="37"/>
        <v>39.444513325737063</v>
      </c>
      <c r="BG40" s="20">
        <f t="shared" si="7"/>
        <v>336.59539404232538</v>
      </c>
      <c r="BH40" s="59">
        <f t="shared" si="8"/>
        <v>629.9287273756587</v>
      </c>
      <c r="BI40" s="59">
        <f ca="1">AVERAGE(OFFSET($BH$3,0,0,'Données projet'!$E$11+1,1))-AVERAGE(OFFSET($H$3,0,0,'Données projet'!$E$11+1,1))</f>
        <v>469.68830256438338</v>
      </c>
      <c r="BJ40" s="59">
        <f t="shared" si="38"/>
        <v>332.61387922152159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2.096767062371931</v>
      </c>
      <c r="BQ40" s="21">
        <f>EXP(-LN(2)/25)*BQ39+(1-EXP(-LN(2)/25))/(LN(2)/25)*Calculateur!BL40*Calculateur!BN40*VLOOKUP('Données projet'!$B$11,Paramètres!$A$1:$I$89,3,0)*0.475*44/12</f>
        <v>9.2924278841211159</v>
      </c>
      <c r="BR40" s="21">
        <f>EXP(-LN(2)/2)*BR39+(1-EXP(-LN(2)/2))/(LN(2)/2)*BL40*BO40*VLOOKUP('Données projet'!$B$11,Paramètres!$A$1:$I$89,3,0)*0.475*44/12</f>
        <v>1.9050638237710191</v>
      </c>
      <c r="BS40" s="22">
        <f t="shared" si="9"/>
        <v>13.294258770264067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10.3</v>
      </c>
      <c r="BY40" s="12">
        <f>IF('Données projet'!$A$114&gt;35,BY39+BX40-CG39,IF(A40&lt;'Données projet'!$A$114,$BV$205^A40,IF(A40='Données projet'!$A$114,'Données projet'!$B$114,BY39+BX40-CG39)))</f>
        <v>160.10000000000002</v>
      </c>
      <c r="BZ40" s="13">
        <f>BY40*VLOOKUP('Données projet'!$B$12,Paramètres!$A$1:$I$89,3,0)*VLOOKUP('Données projet'!$B$12,Paramètres!$A$1:$I$89,5,0)</f>
        <v>152.35116000000002</v>
      </c>
      <c r="CA40" s="13">
        <f t="shared" si="39"/>
        <v>39.112410563521017</v>
      </c>
      <c r="CB40" s="20">
        <f t="shared" si="10"/>
        <v>333.46571873146576</v>
      </c>
      <c r="CC40" s="59">
        <f t="shared" si="11"/>
        <v>626.79905206479907</v>
      </c>
      <c r="CD40" s="59">
        <f ca="1">AVERAGE(OFFSET($CC$3,0,0,'Données projet'!$E$12+1,1))-AVERAGE(OFFSET($H$3,0,0,'Données projet'!$E$12+1,1))</f>
        <v>609.40025883662452</v>
      </c>
      <c r="CE40" s="59">
        <f t="shared" si="40"/>
        <v>294.48909834404577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3.2469551921963178</v>
      </c>
      <c r="CM40" s="21">
        <f>EXP(-LN(2)/2)*CM39+(1-EXP(-LN(2)/2))/(LN(2)/2)*CG40*CJ40*VLOOKUP('Données projet'!$B$12,Paramètres!$A$1:$I$89,3,0)*0.475*44/12</f>
        <v>0.69440332983360453</v>
      </c>
      <c r="CN40" s="22">
        <f t="shared" si="12"/>
        <v>3.9413585220299225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10.000000000000004</v>
      </c>
      <c r="CT40" s="12">
        <f>IF('Données projet'!$A$140&gt;35,CT39+CS40-DB39,IF(A40&lt;'Données projet'!$A$140,$CQ$205^A40,IF(A40='Données projet'!$A$140,'Données projet'!$B$140,CT39+CS40-DB39)))</f>
        <v>261.59999999999991</v>
      </c>
      <c r="CU40" s="17">
        <f>CT40*VLOOKUP('Données projet'!$B$13,Paramètres!$A$1:$I$89,3,0)*VLOOKUP('Données projet'!$B$13,Paramètres!$A$1:$I$89,5,0)</f>
        <v>122.42879999999995</v>
      </c>
      <c r="CV40" s="13">
        <f t="shared" si="41"/>
        <v>32.240814688958388</v>
      </c>
      <c r="CW40" s="20">
        <f t="shared" si="13"/>
        <v>269.38291224993577</v>
      </c>
      <c r="CX40" s="59">
        <f t="shared" si="14"/>
        <v>562.71624558326903</v>
      </c>
      <c r="CY40" s="59">
        <f ca="1">AVERAGE(OFFSET($CX$3,0,0,'Données projet'!$E$13+1,1))-AVERAGE(OFFSET($H$3,0,0,'Données projet'!$E$13+1,1))</f>
        <v>346.16623654404509</v>
      </c>
      <c r="CZ40" s="59">
        <f t="shared" si="42"/>
        <v>281.80933156559087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2.7288117791626449</v>
      </c>
      <c r="DG40" s="21">
        <f>EXP(-LN(2)/25)*DG39+(1-EXP(-LN(2)/25))/(LN(2)/25)*Calculateur!DB40*Calculateur!DD40*VLOOKUP('Données projet'!$B$13,Paramètres!$A$1:$I$89,3,0)*0.475*44/12</f>
        <v>6.4696898784144414</v>
      </c>
      <c r="DH40" s="21">
        <f>EXP(-LN(2)/2)*DH39+(1-EXP(-LN(2)/2))/(LN(2)/2)*DB40*DE40*VLOOKUP('Données projet'!$B$13,Paramètres!$A$1:$I$89,3,0)*0.475*44/12</f>
        <v>0.86904983288002213</v>
      </c>
      <c r="DI40" s="22">
        <f t="shared" si="15"/>
        <v>10.067551490457108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13.3</v>
      </c>
      <c r="DO40" s="12">
        <f>IF('Données projet'!$A$166&gt;35,DO39+DN40-DW39,IF(A40&lt;'Données projet'!$A$166,$DL$205^A40,IF(A40='Données projet'!$A$166,'Données projet'!$B$166,DO39+DN40-DW39)))</f>
        <v>243.10000000000014</v>
      </c>
      <c r="DP40" s="17">
        <f>DO40*VLOOKUP('Données projet'!$B$14,Paramètres!$A$1:$I$89,3,0)*VLOOKUP('Données projet'!$B$14,Paramètres!$A$1:$I$89,5,0)</f>
        <v>151.69440000000009</v>
      </c>
      <c r="DQ40" s="13">
        <f t="shared" si="43"/>
        <v>38.963392010880654</v>
      </c>
      <c r="DR40" s="20">
        <f t="shared" si="16"/>
        <v>332.06232108561727</v>
      </c>
      <c r="DS40" s="59">
        <f t="shared" si="17"/>
        <v>625.39565441895058</v>
      </c>
      <c r="DT40" s="59">
        <f ca="1">AVERAGE(OFFSET($DS$3,0,0,'Données projet'!$E$14+1,1))-AVERAGE(OFFSET($H$3,0,0,'Données projet'!$E$14+1,1))</f>
        <v>319.97171762304686</v>
      </c>
      <c r="DU40" s="59">
        <f t="shared" si="44"/>
        <v>337.89345858359621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6.0532168600953895</v>
      </c>
      <c r="EB40" s="21">
        <f>EXP(-LN(2)/25)*EB39+(1-EXP(-LN(2)/25))/(LN(2)/25)*Calculateur!DW40*Calculateur!DY40*VLOOKUP('Données projet'!$B$14,Paramètres!$A$1:$I$89,3,0)*0.475*44/12</f>
        <v>17.120734673658355</v>
      </c>
      <c r="EC40" s="21">
        <f>EXP(-LN(2)/2)*EC39+(1-EXP(-LN(2)/2))/(LN(2)/2)*DW40*DZ40*VLOOKUP('Données projet'!$B$14,Paramètres!$A$1:$I$89,3,0)*0.475*44/12</f>
        <v>1.7846328200454276</v>
      </c>
      <c r="ED40" s="22">
        <f t="shared" si="18"/>
        <v>24.958584353799171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12.833333333333334</v>
      </c>
      <c r="EJ40" s="12">
        <f>IF('Données projet'!$A$192&gt;35,EJ39+EI40-ER39,IF(A40&lt;'Données projet'!$A$192,$EG$205^A40,IF(A40='Données projet'!$A$192,'Données projet'!$B$192,EJ39+EI40-ER39)))</f>
        <v>236.50000000000006</v>
      </c>
      <c r="EK40" s="17">
        <f>EJ40*VLOOKUP('Données projet'!$B$15,Paramètres!$A$1:$I$89,3,0)*VLOOKUP('Données projet'!$B$15,Paramètres!$A$1:$I$89,5,0)</f>
        <v>141.42700000000005</v>
      </c>
      <c r="EL40" s="13">
        <f t="shared" si="45"/>
        <v>36.623717959686019</v>
      </c>
      <c r="EM40" s="20">
        <f t="shared" si="19"/>
        <v>310.10500044645323</v>
      </c>
      <c r="EN40" s="59">
        <f t="shared" si="20"/>
        <v>603.43833377978649</v>
      </c>
      <c r="EO40" s="59">
        <f ca="1">AVERAGE(OFFSET($EN$3,0,0,'Données projet'!$E$15+1,1))-AVERAGE(OFFSET($H$3,0,0,'Données projet'!$E$15+1,1))</f>
        <v>258.46015871559956</v>
      </c>
      <c r="EP40" s="59">
        <f t="shared" si="46"/>
        <v>280.26155987300996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5.4080901049851162</v>
      </c>
      <c r="EW40" s="21">
        <f>EXP(-LN(2)/25)*EW39+(1-EXP(-LN(2)/25))/(LN(2)/25)*Calculateur!ER40*Calculateur!ET40*VLOOKUP('Données projet'!$B$15,Paramètres!$A$1:$I$89,3,0)*0.475*44/12</f>
        <v>10.15560385769494</v>
      </c>
      <c r="EX40" s="21">
        <f>EXP(-LN(2)/2)*EX39+(1-EXP(-LN(2)/2))/(LN(2)/2)*ER40*EU40*VLOOKUP('Données projet'!$B$15,Paramètres!$A$1:$I$89,3,0)*0.475*44/12</f>
        <v>0.48133575074546281</v>
      </c>
      <c r="EY40" s="22">
        <f t="shared" si="21"/>
        <v>16.045029713425517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</v>
      </c>
      <c r="N41" s="13">
        <f>IF('Données projet'!$A$36&gt;35,N40+M41-V40,IF(A41&lt;'Données projet'!$A$36,$K$205^A41,IF(A41='Données projet'!$A$36,'Données projet'!$B$36,N40+M41-V40)))</f>
        <v>194.00000000000006</v>
      </c>
      <c r="O41" s="13">
        <f>N41*VLOOKUP('Données projet'!$B$9,Paramètres!$A$1:$I$89,3,0)*VLOOKUP('Données projet'!$B$9,Paramètres!$A$1:$I$89,5,0)</f>
        <v>169.47840000000008</v>
      </c>
      <c r="P41" s="13">
        <f t="shared" si="33"/>
        <v>42.973181651930332</v>
      </c>
      <c r="Q41" s="20">
        <f t="shared" si="53"/>
        <v>370.01983804377875</v>
      </c>
      <c r="R41" s="59">
        <f t="shared" si="0"/>
        <v>663.35317137711206</v>
      </c>
      <c r="S41" s="59">
        <f ca="1">AVERAGE(OFFSET($R$3,0,0,'Données projet'!$E$9+1,1))-AVERAGE(OFFSET($H$3,0,0,'Données projet'!$E$9+1,1))</f>
        <v>368.41876532159154</v>
      </c>
      <c r="T41" s="59">
        <f t="shared" si="34"/>
        <v>369.39570124551125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5.2560192732107893</v>
      </c>
      <c r="AA41" s="21">
        <f>EXP(-LN(2)/25)*AA40+(1-EXP(-LN(2)/25))/(LN(2)/25)*Calculateur!V41*Calculateur!X41*VLOOKUP('Données projet'!$B$9,Paramètres!$A$1:$I$89,3,0)*0.475*44/12</f>
        <v>12.9941550426751</v>
      </c>
      <c r="AB41" s="21">
        <f>EXP(-LN(2)/2)*AB40+(1-EXP(-LN(2)/2))/(LN(2)/2)*V41*Y41*VLOOKUP('Données projet'!$B$9,Paramètres!$A$1:$I$89,3,0)*0.475*44/12</f>
        <v>1.1106650413715522</v>
      </c>
      <c r="AC41" s="22">
        <f t="shared" si="3"/>
        <v>19.36083935725744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12.1</v>
      </c>
      <c r="AI41" s="13">
        <f>IF('Données projet'!$A$62&gt;35,AI40+AH41-AQ40,IF(A41&lt;'Données projet'!$A$62,$AF$205^A41,IF(A41='Données projet'!$A$62,'Données projet'!$B$62,AI40+AH41-AQ40)))</f>
        <v>238.79999999999995</v>
      </c>
      <c r="AJ41" s="13">
        <f>AI41*VLOOKUP('Données projet'!$B$10,Paramètres!$A$1:$I$89,3,0)*VLOOKUP('Données projet'!$B$10,Paramètres!$A$1:$I$89,5,0)</f>
        <v>208.61567999999997</v>
      </c>
      <c r="AK41" s="13">
        <f t="shared" si="35"/>
        <v>51.63296060480328</v>
      </c>
      <c r="AL41" s="20">
        <f t="shared" si="4"/>
        <v>453.26638238669898</v>
      </c>
      <c r="AM41" s="59">
        <f t="shared" si="5"/>
        <v>746.59971572003224</v>
      </c>
      <c r="AN41" s="59">
        <f ca="1">AVERAGE(OFFSET($AM$3,0,0,'Données projet'!$E$10+1,1))-AVERAGE(OFFSET($H$3,0,0,'Données projet'!$E$10+1,1))</f>
        <v>402.82278346470082</v>
      </c>
      <c r="AO41" s="59">
        <f t="shared" si="36"/>
        <v>440.17787299198977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3.0579247162628103</v>
      </c>
      <c r="AV41" s="21">
        <f>EXP(-LN(2)/25)*AV40+(1-EXP(-LN(2)/25))/(LN(2)/25)*Calculateur!AQ41*Calculateur!AS41*VLOOKUP('Données projet'!$B$10,Paramètres!$A$1:$I$89,3,0)*0.475*44/12</f>
        <v>18.049168549111478</v>
      </c>
      <c r="AW41" s="21">
        <f>EXP(-LN(2)/2)*AW40+(1-EXP(-LN(2)/2))/(LN(2)/2)*AQ41*AT41*VLOOKUP('Données projet'!$B$10,Paramètres!$A$1:$I$89,3,0)*0.475*44/12</f>
        <v>1.6497376447970695</v>
      </c>
      <c r="AX41" s="21">
        <f t="shared" si="6"/>
        <v>22.75683091017136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</v>
      </c>
      <c r="BD41" s="12">
        <f>IF('Données projet'!$A$88&gt;35,BD40+BC41-BL40,IF(A41&lt;'Données projet'!$A$88,$BA$205^A41,IF(A41='Données projet'!$A$88,'Données projet'!$B$88,BD40+BC41-BL40)))</f>
        <v>181</v>
      </c>
      <c r="BE41" s="13">
        <f>BD41*VLOOKUP('Données projet'!$B$11,Paramètres!$A$1:$I$89,3,0)*VLOOKUP('Données projet'!$B$11,Paramètres!$A$1:$I$89,5,0)</f>
        <v>163.7688</v>
      </c>
      <c r="BF41" s="13">
        <f t="shared" si="37"/>
        <v>41.691423503509803</v>
      </c>
      <c r="BG41" s="20">
        <f t="shared" si="7"/>
        <v>357.84322260194625</v>
      </c>
      <c r="BH41" s="59">
        <f t="shared" si="8"/>
        <v>651.17655593527957</v>
      </c>
      <c r="BI41" s="59">
        <f ca="1">AVERAGE(OFFSET($BH$3,0,0,'Données projet'!$E$11+1,1))-AVERAGE(OFFSET($H$3,0,0,'Données projet'!$E$11+1,1))</f>
        <v>469.68830256438338</v>
      </c>
      <c r="BJ41" s="59">
        <f t="shared" si="38"/>
        <v>332.61387922152159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2.0556507391804444</v>
      </c>
      <c r="BQ41" s="21">
        <f>EXP(-LN(2)/25)*BQ40+(1-EXP(-LN(2)/25))/(LN(2)/25)*Calculateur!BL41*Calculateur!BN41*VLOOKUP('Données projet'!$B$11,Paramètres!$A$1:$I$89,3,0)*0.475*44/12</f>
        <v>9.0383259549622803</v>
      </c>
      <c r="BR41" s="21">
        <f>EXP(-LN(2)/2)*BR40+(1-EXP(-LN(2)/2))/(LN(2)/2)*BL41*BO41*VLOOKUP('Données projet'!$B$11,Paramètres!$A$1:$I$89,3,0)*0.475*44/12</f>
        <v>1.3470835483816617</v>
      </c>
      <c r="BS41" s="22">
        <f t="shared" si="9"/>
        <v>12.441060242524387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10.3</v>
      </c>
      <c r="BY41" s="12">
        <f>IF('Données projet'!$A$114&gt;35,BY40+BX41-CG40,IF(A41&lt;'Données projet'!$A$114,$BV$205^A41,IF(A41='Données projet'!$A$114,'Données projet'!$B$114,BY40+BX41-CG40)))</f>
        <v>170.40000000000003</v>
      </c>
      <c r="BZ41" s="13">
        <f>BY41*VLOOKUP('Données projet'!$B$12,Paramètres!$A$1:$I$89,3,0)*VLOOKUP('Données projet'!$B$12,Paramètres!$A$1:$I$89,5,0)</f>
        <v>162.15264000000002</v>
      </c>
      <c r="CA41" s="13">
        <f t="shared" si="39"/>
        <v>41.32767107329439</v>
      </c>
      <c r="CB41" s="20">
        <f t="shared" si="10"/>
        <v>354.39487511932111</v>
      </c>
      <c r="CC41" s="59">
        <f t="shared" si="11"/>
        <v>647.72820845265437</v>
      </c>
      <c r="CD41" s="59">
        <f ca="1">AVERAGE(OFFSET($CC$3,0,0,'Données projet'!$E$12+1,1))-AVERAGE(OFFSET($H$3,0,0,'Données projet'!$E$12+1,1))</f>
        <v>609.40025883662452</v>
      </c>
      <c r="CE41" s="59">
        <f t="shared" si="40"/>
        <v>294.48909834404577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3.1581670317157569</v>
      </c>
      <c r="CM41" s="21">
        <f>EXP(-LN(2)/2)*CM40+(1-EXP(-LN(2)/2))/(LN(2)/2)*CG41*CJ41*VLOOKUP('Données projet'!$B$12,Paramètres!$A$1:$I$89,3,0)*0.475*44/12</f>
        <v>0.49101730340386063</v>
      </c>
      <c r="CN41" s="22">
        <f t="shared" si="12"/>
        <v>3.6491843351196174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10.000000000000004</v>
      </c>
      <c r="CT41" s="12">
        <f>IF('Données projet'!$A$140&gt;35,CT40+CS41-DB40,IF(A41&lt;'Données projet'!$A$140,$CQ$205^A41,IF(A41='Données projet'!$A$140,'Données projet'!$B$140,CT40+CS41-DB40)))</f>
        <v>271.59999999999991</v>
      </c>
      <c r="CU41" s="17">
        <f>CT41*VLOOKUP('Données projet'!$B$13,Paramètres!$A$1:$I$89,3,0)*VLOOKUP('Données projet'!$B$13,Paramètres!$A$1:$I$89,5,0)</f>
        <v>127.10879999999996</v>
      </c>
      <c r="CV41" s="13">
        <f t="shared" si="41"/>
        <v>33.32741592766736</v>
      </c>
      <c r="CW41" s="20">
        <f t="shared" si="13"/>
        <v>279.4264094073539</v>
      </c>
      <c r="CX41" s="59">
        <f t="shared" si="14"/>
        <v>572.75974274068722</v>
      </c>
      <c r="CY41" s="59">
        <f ca="1">AVERAGE(OFFSET($CX$3,0,0,'Données projet'!$E$13+1,1))-AVERAGE(OFFSET($H$3,0,0,'Données projet'!$E$13+1,1))</f>
        <v>346.16623654404509</v>
      </c>
      <c r="CZ41" s="59">
        <f t="shared" si="42"/>
        <v>281.80933156559087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2.6753014445841039</v>
      </c>
      <c r="DG41" s="21">
        <f>EXP(-LN(2)/25)*DG40+(1-EXP(-LN(2)/25))/(LN(2)/25)*Calculateur!DB41*Calculateur!DD41*VLOOKUP('Données projet'!$B$13,Paramètres!$A$1:$I$89,3,0)*0.475*44/12</f>
        <v>6.2927758684629946</v>
      </c>
      <c r="DH41" s="21">
        <f>EXP(-LN(2)/2)*DH40+(1-EXP(-LN(2)/2))/(LN(2)/2)*DB41*DE41*VLOOKUP('Données projet'!$B$13,Paramètres!$A$1:$I$89,3,0)*0.475*44/12</f>
        <v>0.61451103001849949</v>
      </c>
      <c r="DI41" s="22">
        <f t="shared" si="15"/>
        <v>9.5825883430655985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13.3</v>
      </c>
      <c r="DO41" s="12">
        <f>IF('Données projet'!$A$166&gt;35,DO40+DN41-DW40,IF(A41&lt;'Données projet'!$A$166,$DL$205^A41,IF(A41='Données projet'!$A$166,'Données projet'!$B$166,DO40+DN41-DW40)))</f>
        <v>256.40000000000015</v>
      </c>
      <c r="DP41" s="17">
        <f>DO41*VLOOKUP('Données projet'!$B$14,Paramètres!$A$1:$I$89,3,0)*VLOOKUP('Données projet'!$B$14,Paramètres!$A$1:$I$89,5,0)</f>
        <v>159.99360000000007</v>
      </c>
      <c r="DQ41" s="13">
        <f t="shared" si="43"/>
        <v>40.841071865470695</v>
      </c>
      <c r="DR41" s="20">
        <f t="shared" si="16"/>
        <v>349.78705349902822</v>
      </c>
      <c r="DS41" s="59">
        <f t="shared" si="17"/>
        <v>643.12038683236153</v>
      </c>
      <c r="DT41" s="59">
        <f ca="1">AVERAGE(OFFSET($DS$3,0,0,'Données projet'!$E$14+1,1))-AVERAGE(OFFSET($H$3,0,0,'Données projet'!$E$14+1,1))</f>
        <v>319.97171762304686</v>
      </c>
      <c r="DU41" s="59">
        <f t="shared" si="44"/>
        <v>337.89345858359621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5.9345169695666389</v>
      </c>
      <c r="EB41" s="21">
        <f>EXP(-LN(2)/25)*EB40+(1-EXP(-LN(2)/25))/(LN(2)/25)*Calculateur!DW41*Calculateur!DY41*VLOOKUP('Données projet'!$B$14,Paramètres!$A$1:$I$89,3,0)*0.475*44/12</f>
        <v>16.652567283666862</v>
      </c>
      <c r="EC41" s="21">
        <f>EXP(-LN(2)/2)*EC40+(1-EXP(-LN(2)/2))/(LN(2)/2)*DW41*DZ41*VLOOKUP('Données projet'!$B$14,Paramètres!$A$1:$I$89,3,0)*0.475*44/12</f>
        <v>1.2619259689821936</v>
      </c>
      <c r="ED41" s="22">
        <f t="shared" si="18"/>
        <v>23.849010222215693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12.833333333333334</v>
      </c>
      <c r="EJ41" s="12">
        <f>IF('Données projet'!$A$192&gt;35,EJ40+EI41-ER40,IF(A41&lt;'Données projet'!$A$192,$EG$205^A41,IF(A41='Données projet'!$A$192,'Données projet'!$B$192,EJ40+EI41-ER40)))</f>
        <v>249.3333333333334</v>
      </c>
      <c r="EK41" s="17">
        <f>EJ41*VLOOKUP('Données projet'!$B$15,Paramètres!$A$1:$I$89,3,0)*VLOOKUP('Données projet'!$B$15,Paramètres!$A$1:$I$89,5,0)</f>
        <v>149.1013333333334</v>
      </c>
      <c r="EL41" s="13">
        <f t="shared" si="45"/>
        <v>38.37428902704788</v>
      </c>
      <c r="EM41" s="20">
        <f t="shared" si="19"/>
        <v>326.52004227766406</v>
      </c>
      <c r="EN41" s="59">
        <f t="shared" si="20"/>
        <v>619.85337561099732</v>
      </c>
      <c r="EO41" s="59">
        <f ca="1">AVERAGE(OFFSET($EN$3,0,0,'Données projet'!$E$15+1,1))-AVERAGE(OFFSET($H$3,0,0,'Données projet'!$E$15+1,1))</f>
        <v>258.46015871559956</v>
      </c>
      <c r="EP41" s="59">
        <f t="shared" si="46"/>
        <v>280.26155987300996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5.3020407566356118</v>
      </c>
      <c r="EW41" s="21">
        <f>EXP(-LN(2)/25)*EW40+(1-EXP(-LN(2)/25))/(LN(2)/25)*Calculateur!ER41*Calculateur!ET41*VLOOKUP('Données projet'!$B$15,Paramètres!$A$1:$I$89,3,0)*0.475*44/12</f>
        <v>9.8778983361462753</v>
      </c>
      <c r="EX41" s="21">
        <f>EXP(-LN(2)/2)*EX40+(1-EXP(-LN(2)/2))/(LN(2)/2)*ER41*EU41*VLOOKUP('Données projet'!$B$15,Paramètres!$A$1:$I$89,3,0)*0.475*44/12</f>
        <v>0.34035577337963457</v>
      </c>
      <c r="EY41" s="22">
        <f t="shared" si="21"/>
        <v>15.520294866161521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</v>
      </c>
      <c r="N42" s="13">
        <f>IF('Données projet'!$A$36&gt;35,N41+M42-V41,IF(A42&lt;'Données projet'!$A$36,$K$205^A42,IF(A42='Données projet'!$A$36,'Données projet'!$B$36,N41+M42-V41)))</f>
        <v>203.00000000000006</v>
      </c>
      <c r="O42" s="13">
        <f>N42*VLOOKUP('Données projet'!$B$9,Paramètres!$A$1:$I$89,3,0)*VLOOKUP('Données projet'!$B$9,Paramètres!$A$1:$I$89,5,0)</f>
        <v>177.34080000000009</v>
      </c>
      <c r="P42" s="13">
        <f t="shared" si="33"/>
        <v>44.730051658603102</v>
      </c>
      <c r="Q42" s="20">
        <f t="shared" si="53"/>
        <v>386.77339997206718</v>
      </c>
      <c r="R42" s="59">
        <f t="shared" si="0"/>
        <v>680.10673330540044</v>
      </c>
      <c r="S42" s="59">
        <f ca="1">AVERAGE(OFFSET($R$3,0,0,'Données projet'!$E$9+1,1))-AVERAGE(OFFSET($H$3,0,0,'Données projet'!$E$9+1,1))</f>
        <v>368.41876532159154</v>
      </c>
      <c r="T42" s="59">
        <f t="shared" si="34"/>
        <v>369.39570124551125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5.1529519411183307</v>
      </c>
      <c r="AA42" s="21">
        <f>EXP(-LN(2)/25)*AA41+(1-EXP(-LN(2)/25))/(LN(2)/25)*Calculateur!V42*Calculateur!X42*VLOOKUP('Données projet'!$B$9,Paramètres!$A$1:$I$89,3,0)*0.475*44/12</f>
        <v>12.638829189700234</v>
      </c>
      <c r="AB42" s="21">
        <f>EXP(-LN(2)/2)*AB41+(1-EXP(-LN(2)/2))/(LN(2)/2)*V42*Y42*VLOOKUP('Données projet'!$B$9,Paramètres!$A$1:$I$89,3,0)*0.475*44/12</f>
        <v>0.78535878238066192</v>
      </c>
      <c r="AC42" s="22">
        <f t="shared" si="3"/>
        <v>18.577139913199225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12.1</v>
      </c>
      <c r="AI42" s="13">
        <f>IF('Données projet'!$A$62&gt;35,AI41+AH42-AQ41,IF(A42&lt;'Données projet'!$A$62,$AF$205^A42,IF(A42='Données projet'!$A$62,'Données projet'!$B$62,AI41+AH42-AQ41)))</f>
        <v>250.89999999999995</v>
      </c>
      <c r="AJ42" s="13">
        <f>AI42*VLOOKUP('Données projet'!$B$10,Paramètres!$A$1:$I$89,3,0)*VLOOKUP('Données projet'!$B$10,Paramètres!$A$1:$I$89,5,0)</f>
        <v>219.18624</v>
      </c>
      <c r="AK42" s="13">
        <f t="shared" si="35"/>
        <v>53.93798087746417</v>
      </c>
      <c r="AL42" s="20">
        <f t="shared" si="4"/>
        <v>475.69135136158337</v>
      </c>
      <c r="AM42" s="59">
        <f t="shared" si="5"/>
        <v>769.02468469491669</v>
      </c>
      <c r="AN42" s="59">
        <f ca="1">AVERAGE(OFFSET($AM$3,0,0,'Données projet'!$E$10+1,1))-AVERAGE(OFFSET($H$3,0,0,'Données projet'!$E$10+1,1))</f>
        <v>402.82278346470082</v>
      </c>
      <c r="AO42" s="59">
        <f t="shared" si="36"/>
        <v>440.17787299198977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2.9979606777268053</v>
      </c>
      <c r="AV42" s="21">
        <f>EXP(-LN(2)/25)*AV41+(1-EXP(-LN(2)/25))/(LN(2)/25)*Calculateur!AQ42*Calculateur!AS42*VLOOKUP('Données projet'!$B$10,Paramètres!$A$1:$I$89,3,0)*0.475*44/12</f>
        <v>17.555613085971501</v>
      </c>
      <c r="AW42" s="21">
        <f>EXP(-LN(2)/2)*AW41+(1-EXP(-LN(2)/2))/(LN(2)/2)*AQ42*AT42*VLOOKUP('Données projet'!$B$10,Paramètres!$A$1:$I$89,3,0)*0.475*44/12</f>
        <v>1.1665406758147319</v>
      </c>
      <c r="AX42" s="21">
        <f t="shared" si="6"/>
        <v>21.72011443951304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</v>
      </c>
      <c r="BD42" s="12">
        <f>IF('Données projet'!$A$88&gt;35,BD41+BC42-BL41,IF(A42&lt;'Données projet'!$A$88,$BA$205^A42,IF(A42='Données projet'!$A$88,'Données projet'!$B$88,BD41+BC42-BL41)))</f>
        <v>192</v>
      </c>
      <c r="BE42" s="13">
        <f>BD42*VLOOKUP('Données projet'!$B$11,Paramètres!$A$1:$I$89,3,0)*VLOOKUP('Données projet'!$B$11,Paramètres!$A$1:$I$89,5,0)</f>
        <v>173.7216</v>
      </c>
      <c r="BF42" s="13">
        <f t="shared" si="37"/>
        <v>43.922484755075111</v>
      </c>
      <c r="BG42" s="20">
        <f t="shared" si="7"/>
        <v>379.06344761508916</v>
      </c>
      <c r="BH42" s="59">
        <f t="shared" si="8"/>
        <v>672.39678094842247</v>
      </c>
      <c r="BI42" s="59">
        <f ca="1">AVERAGE(OFFSET($BH$3,0,0,'Données projet'!$E$11+1,1))-AVERAGE(OFFSET($H$3,0,0,'Données projet'!$E$11+1,1))</f>
        <v>469.68830256438338</v>
      </c>
      <c r="BJ42" s="59">
        <f t="shared" si="38"/>
        <v>332.61387922152159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2.015340682008262</v>
      </c>
      <c r="BQ42" s="21">
        <f>EXP(-LN(2)/25)*BQ41+(1-EXP(-LN(2)/25))/(LN(2)/25)*Calculateur!BL42*Calculateur!BN42*VLOOKUP('Données projet'!$B$11,Paramètres!$A$1:$I$89,3,0)*0.475*44/12</f>
        <v>8.7911724564189324</v>
      </c>
      <c r="BR42" s="21">
        <f>EXP(-LN(2)/2)*BR41+(1-EXP(-LN(2)/2))/(LN(2)/2)*BL42*BO42*VLOOKUP('Données projet'!$B$11,Paramètres!$A$1:$I$89,3,0)*0.475*44/12</f>
        <v>0.95253191188550967</v>
      </c>
      <c r="BS42" s="22">
        <f t="shared" si="9"/>
        <v>11.759045050312704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10.3</v>
      </c>
      <c r="BY42" s="12">
        <f>IF('Données projet'!$A$114&gt;35,BY41+BX42-CG41,IF(A42&lt;'Données projet'!$A$114,$BV$205^A42,IF(A42='Données projet'!$A$114,'Données projet'!$B$114,BY41+BX42-CG41)))</f>
        <v>180.70000000000005</v>
      </c>
      <c r="BZ42" s="13">
        <f>BY42*VLOOKUP('Données projet'!$B$12,Paramètres!$A$1:$I$89,3,0)*VLOOKUP('Données projet'!$B$12,Paramètres!$A$1:$I$89,5,0)</f>
        <v>171.95412000000005</v>
      </c>
      <c r="CA42" s="13">
        <f t="shared" si="39"/>
        <v>43.527389912571806</v>
      </c>
      <c r="CB42" s="20">
        <f t="shared" si="10"/>
        <v>375.2969630977293</v>
      </c>
      <c r="CC42" s="59">
        <f t="shared" si="11"/>
        <v>668.63029643106256</v>
      </c>
      <c r="CD42" s="59">
        <f ca="1">AVERAGE(OFFSET($CC$3,0,0,'Données projet'!$E$12+1,1))-AVERAGE(OFFSET($H$3,0,0,'Données projet'!$E$12+1,1))</f>
        <v>609.40025883662452</v>
      </c>
      <c r="CE42" s="59">
        <f t="shared" si="40"/>
        <v>294.48909834404577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3.0718067881527036</v>
      </c>
      <c r="CM42" s="21">
        <f>EXP(-LN(2)/2)*CM41+(1-EXP(-LN(2)/2))/(LN(2)/2)*CG42*CJ42*VLOOKUP('Données projet'!$B$12,Paramètres!$A$1:$I$89,3,0)*0.475*44/12</f>
        <v>0.34720166491680232</v>
      </c>
      <c r="CN42" s="22">
        <f t="shared" si="12"/>
        <v>3.4190084530695057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10.000000000000004</v>
      </c>
      <c r="CT42" s="12">
        <f>IF('Données projet'!$A$140&gt;35,CT41+CS42-DB41,IF(A42&lt;'Données projet'!$A$140,$CQ$205^A42,IF(A42='Données projet'!$A$140,'Données projet'!$B$140,CT41+CS42-DB41)))</f>
        <v>281.59999999999991</v>
      </c>
      <c r="CU42" s="17">
        <f>CT42*VLOOKUP('Données projet'!$B$13,Paramètres!$A$1:$I$89,3,0)*VLOOKUP('Données projet'!$B$13,Paramètres!$A$1:$I$89,5,0)</f>
        <v>131.78879999999995</v>
      </c>
      <c r="CV42" s="13">
        <f t="shared" si="41"/>
        <v>34.409369159409614</v>
      </c>
      <c r="CW42" s="20">
        <f t="shared" si="13"/>
        <v>289.46181128597163</v>
      </c>
      <c r="CX42" s="59">
        <f t="shared" si="14"/>
        <v>582.79514461930489</v>
      </c>
      <c r="CY42" s="59">
        <f ca="1">AVERAGE(OFFSET($CX$3,0,0,'Données projet'!$E$13+1,1))-AVERAGE(OFFSET($H$3,0,0,'Données projet'!$E$13+1,1))</f>
        <v>346.16623654404509</v>
      </c>
      <c r="CZ42" s="59">
        <f t="shared" si="42"/>
        <v>281.80933156559087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2.6228404150285667</v>
      </c>
      <c r="DG42" s="21">
        <f>EXP(-LN(2)/25)*DG41+(1-EXP(-LN(2)/25))/(LN(2)/25)*Calculateur!DB42*Calculateur!DD42*VLOOKUP('Données projet'!$B$13,Paramètres!$A$1:$I$89,3,0)*0.475*44/12</f>
        <v>6.1206995814171732</v>
      </c>
      <c r="DH42" s="21">
        <f>EXP(-LN(2)/2)*DH41+(1-EXP(-LN(2)/2))/(LN(2)/2)*DB42*DE42*VLOOKUP('Données projet'!$B$13,Paramètres!$A$1:$I$89,3,0)*0.475*44/12</f>
        <v>0.43452491644001107</v>
      </c>
      <c r="DI42" s="22">
        <f t="shared" si="15"/>
        <v>9.1780649128857519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13.3</v>
      </c>
      <c r="DO42" s="12">
        <f>IF('Données projet'!$A$166&gt;35,DO41+DN42-DW41,IF(A42&lt;'Données projet'!$A$166,$DL$205^A42,IF(A42='Données projet'!$A$166,'Données projet'!$B$166,DO41+DN42-DW41)))</f>
        <v>269.70000000000016</v>
      </c>
      <c r="DP42" s="17">
        <f>DO42*VLOOKUP('Données projet'!$B$14,Paramètres!$A$1:$I$89,3,0)*VLOOKUP('Données projet'!$B$14,Paramètres!$A$1:$I$89,5,0)</f>
        <v>168.29280000000011</v>
      </c>
      <c r="DQ42" s="13">
        <f t="shared" si="43"/>
        <v>42.707443263135104</v>
      </c>
      <c r="DR42" s="20">
        <f t="shared" si="16"/>
        <v>367.49209034996051</v>
      </c>
      <c r="DS42" s="59">
        <f t="shared" si="17"/>
        <v>660.82542368329382</v>
      </c>
      <c r="DT42" s="59">
        <f ca="1">AVERAGE(OFFSET($DS$3,0,0,'Données projet'!$E$14+1,1))-AVERAGE(OFFSET($H$3,0,0,'Données projet'!$E$14+1,1))</f>
        <v>319.97171762304686</v>
      </c>
      <c r="DU42" s="59">
        <f t="shared" si="44"/>
        <v>337.89345858359621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5.8181447114913727</v>
      </c>
      <c r="EB42" s="21">
        <f>EXP(-LN(2)/25)*EB41+(1-EXP(-LN(2)/25))/(LN(2)/25)*Calculateur!DW42*Calculateur!DY42*VLOOKUP('Données projet'!$B$14,Paramètres!$A$1:$I$89,3,0)*0.475*44/12</f>
        <v>16.197201955574538</v>
      </c>
      <c r="EC42" s="21">
        <f>EXP(-LN(2)/2)*EC41+(1-EXP(-LN(2)/2))/(LN(2)/2)*DW42*DZ42*VLOOKUP('Données projet'!$B$14,Paramètres!$A$1:$I$89,3,0)*0.475*44/12</f>
        <v>0.892316410022714</v>
      </c>
      <c r="ED42" s="22">
        <f t="shared" si="18"/>
        <v>22.907663077088628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12.833333333333334</v>
      </c>
      <c r="EJ42" s="12">
        <f>IF('Données projet'!$A$192&gt;35,EJ41+EI42-ER41,IF(A42&lt;'Données projet'!$A$192,$EG$205^A42,IF(A42='Données projet'!$A$192,'Données projet'!$B$192,EJ41+EI42-ER41)))</f>
        <v>262.16666666666674</v>
      </c>
      <c r="EK42" s="17">
        <f>EJ42*VLOOKUP('Données projet'!$B$15,Paramètres!$A$1:$I$89,3,0)*VLOOKUP('Données projet'!$B$15,Paramètres!$A$1:$I$89,5,0)</f>
        <v>156.77566666666672</v>
      </c>
      <c r="EL42" s="13">
        <f t="shared" si="45"/>
        <v>40.114398592763365</v>
      </c>
      <c r="EM42" s="20">
        <f t="shared" si="19"/>
        <v>342.9168636601741</v>
      </c>
      <c r="EN42" s="59">
        <f t="shared" si="20"/>
        <v>636.25019699350742</v>
      </c>
      <c r="EO42" s="59">
        <f ca="1">AVERAGE(OFFSET($EN$3,0,0,'Données projet'!$E$15+1,1))-AVERAGE(OFFSET($H$3,0,0,'Données projet'!$E$15+1,1))</f>
        <v>258.46015871559956</v>
      </c>
      <c r="EP42" s="59">
        <f t="shared" si="46"/>
        <v>280.26155987300996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5.1980709713235251</v>
      </c>
      <c r="EW42" s="21">
        <f>EXP(-LN(2)/25)*EW41+(1-EXP(-LN(2)/25))/(LN(2)/25)*Calculateur!ER42*Calculateur!ET42*VLOOKUP('Données projet'!$B$15,Paramètres!$A$1:$I$89,3,0)*0.475*44/12</f>
        <v>9.6077866866882573</v>
      </c>
      <c r="EX42" s="21">
        <f>EXP(-LN(2)/2)*EX41+(1-EXP(-LN(2)/2))/(LN(2)/2)*ER42*EU42*VLOOKUP('Données projet'!$B$15,Paramètres!$A$1:$I$89,3,0)*0.475*44/12</f>
        <v>0.24066787537273143</v>
      </c>
      <c r="EY42" s="22">
        <f t="shared" si="21"/>
        <v>15.046525533384512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212</v>
      </c>
      <c r="L43" s="12">
        <f>VLOOKUP(A43,'Données projet'!$A$35:$I$55,9,0)</f>
        <v>9</v>
      </c>
      <c r="M43" s="12">
        <f t="array" ref="M43">INDEX(L:L,MIN(IF(ISNUMBER(L43:L239),ROW(L43:L239),"")))</f>
        <v>9</v>
      </c>
      <c r="N43" s="13">
        <f>IF('Données projet'!$A$36&gt;35,N42+M43-V42,IF(A43&lt;'Données projet'!$A$36,$K$205^A43,IF(A43='Données projet'!$A$36,'Données projet'!$B$36,N42+M43-V42)))</f>
        <v>212.00000000000006</v>
      </c>
      <c r="O43" s="13">
        <f>N43*VLOOKUP('Données projet'!$B$9,Paramètres!$A$1:$I$89,3,0)*VLOOKUP('Données projet'!$B$9,Paramètres!$A$1:$I$89,5,0)</f>
        <v>185.20320000000007</v>
      </c>
      <c r="P43" s="13">
        <f t="shared" si="33"/>
        <v>46.477875402099386</v>
      </c>
      <c r="Q43" s="20">
        <f t="shared" si="53"/>
        <v>403.5112063253232</v>
      </c>
      <c r="R43" s="59">
        <f t="shared" si="0"/>
        <v>696.84453965865646</v>
      </c>
      <c r="S43" s="59">
        <f ca="1">AVERAGE(OFFSET($R$3,0,0,'Données projet'!$E$9+1,1))-AVERAGE(OFFSET($H$3,0,0,'Données projet'!$E$9+1,1))</f>
        <v>368.41876532159154</v>
      </c>
      <c r="T43" s="59">
        <f t="shared" si="34"/>
        <v>369.39570124551125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54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5.05190569654334</v>
      </c>
      <c r="AA43" s="21">
        <f>EXP(-LN(2)/25)*AA42+(1-EXP(-LN(2)/25))/(LN(2)/25)*Calculateur!V43*Calculateur!X43*VLOOKUP('Données projet'!$B$9,Paramètres!$A$1:$I$89,3,0)*0.475*44/12</f>
        <v>12.29321974086074</v>
      </c>
      <c r="AB43" s="21">
        <f>EXP(-LN(2)/2)*AB42+(1-EXP(-LN(2)/2))/(LN(2)/2)*V43*Y43*VLOOKUP('Données projet'!$B$9,Paramètres!$A$1:$I$89,3,0)*0.475*44/12</f>
        <v>0.5553325206857761</v>
      </c>
      <c r="AC43" s="22">
        <f t="shared" si="3"/>
        <v>17.900457958089856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263</v>
      </c>
      <c r="AG43" s="12">
        <f>VLOOKUP(A43,'Données projet'!$A$61:$I$81,9,0)</f>
        <v>12.1</v>
      </c>
      <c r="AH43" s="12">
        <f t="array" ref="AH43">INDEX(AG:AG,MIN(IF(ISNUMBER(AG43:AG239),ROW(AG43:AG239),"")))</f>
        <v>12.1</v>
      </c>
      <c r="AI43" s="13">
        <f>IF('Données projet'!$A$62&gt;35,AI42+AH43-AQ42,IF(A43&lt;'Données projet'!$A$62,$AF$205^A43,IF(A43='Données projet'!$A$62,'Données projet'!$B$62,AI42+AH43-AQ42)))</f>
        <v>262.99999999999994</v>
      </c>
      <c r="AJ43" s="13">
        <f>AI43*VLOOKUP('Données projet'!$B$10,Paramètres!$A$1:$I$89,3,0)*VLOOKUP('Données projet'!$B$10,Paramètres!$A$1:$I$89,5,0)</f>
        <v>229.75679999999997</v>
      </c>
      <c r="AK43" s="13">
        <f t="shared" si="35"/>
        <v>56.23009276772752</v>
      </c>
      <c r="AL43" s="20">
        <f t="shared" si="4"/>
        <v>498.09383823712534</v>
      </c>
      <c r="AM43" s="59">
        <f t="shared" si="5"/>
        <v>791.42717157045865</v>
      </c>
      <c r="AN43" s="59">
        <f ca="1">AVERAGE(OFFSET($AM$3,0,0,'Données projet'!$E$10+1,1))-AVERAGE(OFFSET($H$3,0,0,'Données projet'!$E$10+1,1))</f>
        <v>402.82278346470082</v>
      </c>
      <c r="AO43" s="59">
        <f t="shared" si="36"/>
        <v>440.17787299198977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2.9391724974120392</v>
      </c>
      <c r="AV43" s="21">
        <f>EXP(-LN(2)/25)*AV42+(1-EXP(-LN(2)/25))/(LN(2)/25)*Calculateur!AQ43*Calculateur!AS43*VLOOKUP('Données projet'!$B$10,Paramètres!$A$1:$I$89,3,0)*0.475*44/12</f>
        <v>17.075553922926041</v>
      </c>
      <c r="AW43" s="21">
        <f>EXP(-LN(2)/2)*AW42+(1-EXP(-LN(2)/2))/(LN(2)/2)*AQ43*AT43*VLOOKUP('Données projet'!$B$10,Paramètres!$A$1:$I$89,3,0)*0.475*44/12</f>
        <v>0.82486882239853498</v>
      </c>
      <c r="AX43" s="21">
        <f t="shared" si="6"/>
        <v>20.839595242736614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203</v>
      </c>
      <c r="BB43" s="12">
        <f>VLOOKUP(A43,'Données projet'!$A$87:$I$107,9,0)</f>
        <v>11</v>
      </c>
      <c r="BC43" s="12">
        <f t="array" ref="BC43">INDEX(BB:BB,MIN(IF(ISNUMBER(BB43:BB239),ROW(BB43:BB239),"")))</f>
        <v>11</v>
      </c>
      <c r="BD43" s="12">
        <f>IF('Données projet'!$A$88&gt;35,BD42+BC43-BL42,IF(A43&lt;'Données projet'!$A$88,$BA$205^A43,IF(A43='Données projet'!$A$88,'Données projet'!$B$88,BD42+BC43-BL42)))</f>
        <v>203</v>
      </c>
      <c r="BE43" s="13">
        <f>BD43*VLOOKUP('Données projet'!$B$11,Paramètres!$A$1:$I$89,3,0)*VLOOKUP('Données projet'!$B$11,Paramètres!$A$1:$I$89,5,0)</f>
        <v>183.67439999999999</v>
      </c>
      <c r="BF43" s="13">
        <f t="shared" si="37"/>
        <v>46.138708549418673</v>
      </c>
      <c r="BG43" s="20">
        <f t="shared" si="7"/>
        <v>400.25783072357081</v>
      </c>
      <c r="BH43" s="59">
        <f t="shared" si="8"/>
        <v>693.59116405690406</v>
      </c>
      <c r="BI43" s="59">
        <f ca="1">AVERAGE(OFFSET($BH$3,0,0,'Données projet'!$E$11+1,1))-AVERAGE(OFFSET($H$3,0,0,'Données projet'!$E$11+1,1))</f>
        <v>469.68830256438338</v>
      </c>
      <c r="BJ43" s="59">
        <f t="shared" si="38"/>
        <v>332.61387922152159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1.975821080470519</v>
      </c>
      <c r="BQ43" s="21">
        <f>EXP(-LN(2)/25)*BQ42+(1-EXP(-LN(2)/25))/(LN(2)/25)*Calculateur!BL43*Calculateur!BN43*VLOOKUP('Données projet'!$B$11,Paramètres!$A$1:$I$89,3,0)*0.475*44/12</f>
        <v>8.5507773832904892</v>
      </c>
      <c r="BR43" s="21">
        <f>EXP(-LN(2)/2)*BR42+(1-EXP(-LN(2)/2))/(LN(2)/2)*BL43*BO43*VLOOKUP('Données projet'!$B$11,Paramètres!$A$1:$I$89,3,0)*0.475*44/12</f>
        <v>0.67354177419083094</v>
      </c>
      <c r="BS43" s="22">
        <f t="shared" si="9"/>
        <v>11.200140237951839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191</v>
      </c>
      <c r="BW43" s="12">
        <f>VLOOKUP(A43,'Données projet'!$A$113:$I$133,9,0)</f>
        <v>10.3</v>
      </c>
      <c r="BX43" s="12">
        <f t="array" ref="BX43">INDEX(BW:BW,MIN(IF(ISNUMBER(BW43:BW239),ROW(BW43:BW239),"")))</f>
        <v>10.3</v>
      </c>
      <c r="BY43" s="12">
        <f>IF('Données projet'!$A$114&gt;35,BY42+BX43-CG42,IF(A43&lt;'Données projet'!$A$114,$BV$205^A43,IF(A43='Données projet'!$A$114,'Données projet'!$B$114,BY42+BX43-CG42)))</f>
        <v>191.00000000000006</v>
      </c>
      <c r="BZ43" s="13">
        <f>BY43*VLOOKUP('Données projet'!$B$12,Paramètres!$A$1:$I$89,3,0)*VLOOKUP('Données projet'!$B$12,Paramètres!$A$1:$I$89,5,0)</f>
        <v>181.75560000000007</v>
      </c>
      <c r="CA43" s="13">
        <f t="shared" si="39"/>
        <v>45.712553906843745</v>
      </c>
      <c r="CB43" s="20">
        <f t="shared" si="10"/>
        <v>396.17370138775294</v>
      </c>
      <c r="CC43" s="59">
        <f t="shared" si="11"/>
        <v>689.50703472108626</v>
      </c>
      <c r="CD43" s="59">
        <f ca="1">AVERAGE(OFFSET($CC$3,0,0,'Données projet'!$E$12+1,1))-AVERAGE(OFFSET($H$3,0,0,'Données projet'!$E$12+1,1))</f>
        <v>609.40025883662452</v>
      </c>
      <c r="CE43" s="59">
        <f t="shared" si="40"/>
        <v>294.48909834404577</v>
      </c>
      <c r="CF43" s="15">
        <f>IF(ISNA(VLOOKUP(A43,'Données projet'!$A$113:$I$133,3,0)),0,VLOOKUP(A43,'Données projet'!$A$113:$I$133,3,0))</f>
        <v>2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2.9878080699913698</v>
      </c>
      <c r="CM43" s="21">
        <f>EXP(-LN(2)/2)*CM42+(1-EXP(-LN(2)/2))/(LN(2)/2)*CG43*CJ43*VLOOKUP('Données projet'!$B$12,Paramètres!$A$1:$I$89,3,0)*0.475*44/12</f>
        <v>0.24550865170193034</v>
      </c>
      <c r="CN43" s="22">
        <f t="shared" si="12"/>
        <v>3.2333167216933001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291.60000000000002</v>
      </c>
      <c r="CR43" s="12">
        <f>VLOOKUP(A43,'Données projet'!$A$139:$I$159,9,0)</f>
        <v>10.000000000000004</v>
      </c>
      <c r="CS43" s="12">
        <f t="array" ref="CS43">INDEX(CR:CR,MIN(IF(ISNUMBER(CR43:CR239),ROW(CR43:CR239),"")))</f>
        <v>10.000000000000004</v>
      </c>
      <c r="CT43" s="12">
        <f>IF('Données projet'!$A$140&gt;35,CT42+CS43-DB42,IF(A43&lt;'Données projet'!$A$140,$CQ$205^A43,IF(A43='Données projet'!$A$140,'Données projet'!$B$140,CT42+CS43-DB42)))</f>
        <v>291.59999999999991</v>
      </c>
      <c r="CU43" s="17">
        <f>CT43*VLOOKUP('Données projet'!$B$13,Paramètres!$A$1:$I$89,3,0)*VLOOKUP('Données projet'!$B$13,Paramètres!$A$1:$I$89,5,0)</f>
        <v>136.46879999999996</v>
      </c>
      <c r="CV43" s="13">
        <f t="shared" si="41"/>
        <v>35.486858352195874</v>
      </c>
      <c r="CW43" s="20">
        <f t="shared" si="13"/>
        <v>299.48943829674107</v>
      </c>
      <c r="CX43" s="59">
        <f t="shared" si="14"/>
        <v>592.82277163007439</v>
      </c>
      <c r="CY43" s="59">
        <f ca="1">AVERAGE(OFFSET($CX$3,0,0,'Données projet'!$E$13+1,1))-AVERAGE(OFFSET($H$3,0,0,'Données projet'!$E$13+1,1))</f>
        <v>346.16623654404509</v>
      </c>
      <c r="CZ43" s="59">
        <f t="shared" si="42"/>
        <v>281.80933156559087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83.4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2.5714081142645449</v>
      </c>
      <c r="DG43" s="21">
        <f>EXP(-LN(2)/25)*DG42+(1-EXP(-LN(2)/25))/(LN(2)/25)*Calculateur!DB43*Calculateur!DD43*VLOOKUP('Données projet'!$B$13,Paramètres!$A$1:$I$89,3,0)*0.475*44/12</f>
        <v>5.9533287294897184</v>
      </c>
      <c r="DH43" s="21">
        <f>EXP(-LN(2)/2)*DH42+(1-EXP(-LN(2)/2))/(LN(2)/2)*DB43*DE43*VLOOKUP('Données projet'!$B$13,Paramètres!$A$1:$I$89,3,0)*0.475*44/12</f>
        <v>0.30725551500924975</v>
      </c>
      <c r="DI43" s="22">
        <f t="shared" si="15"/>
        <v>8.8319923587635127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283</v>
      </c>
      <c r="DM43" s="12">
        <f>VLOOKUP(A43,'Données projet'!$A$165:$I$185,9,0)</f>
        <v>13.3</v>
      </c>
      <c r="DN43" s="12">
        <f t="array" ref="DN43">INDEX(DM:DM,MIN(IF(ISNUMBER(DM43:DM239),ROW(DM43:DM239),"")))</f>
        <v>13.3</v>
      </c>
      <c r="DO43" s="12">
        <f>IF('Données projet'!$A$166&gt;35,DO42+DN43-DW42,IF(A43&lt;'Données projet'!$A$166,$DL$205^A43,IF(A43='Données projet'!$A$166,'Données projet'!$B$166,DO42+DN43-DW42)))</f>
        <v>283.00000000000017</v>
      </c>
      <c r="DP43" s="17">
        <f>DO43*VLOOKUP('Données projet'!$B$14,Paramètres!$A$1:$I$89,3,0)*VLOOKUP('Données projet'!$B$14,Paramètres!$A$1:$I$89,5,0)</f>
        <v>176.59200000000013</v>
      </c>
      <c r="DQ43" s="13">
        <f t="shared" si="43"/>
        <v>44.56312751418794</v>
      </c>
      <c r="DR43" s="20">
        <f t="shared" si="16"/>
        <v>385.1785137538775</v>
      </c>
      <c r="DS43" s="59">
        <f t="shared" si="17"/>
        <v>678.51184708721075</v>
      </c>
      <c r="DT43" s="59">
        <f ca="1">AVERAGE(OFFSET($DS$3,0,0,'Données projet'!$E$14+1,1))-AVERAGE(OFFSET($H$3,0,0,'Données projet'!$E$14+1,1))</f>
        <v>319.97171762304686</v>
      </c>
      <c r="DU43" s="59">
        <f t="shared" si="44"/>
        <v>337.89345858359621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70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5.7040544424168944</v>
      </c>
      <c r="EB43" s="21">
        <f>EXP(-LN(2)/25)*EB42+(1-EXP(-LN(2)/25))/(LN(2)/25)*Calculateur!DW43*Calculateur!DY43*VLOOKUP('Données projet'!$B$14,Paramètres!$A$1:$I$89,3,0)*0.475*44/12</f>
        <v>15.754288616325521</v>
      </c>
      <c r="EC43" s="21">
        <f>EXP(-LN(2)/2)*EC42+(1-EXP(-LN(2)/2))/(LN(2)/2)*DW43*DZ43*VLOOKUP('Données projet'!$B$14,Paramètres!$A$1:$I$89,3,0)*0.475*44/12</f>
        <v>0.63096298449109689</v>
      </c>
      <c r="ED43" s="22">
        <f t="shared" si="18"/>
        <v>22.089306043233513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275</v>
      </c>
      <c r="EH43" s="12">
        <f>VLOOKUP(A43,'Données projet'!$A$191:$I$211,9,0)</f>
        <v>12.833333333333334</v>
      </c>
      <c r="EI43" s="12">
        <f t="array" ref="EI43">INDEX(EH:EH,MIN(IF(ISNUMBER(EH43:EH239),ROW(EH43:EH239),"")))</f>
        <v>12.833333333333334</v>
      </c>
      <c r="EJ43" s="12">
        <f>IF('Données projet'!$A$192&gt;35,EJ42+EI43-ER42,IF(A43&lt;'Données projet'!$A$192,$EG$205^A43,IF(A43='Données projet'!$A$192,'Données projet'!$B$192,EJ42+EI43-ER42)))</f>
        <v>275.00000000000006</v>
      </c>
      <c r="EK43" s="17">
        <f>EJ43*VLOOKUP('Données projet'!$B$15,Paramètres!$A$1:$I$89,3,0)*VLOOKUP('Données projet'!$B$15,Paramètres!$A$1:$I$89,5,0)</f>
        <v>164.45000000000005</v>
      </c>
      <c r="EL43" s="13">
        <f t="shared" si="45"/>
        <v>41.844617207687371</v>
      </c>
      <c r="EM43" s="20">
        <f t="shared" si="19"/>
        <v>359.29645830338887</v>
      </c>
      <c r="EN43" s="59">
        <f t="shared" si="20"/>
        <v>652.62979163672219</v>
      </c>
      <c r="EO43" s="59">
        <f ca="1">AVERAGE(OFFSET($EN$3,0,0,'Données projet'!$E$15+1,1))-AVERAGE(OFFSET($H$3,0,0,'Données projet'!$E$15+1,1))</f>
        <v>258.46015871559956</v>
      </c>
      <c r="EP43" s="59">
        <f t="shared" si="46"/>
        <v>280.26155987300996</v>
      </c>
      <c r="EQ43" s="15">
        <f>IF(ISNA(VLOOKUP(A43,'Données projet'!$A$191:$I$211,3,0)),0,VLOOKUP(A43,'Données projet'!$A$191:$I$211,3,0))</f>
        <v>6</v>
      </c>
      <c r="ER43" s="15">
        <f>IF(ISNA(VLOOKUP(A43,'Données projet'!$A$191:$I$211,4,0)),0,VLOOKUP(A43,'Données projet'!$A$191:$I$211,4,0))</f>
        <v>41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5.0961399700861012</v>
      </c>
      <c r="EW43" s="21">
        <f>EXP(-LN(2)/25)*EW42+(1-EXP(-LN(2)/25))/(LN(2)/25)*Calculateur!ER43*Calculateur!ET43*VLOOKUP('Données projet'!$B$15,Paramètres!$A$1:$I$89,3,0)*0.475*44/12</f>
        <v>9.3450612544892238</v>
      </c>
      <c r="EX43" s="21">
        <f>EXP(-LN(2)/2)*EX42+(1-EXP(-LN(2)/2))/(LN(2)/2)*ER43*EU43*VLOOKUP('Données projet'!$B$15,Paramètres!$A$1:$I$89,3,0)*0.475*44/12</f>
        <v>0.17017788668981731</v>
      </c>
      <c r="EY43" s="22">
        <f t="shared" si="21"/>
        <v>14.611379111265142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7.7</v>
      </c>
      <c r="N44" s="13">
        <f>IF('Données projet'!$A$36&gt;35,N43+M44-V43,IF(A44&lt;'Données projet'!$A$36,$K$205^A44,IF(A44='Données projet'!$A$36,'Données projet'!$B$36,N43+M44-V43)))</f>
        <v>165.70000000000005</v>
      </c>
      <c r="O44" s="13">
        <f>N44*VLOOKUP('Données projet'!$B$9,Paramètres!$A$1:$I$89,3,0)*VLOOKUP('Données projet'!$B$9,Paramètres!$A$1:$I$89,5,0)</f>
        <v>144.75552000000005</v>
      </c>
      <c r="P44" s="13">
        <f t="shared" si="33"/>
        <v>37.384301372015273</v>
      </c>
      <c r="Q44" s="20">
        <f t="shared" si="53"/>
        <v>317.22685555626003</v>
      </c>
      <c r="R44" s="59">
        <f t="shared" si="0"/>
        <v>610.56018888959329</v>
      </c>
      <c r="S44" s="59">
        <f ca="1">AVERAGE(OFFSET($R$3,0,0,'Données projet'!$E$9+1,1))-AVERAGE(OFFSET($H$3,0,0,'Données projet'!$E$9+1,1))</f>
        <v>368.41876532159154</v>
      </c>
      <c r="T44" s="59">
        <f t="shared" si="34"/>
        <v>369.39570124551125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4.9528409071923409</v>
      </c>
      <c r="AA44" s="21">
        <f>EXP(-LN(2)/25)*AA43+(1-EXP(-LN(2)/25))/(LN(2)/25)*Calculateur!V44*Calculateur!X44*VLOOKUP('Données projet'!$B$9,Paramètres!$A$1:$I$89,3,0)*0.475*44/12</f>
        <v>11.957061000574575</v>
      </c>
      <c r="AB44" s="21">
        <f>EXP(-LN(2)/2)*AB43+(1-EXP(-LN(2)/2))/(LN(2)/2)*V44*Y44*VLOOKUP('Données projet'!$B$9,Paramètres!$A$1:$I$89,3,0)*0.475*44/12</f>
        <v>0.39267939119033096</v>
      </c>
      <c r="AC44" s="22">
        <f t="shared" si="3"/>
        <v>17.302581298957247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9.1999999999999993</v>
      </c>
      <c r="AI44" s="13">
        <f>IF('Données projet'!$A$62&gt;35,AI43+AH44-AQ43,IF(A44&lt;'Données projet'!$A$62,$AF$205^A44,IF(A44='Données projet'!$A$62,'Données projet'!$B$62,AI43+AH44-AQ43)))</f>
        <v>202.19999999999993</v>
      </c>
      <c r="AJ44" s="13">
        <f>AI44*VLOOKUP('Données projet'!$B$10,Paramètres!$A$1:$I$89,3,0)*VLOOKUP('Données projet'!$B$10,Paramètres!$A$1:$I$89,5,0)</f>
        <v>176.64191999999997</v>
      </c>
      <c r="AK44" s="13">
        <f t="shared" si="35"/>
        <v>44.574258350008201</v>
      </c>
      <c r="AL44" s="20">
        <f t="shared" si="4"/>
        <v>385.28484395959754</v>
      </c>
      <c r="AM44" s="59">
        <f t="shared" si="5"/>
        <v>678.6181772929308</v>
      </c>
      <c r="AN44" s="59">
        <f ca="1">AVERAGE(OFFSET($AM$3,0,0,'Données projet'!$E$10+1,1))-AVERAGE(OFFSET($H$3,0,0,'Données projet'!$E$10+1,1))</f>
        <v>402.82278346470082</v>
      </c>
      <c r="AO44" s="59">
        <f t="shared" si="36"/>
        <v>440.17787299198977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2.8815371174559963</v>
      </c>
      <c r="AV44" s="21">
        <f>EXP(-LN(2)/25)*AV43+(1-EXP(-LN(2)/25))/(LN(2)/25)*Calculateur!AQ44*Calculateur!AS44*VLOOKUP('Données projet'!$B$10,Paramètres!$A$1:$I$89,3,0)*0.475*44/12</f>
        <v>16.608622002939274</v>
      </c>
      <c r="AW44" s="21">
        <f>EXP(-LN(2)/2)*AW43+(1-EXP(-LN(2)/2))/(LN(2)/2)*AQ44*AT44*VLOOKUP('Données projet'!$B$10,Paramètres!$A$1:$I$89,3,0)*0.475*44/12</f>
        <v>0.58327033790736604</v>
      </c>
      <c r="AX44" s="21">
        <f t="shared" si="6"/>
        <v>20.073429458302634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11.2</v>
      </c>
      <c r="BD44" s="12">
        <f>IF('Données projet'!$A$88&gt;35,BD43+BC44-BL43,IF(A44&lt;'Données projet'!$A$88,$BA$205^A44,IF(A44='Données projet'!$A$88,'Données projet'!$B$88,BD43+BC44-BL43)))</f>
        <v>158.19999999999999</v>
      </c>
      <c r="BE44" s="13">
        <f>BD44*VLOOKUP('Données projet'!$B$11,Paramètres!$A$1:$I$89,3,0)*VLOOKUP('Données projet'!$B$11,Paramètres!$A$1:$I$89,5,0)</f>
        <v>143.13935999999998</v>
      </c>
      <c r="BF44" s="13">
        <f t="shared" si="37"/>
        <v>37.015257937854066</v>
      </c>
      <c r="BG44" s="20">
        <f t="shared" si="7"/>
        <v>313.76929290842912</v>
      </c>
      <c r="BH44" s="59">
        <f t="shared" si="8"/>
        <v>607.10262624176244</v>
      </c>
      <c r="BI44" s="59">
        <f ca="1">AVERAGE(OFFSET($BH$3,0,0,'Données projet'!$E$11+1,1))-AVERAGE(OFFSET($H$3,0,0,'Données projet'!$E$11+1,1))</f>
        <v>469.68830256438338</v>
      </c>
      <c r="BJ44" s="59">
        <f t="shared" si="38"/>
        <v>332.61387922152159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1.9370764342143543</v>
      </c>
      <c r="BQ44" s="21">
        <f>EXP(-LN(2)/25)*BQ43+(1-EXP(-LN(2)/25))/(LN(2)/25)*Calculateur!BL44*Calculateur!BN44*VLOOKUP('Données projet'!$B$11,Paramètres!$A$1:$I$89,3,0)*0.475*44/12</f>
        <v>8.3169559260785704</v>
      </c>
      <c r="BR44" s="21">
        <f>EXP(-LN(2)/2)*BR43+(1-EXP(-LN(2)/2))/(LN(2)/2)*BL44*BO44*VLOOKUP('Données projet'!$B$11,Paramètres!$A$1:$I$89,3,0)*0.475*44/12</f>
        <v>0.47626595594275495</v>
      </c>
      <c r="BS44" s="22">
        <f t="shared" si="9"/>
        <v>10.730298316235681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</v>
      </c>
      <c r="BY44" s="12">
        <f>IF('Données projet'!$A$114&gt;35,BY43+BX44-CG43,IF(A44&lt;'Données projet'!$A$114,$BV$205^A44,IF(A44='Données projet'!$A$114,'Données projet'!$B$114,BY43+BX44-CG43)))</f>
        <v>146.00000000000006</v>
      </c>
      <c r="BZ44" s="13">
        <f>BY44*VLOOKUP('Données projet'!$B$12,Paramètres!$A$1:$I$89,3,0)*VLOOKUP('Données projet'!$B$12,Paramètres!$A$1:$I$89,5,0)</f>
        <v>138.93360000000004</v>
      </c>
      <c r="CA44" s="13">
        <f t="shared" si="39"/>
        <v>36.052599620350527</v>
      </c>
      <c r="CB44" s="20">
        <f t="shared" si="10"/>
        <v>304.76763100544389</v>
      </c>
      <c r="CC44" s="59">
        <f t="shared" si="11"/>
        <v>598.1009643387772</v>
      </c>
      <c r="CD44" s="59">
        <f ca="1">AVERAGE(OFFSET($CC$3,0,0,'Données projet'!$E$12+1,1))-AVERAGE(OFFSET($H$3,0,0,'Données projet'!$E$12+1,1))</f>
        <v>609.40025883662452</v>
      </c>
      <c r="CE44" s="59">
        <f t="shared" si="40"/>
        <v>294.48909834404577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2.9061063011954582</v>
      </c>
      <c r="CM44" s="21">
        <f>EXP(-LN(2)/2)*CM43+(1-EXP(-LN(2)/2))/(LN(2)/2)*CG44*CJ44*VLOOKUP('Données projet'!$B$12,Paramètres!$A$1:$I$89,3,0)*0.475*44/12</f>
        <v>0.17360083245840119</v>
      </c>
      <c r="CN44" s="22">
        <f t="shared" si="12"/>
        <v>3.0797071336538595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11.499999999999996</v>
      </c>
      <c r="CT44" s="12">
        <f>IF('Données projet'!$A$140&gt;35,CT43+CS44-DB43,IF(A44&lt;'Données projet'!$A$140,$CQ$205^A44,IF(A44='Données projet'!$A$140,'Données projet'!$B$140,CT43+CS44-DB43)))</f>
        <v>219.6999999999999</v>
      </c>
      <c r="CU44" s="17">
        <f>CT44*VLOOKUP('Données projet'!$B$13,Paramètres!$A$1:$I$89,3,0)*VLOOKUP('Données projet'!$B$13,Paramètres!$A$1:$I$89,5,0)</f>
        <v>102.81959999999995</v>
      </c>
      <c r="CV44" s="13">
        <f t="shared" si="41"/>
        <v>27.632637448562328</v>
      </c>
      <c r="CW44" s="20">
        <f t="shared" si="13"/>
        <v>227.20431355624598</v>
      </c>
      <c r="CX44" s="59">
        <f t="shared" si="14"/>
        <v>520.53764688957926</v>
      </c>
      <c r="CY44" s="59">
        <f ca="1">AVERAGE(OFFSET($CX$3,0,0,'Données projet'!$E$13+1,1))-AVERAGE(OFFSET($H$3,0,0,'Données projet'!$E$13+1,1))</f>
        <v>346.16623654404509</v>
      </c>
      <c r="CZ44" s="59">
        <f t="shared" si="42"/>
        <v>281.80933156559087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2.5209843695478997</v>
      </c>
      <c r="DG44" s="21">
        <f>EXP(-LN(2)/25)*DG43+(1-EXP(-LN(2)/25))/(LN(2)/25)*Calculateur!DB44*Calculateur!DD44*VLOOKUP('Données projet'!$B$13,Paramètres!$A$1:$I$89,3,0)*0.475*44/12</f>
        <v>5.7905346423098703</v>
      </c>
      <c r="DH44" s="21">
        <f>EXP(-LN(2)/2)*DH43+(1-EXP(-LN(2)/2))/(LN(2)/2)*DB44*DE44*VLOOKUP('Données projet'!$B$13,Paramètres!$A$1:$I$89,3,0)*0.475*44/12</f>
        <v>0.21726245822000553</v>
      </c>
      <c r="DI44" s="22">
        <f t="shared" si="15"/>
        <v>8.5287814700777762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</v>
      </c>
      <c r="DO44" s="12">
        <f>IF('Données projet'!$A$166&gt;35,DO43+DN44-DW43,IF(A44&lt;'Données projet'!$A$166,$DL$205^A44,IF(A44='Données projet'!$A$166,'Données projet'!$B$166,DO43+DN44-DW43)))</f>
        <v>224.00000000000017</v>
      </c>
      <c r="DP44" s="17">
        <f>DO44*VLOOKUP('Données projet'!$B$14,Paramètres!$A$1:$I$89,3,0)*VLOOKUP('Données projet'!$B$14,Paramètres!$A$1:$I$89,5,0)</f>
        <v>139.77600000000012</v>
      </c>
      <c r="DQ44" s="13">
        <f t="shared" si="43"/>
        <v>36.245685459195322</v>
      </c>
      <c r="DR44" s="20">
        <f t="shared" si="16"/>
        <v>306.57110217476543</v>
      </c>
      <c r="DS44" s="59">
        <f t="shared" si="17"/>
        <v>599.90443550809869</v>
      </c>
      <c r="DT44" s="59">
        <f ca="1">AVERAGE(OFFSET($DS$3,0,0,'Données projet'!$E$14+1,1))-AVERAGE(OFFSET($H$3,0,0,'Données projet'!$E$14+1,1))</f>
        <v>319.97171762304686</v>
      </c>
      <c r="DU44" s="59">
        <f t="shared" si="44"/>
        <v>337.89345858359621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5.5922014139307734</v>
      </c>
      <c r="EB44" s="21">
        <f>EXP(-LN(2)/25)*EB43+(1-EXP(-LN(2)/25))/(LN(2)/25)*Calculateur!DW44*Calculateur!DY44*VLOOKUP('Données projet'!$B$14,Paramètres!$A$1:$I$89,3,0)*0.475*44/12</f>
        <v>15.323486765630069</v>
      </c>
      <c r="EC44" s="21">
        <f>EXP(-LN(2)/2)*EC43+(1-EXP(-LN(2)/2))/(LN(2)/2)*DW44*DZ44*VLOOKUP('Données projet'!$B$14,Paramètres!$A$1:$I$89,3,0)*0.475*44/12</f>
        <v>0.44615820501135706</v>
      </c>
      <c r="ED44" s="22">
        <f t="shared" si="18"/>
        <v>21.3618463845722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9.8333333333333339</v>
      </c>
      <c r="EJ44" s="12">
        <f>IF('Données projet'!$A$192&gt;35,EJ43+EI44-ER43,IF(A44&lt;'Données projet'!$A$192,$EG$205^A44,IF(A44='Données projet'!$A$192,'Données projet'!$B$192,EJ43+EI44-ER43)))</f>
        <v>243.83333333333337</v>
      </c>
      <c r="EK44" s="17">
        <f>EJ44*VLOOKUP('Données projet'!$B$15,Paramètres!$A$1:$I$89,3,0)*VLOOKUP('Données projet'!$B$15,Paramètres!$A$1:$I$89,5,0)</f>
        <v>145.81233333333336</v>
      </c>
      <c r="EL44" s="13">
        <f t="shared" si="45"/>
        <v>37.625360763194948</v>
      </c>
      <c r="EM44" s="20">
        <f t="shared" si="19"/>
        <v>319.4873172181201</v>
      </c>
      <c r="EN44" s="59">
        <f t="shared" si="20"/>
        <v>612.82065055145335</v>
      </c>
      <c r="EO44" s="59">
        <f ca="1">AVERAGE(OFFSET($EN$3,0,0,'Données projet'!$E$15+1,1))-AVERAGE(OFFSET($H$3,0,0,'Données projet'!$E$15+1,1))</f>
        <v>258.46015871559956</v>
      </c>
      <c r="EP44" s="59">
        <f t="shared" si="46"/>
        <v>280.26155987300996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4.9962077736111716</v>
      </c>
      <c r="EW44" s="21">
        <f>EXP(-LN(2)/25)*EW43+(1-EXP(-LN(2)/25))/(LN(2)/25)*Calculateur!ER44*Calculateur!ET44*VLOOKUP('Données projet'!$B$15,Paramètres!$A$1:$I$89,3,0)*0.475*44/12</f>
        <v>9.0895200630498039</v>
      </c>
      <c r="EX44" s="21">
        <f>EXP(-LN(2)/2)*EX43+(1-EXP(-LN(2)/2))/(LN(2)/2)*ER44*EU44*VLOOKUP('Données projet'!$B$15,Paramètres!$A$1:$I$89,3,0)*0.475*44/12</f>
        <v>0.12033393768636574</v>
      </c>
      <c r="EY44" s="22">
        <f t="shared" si="21"/>
        <v>14.206061774347342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7.7</v>
      </c>
      <c r="N45" s="13">
        <f>IF('Données projet'!$A$36&gt;35,N44+M45-V44,IF(A45&lt;'Données projet'!$A$36,$K$205^A45,IF(A45='Données projet'!$A$36,'Données projet'!$B$36,N44+M45-V44)))</f>
        <v>173.40000000000003</v>
      </c>
      <c r="O45" s="13">
        <f>N45*VLOOKUP('Données projet'!$B$9,Paramètres!$A$1:$I$89,3,0)*VLOOKUP('Données projet'!$B$9,Paramètres!$A$1:$I$89,5,0)</f>
        <v>151.48224000000005</v>
      </c>
      <c r="P45" s="13">
        <f t="shared" si="33"/>
        <v>38.915236966075291</v>
      </c>
      <c r="Q45" s="20">
        <f t="shared" si="53"/>
        <v>331.60893904924791</v>
      </c>
      <c r="R45" s="59">
        <f t="shared" si="0"/>
        <v>624.94227238258122</v>
      </c>
      <c r="S45" s="59">
        <f ca="1">AVERAGE(OFFSET($R$3,0,0,'Données projet'!$E$9+1,1))-AVERAGE(OFFSET($H$3,0,0,'Données projet'!$E$9+1,1))</f>
        <v>368.41876532159154</v>
      </c>
      <c r="T45" s="59">
        <f t="shared" si="34"/>
        <v>369.39570124551125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4.8557187179369601</v>
      </c>
      <c r="AA45" s="21">
        <f>EXP(-LN(2)/25)*AA44+(1-EXP(-LN(2)/25))/(LN(2)/25)*Calculateur!V45*Calculateur!X45*VLOOKUP('Données projet'!$B$9,Paramètres!$A$1:$I$89,3,0)*0.475*44/12</f>
        <v>11.630094538719353</v>
      </c>
      <c r="AB45" s="21">
        <f>EXP(-LN(2)/2)*AB44+(1-EXP(-LN(2)/2))/(LN(2)/2)*V45*Y45*VLOOKUP('Données projet'!$B$9,Paramètres!$A$1:$I$89,3,0)*0.475*44/12</f>
        <v>0.27766626034288805</v>
      </c>
      <c r="AC45" s="22">
        <f t="shared" si="3"/>
        <v>16.763479516999201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9.1999999999999993</v>
      </c>
      <c r="AI45" s="13">
        <f>IF('Données projet'!$A$62&gt;35,AI44+AH45-AQ44,IF(A45&lt;'Données projet'!$A$62,$AF$205^A45,IF(A45='Données projet'!$A$62,'Données projet'!$B$62,AI44+AH45-AQ44)))</f>
        <v>211.39999999999992</v>
      </c>
      <c r="AJ45" s="13">
        <f>AI45*VLOOKUP('Données projet'!$B$10,Paramètres!$A$1:$I$89,3,0)*VLOOKUP('Données projet'!$B$10,Paramètres!$A$1:$I$89,5,0)</f>
        <v>184.67903999999996</v>
      </c>
      <c r="AK45" s="13">
        <f t="shared" si="35"/>
        <v>46.361626470742181</v>
      </c>
      <c r="AL45" s="20">
        <f t="shared" si="4"/>
        <v>402.3958274365425</v>
      </c>
      <c r="AM45" s="59">
        <f t="shared" si="5"/>
        <v>695.72916076987576</v>
      </c>
      <c r="AN45" s="59">
        <f ca="1">AVERAGE(OFFSET($AM$3,0,0,'Données projet'!$E$10+1,1))-AVERAGE(OFFSET($H$3,0,0,'Données projet'!$E$10+1,1))</f>
        <v>402.82278346470082</v>
      </c>
      <c r="AO45" s="59">
        <f t="shared" si="36"/>
        <v>440.17787299198977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2.8250319321467807</v>
      </c>
      <c r="AV45" s="21">
        <f>EXP(-LN(2)/25)*AV44+(1-EXP(-LN(2)/25))/(LN(2)/25)*Calculateur!AQ45*Calculateur!AS45*VLOOKUP('Données projet'!$B$10,Paramètres!$A$1:$I$89,3,0)*0.475*44/12</f>
        <v>16.154458360859429</v>
      </c>
      <c r="AW45" s="21">
        <f>EXP(-LN(2)/2)*AW44+(1-EXP(-LN(2)/2))/(LN(2)/2)*AQ45*AT45*VLOOKUP('Données projet'!$B$10,Paramètres!$A$1:$I$89,3,0)*0.475*44/12</f>
        <v>0.41243441119926755</v>
      </c>
      <c r="AX45" s="21">
        <f t="shared" si="6"/>
        <v>19.391924704205479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11.2</v>
      </c>
      <c r="BD45" s="12">
        <f>IF('Données projet'!$A$88&gt;35,BD44+BC45-BL44,IF(A45&lt;'Données projet'!$A$88,$BA$205^A45,IF(A45='Données projet'!$A$88,'Données projet'!$B$88,BD44+BC45-BL44)))</f>
        <v>169.39999999999998</v>
      </c>
      <c r="BE45" s="13">
        <f>BD45*VLOOKUP('Données projet'!$B$11,Paramètres!$A$1:$I$89,3,0)*VLOOKUP('Données projet'!$B$11,Paramètres!$A$1:$I$89,5,0)</f>
        <v>153.27311999999998</v>
      </c>
      <c r="BF45" s="13">
        <f t="shared" si="37"/>
        <v>39.321476829336504</v>
      </c>
      <c r="BG45" s="20">
        <f t="shared" si="7"/>
        <v>335.43558947776097</v>
      </c>
      <c r="BH45" s="59">
        <f t="shared" si="8"/>
        <v>628.76892281109428</v>
      </c>
      <c r="BI45" s="59">
        <f ca="1">AVERAGE(OFFSET($BH$3,0,0,'Données projet'!$E$11+1,1))-AVERAGE(OFFSET($H$3,0,0,'Données projet'!$E$11+1,1))</f>
        <v>469.68830256438338</v>
      </c>
      <c r="BJ45" s="59">
        <f t="shared" si="38"/>
        <v>332.61387922152159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1.8990915468393723</v>
      </c>
      <c r="BQ45" s="21">
        <f>EXP(-LN(2)/25)*BQ44+(1-EXP(-LN(2)/25))/(LN(2)/25)*Calculateur!BL45*Calculateur!BN45*VLOOKUP('Données projet'!$B$11,Paramètres!$A$1:$I$89,3,0)*0.475*44/12</f>
        <v>8.089528328910248</v>
      </c>
      <c r="BR45" s="21">
        <f>EXP(-LN(2)/2)*BR44+(1-EXP(-LN(2)/2))/(LN(2)/2)*BL45*BO45*VLOOKUP('Données projet'!$B$11,Paramètres!$A$1:$I$89,3,0)*0.475*44/12</f>
        <v>0.33677088709541553</v>
      </c>
      <c r="BS45" s="22">
        <f t="shared" si="9"/>
        <v>10.325390762845036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</v>
      </c>
      <c r="BY45" s="12">
        <f>IF('Données projet'!$A$114&gt;35,BY44+BX45-CG44,IF(A45&lt;'Données projet'!$A$114,$BV$205^A45,IF(A45='Données projet'!$A$114,'Données projet'!$B$114,BY44+BX45-CG44)))</f>
        <v>157.00000000000006</v>
      </c>
      <c r="BZ45" s="13">
        <f>BY45*VLOOKUP('Données projet'!$B$12,Paramètres!$A$1:$I$89,3,0)*VLOOKUP('Données projet'!$B$12,Paramètres!$A$1:$I$89,5,0)</f>
        <v>149.40120000000007</v>
      </c>
      <c r="CA45" s="13">
        <f t="shared" si="39"/>
        <v>38.442474509137625</v>
      </c>
      <c r="CB45" s="20">
        <f t="shared" si="10"/>
        <v>327.16106643674817</v>
      </c>
      <c r="CC45" s="59">
        <f t="shared" si="11"/>
        <v>620.49439977008149</v>
      </c>
      <c r="CD45" s="59">
        <f ca="1">AVERAGE(OFFSET($CC$3,0,0,'Données projet'!$E$12+1,1))-AVERAGE(OFFSET($H$3,0,0,'Données projet'!$E$12+1,1))</f>
        <v>609.40025883662452</v>
      </c>
      <c r="CE45" s="59">
        <f t="shared" si="40"/>
        <v>294.48909834404577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2.8266386715637801</v>
      </c>
      <c r="CM45" s="21">
        <f>EXP(-LN(2)/2)*CM44+(1-EXP(-LN(2)/2))/(LN(2)/2)*CG45*CJ45*VLOOKUP('Données projet'!$B$12,Paramètres!$A$1:$I$89,3,0)*0.475*44/12</f>
        <v>0.1227543258509652</v>
      </c>
      <c r="CN45" s="22">
        <f t="shared" si="12"/>
        <v>2.9493929974147455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11.499999999999996</v>
      </c>
      <c r="CT45" s="12">
        <f>IF('Données projet'!$A$140&gt;35,CT44+CS45-DB44,IF(A45&lt;'Données projet'!$A$140,$CQ$205^A45,IF(A45='Données projet'!$A$140,'Données projet'!$B$140,CT44+CS45-DB44)))</f>
        <v>231.1999999999999</v>
      </c>
      <c r="CU45" s="17">
        <f>CT45*VLOOKUP('Données projet'!$B$13,Paramètres!$A$1:$I$89,3,0)*VLOOKUP('Données projet'!$B$13,Paramètres!$A$1:$I$89,5,0)</f>
        <v>108.20159999999994</v>
      </c>
      <c r="CV45" s="13">
        <f t="shared" si="41"/>
        <v>28.906861857161235</v>
      </c>
      <c r="CW45" s="20">
        <f t="shared" si="13"/>
        <v>238.79723773455569</v>
      </c>
      <c r="CX45" s="59">
        <f t="shared" si="14"/>
        <v>532.13057106788904</v>
      </c>
      <c r="CY45" s="59">
        <f ca="1">AVERAGE(OFFSET($CX$3,0,0,'Données projet'!$E$13+1,1))-AVERAGE(OFFSET($H$3,0,0,'Données projet'!$E$13+1,1))</f>
        <v>346.16623654404509</v>
      </c>
      <c r="CZ45" s="59">
        <f t="shared" si="42"/>
        <v>281.80933156559087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2.4715494037097008</v>
      </c>
      <c r="DG45" s="21">
        <f>EXP(-LN(2)/25)*DG44+(1-EXP(-LN(2)/25))/(LN(2)/25)*Calculateur!DB45*Calculateur!DD45*VLOOKUP('Données projet'!$B$13,Paramètres!$A$1:$I$89,3,0)*0.475*44/12</f>
        <v>5.6321921680049245</v>
      </c>
      <c r="DH45" s="21">
        <f>EXP(-LN(2)/2)*DH44+(1-EXP(-LN(2)/2))/(LN(2)/2)*DB45*DE45*VLOOKUP('Données projet'!$B$13,Paramètres!$A$1:$I$89,3,0)*0.475*44/12</f>
        <v>0.15362775750462487</v>
      </c>
      <c r="DI45" s="22">
        <f t="shared" si="15"/>
        <v>8.2573693292192498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</v>
      </c>
      <c r="DO45" s="12">
        <f>IF('Données projet'!$A$166&gt;35,DO44+DN45-DW44,IF(A45&lt;'Données projet'!$A$166,$DL$205^A45,IF(A45='Données projet'!$A$166,'Données projet'!$B$166,DO44+DN45-DW44)))</f>
        <v>235.00000000000017</v>
      </c>
      <c r="DP45" s="17">
        <f>DO45*VLOOKUP('Données projet'!$B$14,Paramètres!$A$1:$I$89,3,0)*VLOOKUP('Données projet'!$B$14,Paramètres!$A$1:$I$89,5,0)</f>
        <v>146.6400000000001</v>
      </c>
      <c r="DQ45" s="13">
        <f t="shared" si="43"/>
        <v>37.814009712703054</v>
      </c>
      <c r="DR45" s="20">
        <f t="shared" si="16"/>
        <v>321.25740024962471</v>
      </c>
      <c r="DS45" s="59">
        <f t="shared" si="17"/>
        <v>614.59073358295802</v>
      </c>
      <c r="DT45" s="59">
        <f ca="1">AVERAGE(OFFSET($DS$3,0,0,'Données projet'!$E$14+1,1))-AVERAGE(OFFSET($H$3,0,0,'Données projet'!$E$14+1,1))</f>
        <v>319.97171762304686</v>
      </c>
      <c r="DU45" s="59">
        <f t="shared" si="44"/>
        <v>337.89345858359621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5.4825417551096542</v>
      </c>
      <c r="EB45" s="21">
        <f>EXP(-LN(2)/25)*EB44+(1-EXP(-LN(2)/25))/(LN(2)/25)*Calculateur!DW45*Calculateur!DY45*VLOOKUP('Données projet'!$B$14,Paramètres!$A$1:$I$89,3,0)*0.475*44/12</f>
        <v>14.904465214196767</v>
      </c>
      <c r="EC45" s="21">
        <f>EXP(-LN(2)/2)*EC44+(1-EXP(-LN(2)/2))/(LN(2)/2)*DW45*DZ45*VLOOKUP('Données projet'!$B$14,Paramètres!$A$1:$I$89,3,0)*0.475*44/12</f>
        <v>0.3154814922455485</v>
      </c>
      <c r="ED45" s="22">
        <f t="shared" si="18"/>
        <v>20.702488461551969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9.8333333333333339</v>
      </c>
      <c r="EJ45" s="12">
        <f>IF('Données projet'!$A$192&gt;35,EJ44+EI45-ER44,IF(A45&lt;'Données projet'!$A$192,$EG$205^A45,IF(A45='Données projet'!$A$192,'Données projet'!$B$192,EJ44+EI45-ER44)))</f>
        <v>253.66666666666671</v>
      </c>
      <c r="EK45" s="17">
        <f>EJ45*VLOOKUP('Données projet'!$B$15,Paramètres!$A$1:$I$89,3,0)*VLOOKUP('Données projet'!$B$15,Paramètres!$A$1:$I$89,5,0)</f>
        <v>151.6926666666667</v>
      </c>
      <c r="EL45" s="13">
        <f t="shared" si="45"/>
        <v>38.96299861908853</v>
      </c>
      <c r="EM45" s="20">
        <f t="shared" si="19"/>
        <v>332.05861703935699</v>
      </c>
      <c r="EN45" s="59">
        <f t="shared" si="20"/>
        <v>625.3919503726903</v>
      </c>
      <c r="EO45" s="59">
        <f ca="1">AVERAGE(OFFSET($EN$3,0,0,'Données projet'!$E$15+1,1))-AVERAGE(OFFSET($H$3,0,0,'Données projet'!$E$15+1,1))</f>
        <v>258.46015871559956</v>
      </c>
      <c r="EP45" s="59">
        <f t="shared" si="46"/>
        <v>280.26155987300996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4.8982351865564944</v>
      </c>
      <c r="EW45" s="21">
        <f>EXP(-LN(2)/25)*EW44+(1-EXP(-LN(2)/25))/(LN(2)/25)*Calculateur!ER45*Calculateur!ET45*VLOOKUP('Données projet'!$B$15,Paramètres!$A$1:$I$89,3,0)*0.475*44/12</f>
        <v>8.8409666589286218</v>
      </c>
      <c r="EX45" s="21">
        <f>EXP(-LN(2)/2)*EX44+(1-EXP(-LN(2)/2))/(LN(2)/2)*ER45*EU45*VLOOKUP('Données projet'!$B$15,Paramètres!$A$1:$I$89,3,0)*0.475*44/12</f>
        <v>8.5088943344908671E-2</v>
      </c>
      <c r="EY45" s="22">
        <f t="shared" si="21"/>
        <v>13.824290788830025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7.7</v>
      </c>
      <c r="N46" s="13">
        <f>IF('Données projet'!$A$36&gt;35,N45+M46-V45,IF(A46&lt;'Données projet'!$A$36,$K$205^A46,IF(A46='Données projet'!$A$36,'Données projet'!$B$36,N45+M46-V45)))</f>
        <v>181.10000000000002</v>
      </c>
      <c r="O46" s="13">
        <f>N46*VLOOKUP('Données projet'!$B$9,Paramètres!$A$1:$I$89,3,0)*VLOOKUP('Données projet'!$B$9,Paramètres!$A$1:$I$89,5,0)</f>
        <v>158.20896000000005</v>
      </c>
      <c r="P46" s="13">
        <f t="shared" si="33"/>
        <v>40.438277047034958</v>
      </c>
      <c r="Q46" s="20">
        <f t="shared" si="53"/>
        <v>345.97727119025262</v>
      </c>
      <c r="R46" s="59">
        <f t="shared" si="0"/>
        <v>639.31060452358588</v>
      </c>
      <c r="S46" s="59">
        <f ca="1">AVERAGE(OFFSET($R$3,0,0,'Données projet'!$E$9+1,1))-AVERAGE(OFFSET($H$3,0,0,'Données projet'!$E$9+1,1))</f>
        <v>368.41876532159154</v>
      </c>
      <c r="T46" s="59">
        <f t="shared" si="34"/>
        <v>369.39570124551125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4.7605010355741912</v>
      </c>
      <c r="AA46" s="21">
        <f>EXP(-LN(2)/25)*AA45+(1-EXP(-LN(2)/25))/(LN(2)/25)*Calculateur!V46*Calculateur!X46*VLOOKUP('Données projet'!$B$9,Paramètres!$A$1:$I$89,3,0)*0.475*44/12</f>
        <v>11.312068991957982</v>
      </c>
      <c r="AB46" s="21">
        <f>EXP(-LN(2)/2)*AB45+(1-EXP(-LN(2)/2))/(LN(2)/2)*V46*Y46*VLOOKUP('Données projet'!$B$9,Paramètres!$A$1:$I$89,3,0)*0.475*44/12</f>
        <v>0.19633969559516548</v>
      </c>
      <c r="AC46" s="22">
        <f t="shared" si="3"/>
        <v>16.268909723127337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9.1999999999999993</v>
      </c>
      <c r="AI46" s="13">
        <f>IF('Données projet'!$A$62&gt;35,AI45+AH46-AQ45,IF(A46&lt;'Données projet'!$A$62,$AF$205^A46,IF(A46='Données projet'!$A$62,'Données projet'!$B$62,AI45+AH46-AQ45)))</f>
        <v>220.59999999999991</v>
      </c>
      <c r="AJ46" s="13">
        <f>AI46*VLOOKUP('Données projet'!$B$10,Paramètres!$A$1:$I$89,3,0)*VLOOKUP('Données projet'!$B$10,Paramètres!$A$1:$I$89,5,0)</f>
        <v>192.71615999999995</v>
      </c>
      <c r="AK46" s="13">
        <f t="shared" si="35"/>
        <v>48.139960279308198</v>
      </c>
      <c r="AL46" s="20">
        <f t="shared" si="4"/>
        <v>419.49107615312829</v>
      </c>
      <c r="AM46" s="59">
        <f t="shared" si="5"/>
        <v>712.8244094864616</v>
      </c>
      <c r="AN46" s="59">
        <f ca="1">AVERAGE(OFFSET($AM$3,0,0,'Données projet'!$E$10+1,1))-AVERAGE(OFFSET($H$3,0,0,'Données projet'!$E$10+1,1))</f>
        <v>402.82278346470082</v>
      </c>
      <c r="AO46" s="59">
        <f t="shared" si="36"/>
        <v>440.17787299198977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2.7696347790567191</v>
      </c>
      <c r="AV46" s="21">
        <f>EXP(-LN(2)/25)*AV45+(1-EXP(-LN(2)/25))/(LN(2)/25)*Calculateur!AQ46*Calculateur!AS46*VLOOKUP('Données projet'!$B$10,Paramètres!$A$1:$I$89,3,0)*0.475*44/12</f>
        <v>15.712713847455685</v>
      </c>
      <c r="AW46" s="21">
        <f>EXP(-LN(2)/2)*AW45+(1-EXP(-LN(2)/2))/(LN(2)/2)*AQ46*AT46*VLOOKUP('Données projet'!$B$10,Paramètres!$A$1:$I$89,3,0)*0.475*44/12</f>
        <v>0.29163516895368308</v>
      </c>
      <c r="AX46" s="21">
        <f t="shared" si="6"/>
        <v>18.773983795466087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11.2</v>
      </c>
      <c r="BD46" s="12">
        <f>IF('Données projet'!$A$88&gt;35,BD45+BC46-BL45,IF(A46&lt;'Données projet'!$A$88,$BA$205^A46,IF(A46='Données projet'!$A$88,'Données projet'!$B$88,BD45+BC46-BL45)))</f>
        <v>180.59999999999997</v>
      </c>
      <c r="BE46" s="13">
        <f>BD46*VLOOKUP('Données projet'!$B$11,Paramètres!$A$1:$I$89,3,0)*VLOOKUP('Données projet'!$B$11,Paramètres!$A$1:$I$89,5,0)</f>
        <v>163.40687999999997</v>
      </c>
      <c r="BF46" s="13">
        <f t="shared" si="37"/>
        <v>41.610001881769797</v>
      </c>
      <c r="BG46" s="20">
        <f t="shared" si="7"/>
        <v>357.07106927741569</v>
      </c>
      <c r="BH46" s="59">
        <f t="shared" si="8"/>
        <v>650.404402610749</v>
      </c>
      <c r="BI46" s="59">
        <f ca="1">AVERAGE(OFFSET($BH$3,0,0,'Données projet'!$E$11+1,1))-AVERAGE(OFFSET($H$3,0,0,'Données projet'!$E$11+1,1))</f>
        <v>469.68830256438338</v>
      </c>
      <c r="BJ46" s="59">
        <f t="shared" si="38"/>
        <v>332.61387922152159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1.86185151993732</v>
      </c>
      <c r="BQ46" s="21">
        <f>EXP(-LN(2)/25)*BQ45+(1-EXP(-LN(2)/25))/(LN(2)/25)*Calculateur!BL46*Calculateur!BN46*VLOOKUP('Données projet'!$B$11,Paramètres!$A$1:$I$89,3,0)*0.475*44/12</f>
        <v>7.8683197513463909</v>
      </c>
      <c r="BR46" s="21">
        <f>EXP(-LN(2)/2)*BR45+(1-EXP(-LN(2)/2))/(LN(2)/2)*BL46*BO46*VLOOKUP('Données projet'!$B$11,Paramètres!$A$1:$I$89,3,0)*0.475*44/12</f>
        <v>0.2381329779713775</v>
      </c>
      <c r="BS46" s="22">
        <f t="shared" si="9"/>
        <v>9.9683042492550875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</v>
      </c>
      <c r="BY46" s="12">
        <f>IF('Données projet'!$A$114&gt;35,BY45+BX46-CG45,IF(A46&lt;'Données projet'!$A$114,$BV$205^A46,IF(A46='Données projet'!$A$114,'Données projet'!$B$114,BY45+BX46-CG45)))</f>
        <v>168.00000000000006</v>
      </c>
      <c r="BZ46" s="13">
        <f>BY46*VLOOKUP('Données projet'!$B$12,Paramètres!$A$1:$I$89,3,0)*VLOOKUP('Données projet'!$B$12,Paramètres!$A$1:$I$89,5,0)</f>
        <v>159.86880000000005</v>
      </c>
      <c r="CA46" s="13">
        <f t="shared" si="39"/>
        <v>40.812921467768035</v>
      </c>
      <c r="CB46" s="20">
        <f t="shared" si="10"/>
        <v>349.52066488969604</v>
      </c>
      <c r="CC46" s="59">
        <f t="shared" si="11"/>
        <v>642.85399822302929</v>
      </c>
      <c r="CD46" s="59">
        <f ca="1">AVERAGE(OFFSET($CC$3,0,0,'Données projet'!$E$12+1,1))-AVERAGE(OFFSET($H$3,0,0,'Données projet'!$E$12+1,1))</f>
        <v>609.40025883662452</v>
      </c>
      <c r="CE46" s="59">
        <f t="shared" si="40"/>
        <v>294.48909834404577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2.7493440884434013</v>
      </c>
      <c r="CM46" s="21">
        <f>EXP(-LN(2)/2)*CM45+(1-EXP(-LN(2)/2))/(LN(2)/2)*CG46*CJ46*VLOOKUP('Données projet'!$B$12,Paramètres!$A$1:$I$89,3,0)*0.475*44/12</f>
        <v>8.6800416229200608E-2</v>
      </c>
      <c r="CN46" s="22">
        <f t="shared" si="12"/>
        <v>2.8361445046726019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11.499999999999996</v>
      </c>
      <c r="CT46" s="12">
        <f>IF('Données projet'!$A$140&gt;35,CT45+CS46-DB45,IF(A46&lt;'Données projet'!$A$140,$CQ$205^A46,IF(A46='Données projet'!$A$140,'Données projet'!$B$140,CT45+CS46-DB45)))</f>
        <v>242.6999999999999</v>
      </c>
      <c r="CU46" s="17">
        <f>CT46*VLOOKUP('Données projet'!$B$13,Paramètres!$A$1:$I$89,3,0)*VLOOKUP('Données projet'!$B$13,Paramètres!$A$1:$I$89,5,0)</f>
        <v>113.58359999999995</v>
      </c>
      <c r="CV46" s="13">
        <f t="shared" si="41"/>
        <v>30.17372688298952</v>
      </c>
      <c r="CW46" s="20">
        <f t="shared" si="13"/>
        <v>250.37734432120666</v>
      </c>
      <c r="CX46" s="59">
        <f t="shared" si="14"/>
        <v>543.71067765453995</v>
      </c>
      <c r="CY46" s="59">
        <f ca="1">AVERAGE(OFFSET($CX$3,0,0,'Données projet'!$E$13+1,1))-AVERAGE(OFFSET($H$3,0,0,'Données projet'!$E$13+1,1))</f>
        <v>346.16623654404509</v>
      </c>
      <c r="CZ46" s="59">
        <f t="shared" si="42"/>
        <v>281.80933156559087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2.4230838273992368</v>
      </c>
      <c r="DG46" s="21">
        <f>EXP(-LN(2)/25)*DG45+(1-EXP(-LN(2)/25))/(LN(2)/25)*Calculateur!DB46*Calculateur!DD46*VLOOKUP('Données projet'!$B$13,Paramètres!$A$1:$I$89,3,0)*0.475*44/12</f>
        <v>5.4781795769867161</v>
      </c>
      <c r="DH46" s="21">
        <f>EXP(-LN(2)/2)*DH45+(1-EXP(-LN(2)/2))/(LN(2)/2)*DB46*DE46*VLOOKUP('Données projet'!$B$13,Paramètres!$A$1:$I$89,3,0)*0.475*44/12</f>
        <v>0.10863122911000277</v>
      </c>
      <c r="DI46" s="22">
        <f t="shared" si="15"/>
        <v>8.0098946334959553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</v>
      </c>
      <c r="DO46" s="12">
        <f>IF('Données projet'!$A$166&gt;35,DO45+DN46-DW45,IF(A46&lt;'Données projet'!$A$166,$DL$205^A46,IF(A46='Données projet'!$A$166,'Données projet'!$B$166,DO45+DN46-DW45)))</f>
        <v>246.00000000000017</v>
      </c>
      <c r="DP46" s="17">
        <f>DO46*VLOOKUP('Données projet'!$B$14,Paramètres!$A$1:$I$89,3,0)*VLOOKUP('Données projet'!$B$14,Paramètres!$A$1:$I$89,5,0)</f>
        <v>153.5040000000001</v>
      </c>
      <c r="DQ46" s="13">
        <f t="shared" si="43"/>
        <v>39.373808884365637</v>
      </c>
      <c r="DR46" s="20">
        <f t="shared" si="16"/>
        <v>335.92885047360363</v>
      </c>
      <c r="DS46" s="59">
        <f t="shared" si="17"/>
        <v>629.26218380693695</v>
      </c>
      <c r="DT46" s="59">
        <f ca="1">AVERAGE(OFFSET($DS$3,0,0,'Données projet'!$E$14+1,1))-AVERAGE(OFFSET($H$3,0,0,'Données projet'!$E$14+1,1))</f>
        <v>319.97171762304686</v>
      </c>
      <c r="DU46" s="59">
        <f t="shared" si="44"/>
        <v>337.89345858359621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5.3750324553122297</v>
      </c>
      <c r="EB46" s="21">
        <f>EXP(-LN(2)/25)*EB45+(1-EXP(-LN(2)/25))/(LN(2)/25)*Calculateur!DW46*Calculateur!DY46*VLOOKUP('Données projet'!$B$14,Paramètres!$A$1:$I$89,3,0)*0.475*44/12</f>
        <v>14.496901829122795</v>
      </c>
      <c r="EC46" s="21">
        <f>EXP(-LN(2)/2)*EC45+(1-EXP(-LN(2)/2))/(LN(2)/2)*DW46*DZ46*VLOOKUP('Données projet'!$B$14,Paramètres!$A$1:$I$89,3,0)*0.475*44/12</f>
        <v>0.22307910250567856</v>
      </c>
      <c r="ED46" s="22">
        <f t="shared" si="18"/>
        <v>20.095013386940703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9.8333333333333339</v>
      </c>
      <c r="EJ46" s="12">
        <f>IF('Données projet'!$A$192&gt;35,EJ45+EI46-ER45,IF(A46&lt;'Données projet'!$A$192,$EG$205^A46,IF(A46='Données projet'!$A$192,'Données projet'!$B$192,EJ45+EI46-ER45)))</f>
        <v>263.50000000000006</v>
      </c>
      <c r="EK46" s="17">
        <f>EJ46*VLOOKUP('Données projet'!$B$15,Paramètres!$A$1:$I$89,3,0)*VLOOKUP('Données projet'!$B$15,Paramètres!$A$1:$I$89,5,0)</f>
        <v>157.57300000000006</v>
      </c>
      <c r="EL46" s="13">
        <f t="shared" si="45"/>
        <v>40.294612761030372</v>
      </c>
      <c r="EM46" s="20">
        <f t="shared" si="19"/>
        <v>344.61942555879472</v>
      </c>
      <c r="EN46" s="59">
        <f t="shared" si="20"/>
        <v>637.95275889212803</v>
      </c>
      <c r="EO46" s="59">
        <f ca="1">AVERAGE(OFFSET($EN$3,0,0,'Données projet'!$E$15+1,1))-AVERAGE(OFFSET($H$3,0,0,'Données projet'!$E$15+1,1))</f>
        <v>258.46015871559956</v>
      </c>
      <c r="EP46" s="59">
        <f t="shared" si="46"/>
        <v>280.26155987300996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4.8021837821765816</v>
      </c>
      <c r="EW46" s="21">
        <f>EXP(-LN(2)/25)*EW45+(1-EXP(-LN(2)/25))/(LN(2)/25)*Calculateur!ER46*Calculateur!ET46*VLOOKUP('Données projet'!$B$15,Paramètres!$A$1:$I$89,3,0)*0.475*44/12</f>
        <v>8.5992099607139885</v>
      </c>
      <c r="EX46" s="21">
        <f>EXP(-LN(2)/2)*EX45+(1-EXP(-LN(2)/2))/(LN(2)/2)*ER46*EU46*VLOOKUP('Données projet'!$B$15,Paramètres!$A$1:$I$89,3,0)*0.475*44/12</f>
        <v>6.0166968843182879E-2</v>
      </c>
      <c r="EY46" s="22">
        <f t="shared" si="21"/>
        <v>13.461560711733751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7.7</v>
      </c>
      <c r="N47" s="13">
        <f>IF('Données projet'!$A$36&gt;35,N46+M47-V46,IF(A47&lt;'Données projet'!$A$36,$K$205^A47,IF(A47='Données projet'!$A$36,'Données projet'!$B$36,N46+M47-V46)))</f>
        <v>188.8</v>
      </c>
      <c r="O47" s="13">
        <f>N47*VLOOKUP('Données projet'!$B$9,Paramètres!$A$1:$I$89,3,0)*VLOOKUP('Données projet'!$B$9,Paramètres!$A$1:$I$89,5,0)</f>
        <v>164.93568000000005</v>
      </c>
      <c r="P47" s="13">
        <f t="shared" si="33"/>
        <v>41.953795695589498</v>
      </c>
      <c r="Q47" s="20">
        <f t="shared" si="53"/>
        <v>360.33250350315171</v>
      </c>
      <c r="R47" s="59">
        <f t="shared" si="0"/>
        <v>653.66583683648503</v>
      </c>
      <c r="S47" s="59">
        <f ca="1">AVERAGE(OFFSET($R$3,0,0,'Données projet'!$E$9+1,1))-AVERAGE(OFFSET($H$3,0,0,'Données projet'!$E$9+1,1))</f>
        <v>368.41876532159154</v>
      </c>
      <c r="T47" s="59">
        <f t="shared" si="34"/>
        <v>369.39570124551125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4.6671505138855043</v>
      </c>
      <c r="AA47" s="21">
        <f>EXP(-LN(2)/25)*AA46+(1-EXP(-LN(2)/25))/(LN(2)/25)*Calculateur!V47*Calculateur!X47*VLOOKUP('Données projet'!$B$9,Paramètres!$A$1:$I$89,3,0)*0.475*44/12</f>
        <v>11.002739870497038</v>
      </c>
      <c r="AB47" s="21">
        <f>EXP(-LN(2)/2)*AB46+(1-EXP(-LN(2)/2))/(LN(2)/2)*V47*Y47*VLOOKUP('Données projet'!$B$9,Paramètres!$A$1:$I$89,3,0)*0.475*44/12</f>
        <v>0.13883313017144402</v>
      </c>
      <c r="AC47" s="22">
        <f t="shared" si="3"/>
        <v>15.808723514553986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9.1999999999999993</v>
      </c>
      <c r="AI47" s="13">
        <f>IF('Données projet'!$A$62&gt;35,AI46+AH47-AQ46,IF(A47&lt;'Données projet'!$A$62,$AF$205^A47,IF(A47='Données projet'!$A$62,'Données projet'!$B$62,AI46+AH47-AQ46)))</f>
        <v>229.7999999999999</v>
      </c>
      <c r="AJ47" s="13">
        <f>AI47*VLOOKUP('Données projet'!$B$10,Paramètres!$A$1:$I$89,3,0)*VLOOKUP('Données projet'!$B$10,Paramètres!$A$1:$I$89,5,0)</f>
        <v>200.75327999999993</v>
      </c>
      <c r="AK47" s="13">
        <f t="shared" si="35"/>
        <v>49.909679631732047</v>
      </c>
      <c r="AL47" s="20">
        <f t="shared" si="4"/>
        <v>436.57132135859985</v>
      </c>
      <c r="AM47" s="59">
        <f t="shared" si="5"/>
        <v>729.90465469193316</v>
      </c>
      <c r="AN47" s="59">
        <f ca="1">AVERAGE(OFFSET($AM$3,0,0,'Données projet'!$E$10+1,1))-AVERAGE(OFFSET($H$3,0,0,'Données projet'!$E$10+1,1))</f>
        <v>402.82278346470082</v>
      </c>
      <c r="AO47" s="59">
        <f t="shared" si="36"/>
        <v>440.17787299198977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2.7153239303498267</v>
      </c>
      <c r="AV47" s="21">
        <f>EXP(-LN(2)/25)*AV46+(1-EXP(-LN(2)/25))/(LN(2)/25)*Calculateur!AQ47*Calculateur!AS47*VLOOKUP('Données projet'!$B$10,Paramètres!$A$1:$I$89,3,0)*0.475*44/12</f>
        <v>15.2830488610013</v>
      </c>
      <c r="AW47" s="21">
        <f>EXP(-LN(2)/2)*AW46+(1-EXP(-LN(2)/2))/(LN(2)/2)*AQ47*AT47*VLOOKUP('Données projet'!$B$10,Paramètres!$A$1:$I$89,3,0)*0.475*44/12</f>
        <v>0.2062172055996338</v>
      </c>
      <c r="AX47" s="21">
        <f t="shared" si="6"/>
        <v>18.204589996950759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11.2</v>
      </c>
      <c r="BD47" s="12">
        <f>IF('Données projet'!$A$88&gt;35,BD46+BC47-BL46,IF(A47&lt;'Données projet'!$A$88,$BA$205^A47,IF(A47='Données projet'!$A$88,'Données projet'!$B$88,BD46+BC47-BL46)))</f>
        <v>191.79999999999995</v>
      </c>
      <c r="BE47" s="13">
        <f>BD47*VLOOKUP('Données projet'!$B$11,Paramètres!$A$1:$I$89,3,0)*VLOOKUP('Données projet'!$B$11,Paramètres!$A$1:$I$89,5,0)</f>
        <v>173.54063999999997</v>
      </c>
      <c r="BF47" s="13">
        <f t="shared" si="37"/>
        <v>43.882055316228445</v>
      </c>
      <c r="BG47" s="20">
        <f t="shared" si="7"/>
        <v>378.6778610090978</v>
      </c>
      <c r="BH47" s="59">
        <f t="shared" si="8"/>
        <v>672.01119434243105</v>
      </c>
      <c r="BI47" s="59">
        <f ca="1">AVERAGE(OFFSET($BH$3,0,0,'Données projet'!$E$11+1,1))-AVERAGE(OFFSET($H$3,0,0,'Données projet'!$E$11+1,1))</f>
        <v>469.68830256438338</v>
      </c>
      <c r="BJ47" s="59">
        <f t="shared" si="38"/>
        <v>332.61387922152159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1.8253417472486435</v>
      </c>
      <c r="BQ47" s="21">
        <f>EXP(-LN(2)/25)*BQ46+(1-EXP(-LN(2)/25))/(LN(2)/25)*Calculateur!BL47*Calculateur!BN47*VLOOKUP('Données projet'!$B$11,Paramètres!$A$1:$I$89,3,0)*0.475*44/12</f>
        <v>7.6531601339688713</v>
      </c>
      <c r="BR47" s="21">
        <f>EXP(-LN(2)/2)*BR46+(1-EXP(-LN(2)/2))/(LN(2)/2)*BL47*BO47*VLOOKUP('Données projet'!$B$11,Paramètres!$A$1:$I$89,3,0)*0.475*44/12</f>
        <v>0.16838544354770779</v>
      </c>
      <c r="BS47" s="22">
        <f t="shared" si="9"/>
        <v>9.6468873247652223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</v>
      </c>
      <c r="BY47" s="12">
        <f>IF('Données projet'!$A$114&gt;35,BY46+BX47-CG46,IF(A47&lt;'Données projet'!$A$114,$BV$205^A47,IF(A47='Données projet'!$A$114,'Données projet'!$B$114,BY46+BX47-CG46)))</f>
        <v>179.00000000000006</v>
      </c>
      <c r="BZ47" s="13">
        <f>BY47*VLOOKUP('Données projet'!$B$12,Paramètres!$A$1:$I$89,3,0)*VLOOKUP('Données projet'!$B$12,Paramètres!$A$1:$I$89,5,0)</f>
        <v>170.33640000000005</v>
      </c>
      <c r="CA47" s="13">
        <f t="shared" si="39"/>
        <v>43.165357324132231</v>
      </c>
      <c r="CB47" s="20">
        <f t="shared" si="10"/>
        <v>371.84889400619704</v>
      </c>
      <c r="CC47" s="59">
        <f t="shared" si="11"/>
        <v>665.1822273395303</v>
      </c>
      <c r="CD47" s="59">
        <f ca="1">AVERAGE(OFFSET($CC$3,0,0,'Données projet'!$E$12+1,1))-AVERAGE(OFFSET($H$3,0,0,'Données projet'!$E$12+1,1))</f>
        <v>609.40025883662452</v>
      </c>
      <c r="CE47" s="59">
        <f t="shared" si="40"/>
        <v>294.48909834404577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2.6741631297631945</v>
      </c>
      <c r="CM47" s="21">
        <f>EXP(-LN(2)/2)*CM46+(1-EXP(-LN(2)/2))/(LN(2)/2)*CG47*CJ47*VLOOKUP('Données projet'!$B$12,Paramètres!$A$1:$I$89,3,0)*0.475*44/12</f>
        <v>6.1377162925482606E-2</v>
      </c>
      <c r="CN47" s="22">
        <f t="shared" si="12"/>
        <v>2.7355402926886772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11.499999999999996</v>
      </c>
      <c r="CT47" s="12">
        <f>IF('Données projet'!$A$140&gt;35,CT46+CS47-DB46,IF(A47&lt;'Données projet'!$A$140,$CQ$205^A47,IF(A47='Données projet'!$A$140,'Données projet'!$B$140,CT46+CS47-DB46)))</f>
        <v>254.1999999999999</v>
      </c>
      <c r="CU47" s="17">
        <f>CT47*VLOOKUP('Données projet'!$B$13,Paramètres!$A$1:$I$89,3,0)*VLOOKUP('Données projet'!$B$13,Paramètres!$A$1:$I$89,5,0)</f>
        <v>118.96559999999995</v>
      </c>
      <c r="CV47" s="13">
        <f t="shared" si="41"/>
        <v>31.433621056182272</v>
      </c>
      <c r="CW47" s="20">
        <f t="shared" si="13"/>
        <v>261.945310006184</v>
      </c>
      <c r="CX47" s="59">
        <f t="shared" si="14"/>
        <v>555.27864333951732</v>
      </c>
      <c r="CY47" s="59">
        <f ca="1">AVERAGE(OFFSET($CX$3,0,0,'Données projet'!$E$13+1,1))-AVERAGE(OFFSET($H$3,0,0,'Données projet'!$E$13+1,1))</f>
        <v>346.16623654404509</v>
      </c>
      <c r="CZ47" s="59">
        <f t="shared" si="42"/>
        <v>281.80933156559087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2.3755686314791387</v>
      </c>
      <c r="DG47" s="21">
        <f>EXP(-LN(2)/25)*DG46+(1-EXP(-LN(2)/25))/(LN(2)/25)*Calculateur!DB47*Calculateur!DD47*VLOOKUP('Données projet'!$B$13,Paramètres!$A$1:$I$89,3,0)*0.475*44/12</f>
        <v>5.3283784683690714</v>
      </c>
      <c r="DH47" s="21">
        <f>EXP(-LN(2)/2)*DH46+(1-EXP(-LN(2)/2))/(LN(2)/2)*DB47*DE47*VLOOKUP('Données projet'!$B$13,Paramètres!$A$1:$I$89,3,0)*0.475*44/12</f>
        <v>7.6813878752312437E-2</v>
      </c>
      <c r="DI47" s="22">
        <f t="shared" si="15"/>
        <v>7.7807609786005223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</v>
      </c>
      <c r="DO47" s="12">
        <f>IF('Données projet'!$A$166&gt;35,DO46+DN47-DW46,IF(A47&lt;'Données projet'!$A$166,$DL$205^A47,IF(A47='Données projet'!$A$166,'Données projet'!$B$166,DO46+DN47-DW46)))</f>
        <v>257.00000000000017</v>
      </c>
      <c r="DP47" s="17">
        <f>DO47*VLOOKUP('Données projet'!$B$14,Paramètres!$A$1:$I$89,3,0)*VLOOKUP('Données projet'!$B$14,Paramètres!$A$1:$I$89,5,0)</f>
        <v>160.36800000000011</v>
      </c>
      <c r="DQ47" s="13">
        <f t="shared" si="43"/>
        <v>40.925507732566111</v>
      </c>
      <c r="DR47" s="20">
        <f t="shared" si="16"/>
        <v>350.58619263421946</v>
      </c>
      <c r="DS47" s="59">
        <f t="shared" si="17"/>
        <v>643.91952596755277</v>
      </c>
      <c r="DT47" s="59">
        <f ca="1">AVERAGE(OFFSET($DS$3,0,0,'Données projet'!$E$14+1,1))-AVERAGE(OFFSET($H$3,0,0,'Données projet'!$E$14+1,1))</f>
        <v>319.97171762304686</v>
      </c>
      <c r="DU47" s="59">
        <f t="shared" si="44"/>
        <v>337.89345858359621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5.2696313473096348</v>
      </c>
      <c r="EB47" s="21">
        <f>EXP(-LN(2)/25)*EB46+(1-EXP(-LN(2)/25))/(LN(2)/25)*Calculateur!DW47*Calculateur!DY47*VLOOKUP('Données projet'!$B$14,Paramètres!$A$1:$I$89,3,0)*0.475*44/12</f>
        <v>14.100483286246497</v>
      </c>
      <c r="EC47" s="21">
        <f>EXP(-LN(2)/2)*EC46+(1-EXP(-LN(2)/2))/(LN(2)/2)*DW47*DZ47*VLOOKUP('Données projet'!$B$14,Paramètres!$A$1:$I$89,3,0)*0.475*44/12</f>
        <v>0.15774074612277425</v>
      </c>
      <c r="ED47" s="22">
        <f t="shared" si="18"/>
        <v>19.527855379678904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9.8333333333333339</v>
      </c>
      <c r="EJ47" s="12">
        <f>IF('Données projet'!$A$192&gt;35,EJ46+EI47-ER46,IF(A47&lt;'Données projet'!$A$192,$EG$205^A47,IF(A47='Données projet'!$A$192,'Données projet'!$B$192,EJ46+EI47-ER46)))</f>
        <v>273.33333333333337</v>
      </c>
      <c r="EK47" s="17">
        <f>EJ47*VLOOKUP('Données projet'!$B$15,Paramètres!$A$1:$I$89,3,0)*VLOOKUP('Données projet'!$B$15,Paramètres!$A$1:$I$89,5,0)</f>
        <v>163.45333333333338</v>
      </c>
      <c r="EL47" s="13">
        <f t="shared" si="45"/>
        <v>41.620453722976563</v>
      </c>
      <c r="EM47" s="20">
        <f t="shared" si="19"/>
        <v>357.17017912307307</v>
      </c>
      <c r="EN47" s="59">
        <f t="shared" si="20"/>
        <v>650.50351245640638</v>
      </c>
      <c r="EO47" s="59">
        <f ca="1">AVERAGE(OFFSET($EN$3,0,0,'Données projet'!$E$15+1,1))-AVERAGE(OFFSET($H$3,0,0,'Données projet'!$E$15+1,1))</f>
        <v>258.46015871559956</v>
      </c>
      <c r="EP47" s="59">
        <f t="shared" si="46"/>
        <v>280.26155987300996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4.708015887250987</v>
      </c>
      <c r="EW47" s="21">
        <f>EXP(-LN(2)/25)*EW46+(1-EXP(-LN(2)/25))/(LN(2)/25)*Calculateur!ER47*Calculateur!ET47*VLOOKUP('Données projet'!$B$15,Paramètres!$A$1:$I$89,3,0)*0.475*44/12</f>
        <v>8.3640641121254671</v>
      </c>
      <c r="EX47" s="21">
        <f>EXP(-LN(2)/2)*EX46+(1-EXP(-LN(2)/2))/(LN(2)/2)*ER47*EU47*VLOOKUP('Données projet'!$B$15,Paramètres!$A$1:$I$89,3,0)*0.475*44/12</f>
        <v>4.2544471672454343E-2</v>
      </c>
      <c r="EY47" s="22">
        <f t="shared" si="21"/>
        <v>13.114624471048909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7.7</v>
      </c>
      <c r="N48" s="13">
        <f>IF('Données projet'!$A$36&gt;35,N47+M48-V47,IF(A48&lt;'Données projet'!$A$36,$K$205^A48,IF(A48='Données projet'!$A$36,'Données projet'!$B$36,N47+M48-V47)))</f>
        <v>196.5</v>
      </c>
      <c r="O48" s="13">
        <f>N48*VLOOKUP('Données projet'!$B$9,Paramètres!$A$1:$I$89,3,0)*VLOOKUP('Données projet'!$B$9,Paramètres!$A$1:$I$89,5,0)</f>
        <v>171.66240000000002</v>
      </c>
      <c r="P48" s="13">
        <f t="shared" si="33"/>
        <v>43.462134752770041</v>
      </c>
      <c r="Q48" s="20">
        <f t="shared" si="53"/>
        <v>374.67523136107451</v>
      </c>
      <c r="R48" s="59">
        <f t="shared" si="0"/>
        <v>668.00856469440782</v>
      </c>
      <c r="S48" s="59">
        <f ca="1">AVERAGE(OFFSET($R$3,0,0,'Données projet'!$E$9+1,1))-AVERAGE(OFFSET($H$3,0,0,'Données projet'!$E$9+1,1))</f>
        <v>368.41876532159154</v>
      </c>
      <c r="T48" s="59">
        <f t="shared" si="34"/>
        <v>369.39570124551125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4.5756305389889365</v>
      </c>
      <c r="AA48" s="21">
        <f>EXP(-LN(2)/25)*AA47+(1-EXP(-LN(2)/25))/(LN(2)/25)*Calculateur!V48*Calculateur!X48*VLOOKUP('Données projet'!$B$9,Paramètres!$A$1:$I$89,3,0)*0.475*44/12</f>
        <v>10.701869370129353</v>
      </c>
      <c r="AB48" s="21">
        <f>EXP(-LN(2)/2)*AB47+(1-EXP(-LN(2)/2))/(LN(2)/2)*V48*Y48*VLOOKUP('Données projet'!$B$9,Paramètres!$A$1:$I$89,3,0)*0.475*44/12</f>
        <v>9.816984779758274E-2</v>
      </c>
      <c r="AC48" s="22">
        <f t="shared" si="3"/>
        <v>15.375669756915872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9.1999999999999993</v>
      </c>
      <c r="AI48" s="13">
        <f>IF('Données projet'!$A$62&gt;35,AI47+AH48-AQ47,IF(A48&lt;'Données projet'!$A$62,$AF$205^A48,IF(A48='Données projet'!$A$62,'Données projet'!$B$62,AI47+AH48-AQ47)))</f>
        <v>238.99999999999989</v>
      </c>
      <c r="AJ48" s="13">
        <f>AI48*VLOOKUP('Données projet'!$B$10,Paramètres!$A$1:$I$89,3,0)*VLOOKUP('Données projet'!$B$10,Paramètres!$A$1:$I$89,5,0)</f>
        <v>208.79039999999992</v>
      </c>
      <c r="AK48" s="13">
        <f t="shared" si="35"/>
        <v>51.671168863475145</v>
      </c>
      <c r="AL48" s="20">
        <f t="shared" si="4"/>
        <v>453.63723243721898</v>
      </c>
      <c r="AM48" s="59">
        <f t="shared" si="5"/>
        <v>746.9705657705523</v>
      </c>
      <c r="AN48" s="59">
        <f ca="1">AVERAGE(OFFSET($AM$3,0,0,'Données projet'!$E$10+1,1))-AVERAGE(OFFSET($H$3,0,0,'Données projet'!$E$10+1,1))</f>
        <v>402.82278346470082</v>
      </c>
      <c r="AO48" s="59">
        <f t="shared" si="36"/>
        <v>440.17787299198977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2.6620780842597296</v>
      </c>
      <c r="AV48" s="21">
        <f>EXP(-LN(2)/25)*AV47+(1-EXP(-LN(2)/25))/(LN(2)/25)*Calculateur!AQ48*Calculateur!AS48*VLOOKUP('Données projet'!$B$10,Paramètres!$A$1:$I$89,3,0)*0.475*44/12</f>
        <v>14.865133086196609</v>
      </c>
      <c r="AW48" s="21">
        <f>EXP(-LN(2)/2)*AW47+(1-EXP(-LN(2)/2))/(LN(2)/2)*AQ48*AT48*VLOOKUP('Données projet'!$B$10,Paramètres!$A$1:$I$89,3,0)*0.475*44/12</f>
        <v>0.14581758447684154</v>
      </c>
      <c r="AX48" s="21">
        <f t="shared" si="6"/>
        <v>17.673028754933181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11.2</v>
      </c>
      <c r="BD48" s="12">
        <f>IF('Données projet'!$A$88&gt;35,BD47+BC48-BL47,IF(A48&lt;'Données projet'!$A$88,$BA$205^A48,IF(A48='Données projet'!$A$88,'Données projet'!$B$88,BD47+BC48-BL47)))</f>
        <v>202.99999999999994</v>
      </c>
      <c r="BE48" s="13">
        <f>BD48*VLOOKUP('Données projet'!$B$11,Paramètres!$A$1:$I$89,3,0)*VLOOKUP('Données projet'!$B$11,Paramètres!$A$1:$I$89,5,0)</f>
        <v>183.67439999999993</v>
      </c>
      <c r="BF48" s="13">
        <f t="shared" si="37"/>
        <v>46.138708549418673</v>
      </c>
      <c r="BG48" s="20">
        <f t="shared" si="7"/>
        <v>400.25783072357075</v>
      </c>
      <c r="BH48" s="59">
        <f t="shared" si="8"/>
        <v>693.59116405690406</v>
      </c>
      <c r="BI48" s="59">
        <f ca="1">AVERAGE(OFFSET($BH$3,0,0,'Données projet'!$E$11+1,1))-AVERAGE(OFFSET($H$3,0,0,'Données projet'!$E$11+1,1))</f>
        <v>469.68830256438338</v>
      </c>
      <c r="BJ48" s="59">
        <f t="shared" si="38"/>
        <v>332.61387922152159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1.7895479089336295</v>
      </c>
      <c r="BQ48" s="21">
        <f>EXP(-LN(2)/25)*BQ47+(1-EXP(-LN(2)/25))/(LN(2)/25)*Calculateur!BL48*Calculateur!BN48*VLOOKUP('Données projet'!$B$11,Paramètres!$A$1:$I$89,3,0)*0.475*44/12</f>
        <v>7.4438840676432925</v>
      </c>
      <c r="BR48" s="21">
        <f>EXP(-LN(2)/2)*BR47+(1-EXP(-LN(2)/2))/(LN(2)/2)*BL48*BO48*VLOOKUP('Données projet'!$B$11,Paramètres!$A$1:$I$89,3,0)*0.475*44/12</f>
        <v>0.11906648898568878</v>
      </c>
      <c r="BS48" s="22">
        <f t="shared" si="9"/>
        <v>9.3524984655626113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</v>
      </c>
      <c r="BY48" s="12">
        <f>IF('Données projet'!$A$114&gt;35,BY47+BX48-CG47,IF(A48&lt;'Données projet'!$A$114,$BV$205^A48,IF(A48='Données projet'!$A$114,'Données projet'!$B$114,BY47+BX48-CG47)))</f>
        <v>190.00000000000006</v>
      </c>
      <c r="BZ48" s="13">
        <f>BY48*VLOOKUP('Données projet'!$B$12,Paramètres!$A$1:$I$89,3,0)*VLOOKUP('Données projet'!$B$12,Paramètres!$A$1:$I$89,5,0)</f>
        <v>180.80400000000006</v>
      </c>
      <c r="CA48" s="13">
        <f t="shared" si="39"/>
        <v>45.501014930459895</v>
      </c>
      <c r="CB48" s="20">
        <f t="shared" si="10"/>
        <v>394.14790100388433</v>
      </c>
      <c r="CC48" s="59">
        <f t="shared" si="11"/>
        <v>687.48123433721764</v>
      </c>
      <c r="CD48" s="59">
        <f ca="1">AVERAGE(OFFSET($CC$3,0,0,'Données projet'!$E$12+1,1))-AVERAGE(OFFSET($H$3,0,0,'Données projet'!$E$12+1,1))</f>
        <v>609.40025883662452</v>
      </c>
      <c r="CE48" s="59">
        <f t="shared" si="40"/>
        <v>294.48909834404577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2.6010379983516927</v>
      </c>
      <c r="CM48" s="21">
        <f>EXP(-LN(2)/2)*CM47+(1-EXP(-LN(2)/2))/(LN(2)/2)*CG48*CJ48*VLOOKUP('Données projet'!$B$12,Paramètres!$A$1:$I$89,3,0)*0.475*44/12</f>
        <v>4.3400208114600311E-2</v>
      </c>
      <c r="CN48" s="22">
        <f t="shared" si="12"/>
        <v>2.644438206466293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11.499999999999996</v>
      </c>
      <c r="CT48" s="12">
        <f>IF('Données projet'!$A$140&gt;35,CT47+CS48-DB47,IF(A48&lt;'Données projet'!$A$140,$CQ$205^A48,IF(A48='Données projet'!$A$140,'Données projet'!$B$140,CT47+CS48-DB47)))</f>
        <v>265.69999999999987</v>
      </c>
      <c r="CU48" s="17">
        <f>CT48*VLOOKUP('Données projet'!$B$13,Paramètres!$A$1:$I$89,3,0)*VLOOKUP('Données projet'!$B$13,Paramètres!$A$1:$I$89,5,0)</f>
        <v>124.34759999999994</v>
      </c>
      <c r="CV48" s="13">
        <f t="shared" si="41"/>
        <v>32.68689576547478</v>
      </c>
      <c r="CW48" s="20">
        <f t="shared" si="13"/>
        <v>273.50174679153514</v>
      </c>
      <c r="CX48" s="59">
        <f t="shared" si="14"/>
        <v>566.83508012486845</v>
      </c>
      <c r="CY48" s="59">
        <f ca="1">AVERAGE(OFFSET($CX$3,0,0,'Données projet'!$E$13+1,1))-AVERAGE(OFFSET($H$3,0,0,'Données projet'!$E$13+1,1))</f>
        <v>346.16623654404509</v>
      </c>
      <c r="CZ48" s="59">
        <f t="shared" si="42"/>
        <v>281.80933156559087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2.3289851795696257</v>
      </c>
      <c r="DG48" s="21">
        <f>EXP(-LN(2)/25)*DG47+(1-EXP(-LN(2)/25))/(LN(2)/25)*Calculateur!DB48*Calculateur!DD48*VLOOKUP('Données projet'!$B$13,Paramètres!$A$1:$I$89,3,0)*0.475*44/12</f>
        <v>5.1826736789442736</v>
      </c>
      <c r="DH48" s="21">
        <f>EXP(-LN(2)/2)*DH47+(1-EXP(-LN(2)/2))/(LN(2)/2)*DB48*DE48*VLOOKUP('Données projet'!$B$13,Paramètres!$A$1:$I$89,3,0)*0.475*44/12</f>
        <v>5.4315614555001383E-2</v>
      </c>
      <c r="DI48" s="22">
        <f t="shared" si="15"/>
        <v>7.5659744730689003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11</v>
      </c>
      <c r="DO48" s="12">
        <f>IF('Données projet'!$A$166&gt;35,DO47+DN48-DW47,IF(A48&lt;'Données projet'!$A$166,$DL$205^A48,IF(A48='Données projet'!$A$166,'Données projet'!$B$166,DO47+DN48-DW47)))</f>
        <v>268.00000000000017</v>
      </c>
      <c r="DP48" s="17">
        <f>DO48*VLOOKUP('Données projet'!$B$14,Paramètres!$A$1:$I$89,3,0)*VLOOKUP('Données projet'!$B$14,Paramètres!$A$1:$I$89,5,0)</f>
        <v>167.23200000000011</v>
      </c>
      <c r="DQ48" s="13">
        <f t="shared" si="43"/>
        <v>42.469492598516958</v>
      </c>
      <c r="DR48" s="20">
        <f t="shared" si="16"/>
        <v>365.23009960908388</v>
      </c>
      <c r="DS48" s="59">
        <f t="shared" si="17"/>
        <v>658.56343294241719</v>
      </c>
      <c r="DT48" s="59">
        <f ca="1">AVERAGE(OFFSET($DS$3,0,0,'Données projet'!$E$14+1,1))-AVERAGE(OFFSET($H$3,0,0,'Données projet'!$E$14+1,1))</f>
        <v>319.97171762304686</v>
      </c>
      <c r="DU48" s="59">
        <f t="shared" si="44"/>
        <v>337.89345858359621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5.1662970907466432</v>
      </c>
      <c r="EB48" s="21">
        <f>EXP(-LN(2)/25)*EB47+(1-EXP(-LN(2)/25))/(LN(2)/25)*Calculateur!DW48*Calculateur!DY48*VLOOKUP('Données projet'!$B$14,Paramètres!$A$1:$I$89,3,0)*0.475*44/12</f>
        <v>13.714904829271898</v>
      </c>
      <c r="EC48" s="21">
        <f>EXP(-LN(2)/2)*EC47+(1-EXP(-LN(2)/2))/(LN(2)/2)*DW48*DZ48*VLOOKUP('Données projet'!$B$14,Paramètres!$A$1:$I$89,3,0)*0.475*44/12</f>
        <v>0.11153955125283928</v>
      </c>
      <c r="ED48" s="22">
        <f t="shared" si="18"/>
        <v>18.99274147127138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9.8333333333333339</v>
      </c>
      <c r="EJ48" s="12">
        <f>IF('Données projet'!$A$192&gt;35,EJ47+EI48-ER47,IF(A48&lt;'Données projet'!$A$192,$EG$205^A48,IF(A48='Données projet'!$A$192,'Données projet'!$B$192,EJ47+EI48-ER47)))</f>
        <v>283.16666666666669</v>
      </c>
      <c r="EK48" s="17">
        <f>EJ48*VLOOKUP('Données projet'!$B$15,Paramètres!$A$1:$I$89,3,0)*VLOOKUP('Données projet'!$B$15,Paramètres!$A$1:$I$89,5,0)</f>
        <v>169.33366666666672</v>
      </c>
      <c r="EL48" s="13">
        <f t="shared" si="45"/>
        <v>42.940752990888512</v>
      </c>
      <c r="EM48" s="20">
        <f t="shared" si="19"/>
        <v>369.7112809035753</v>
      </c>
      <c r="EN48" s="59">
        <f t="shared" si="20"/>
        <v>663.04461423690861</v>
      </c>
      <c r="EO48" s="59">
        <f ca="1">AVERAGE(OFFSET($EN$3,0,0,'Données projet'!$E$15+1,1))-AVERAGE(OFFSET($H$3,0,0,'Données projet'!$E$15+1,1))</f>
        <v>258.46015871559956</v>
      </c>
      <c r="EP48" s="59">
        <f t="shared" si="46"/>
        <v>280.26155987300996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4.6156945673081387</v>
      </c>
      <c r="EW48" s="21">
        <f>EXP(-LN(2)/25)*EW47+(1-EXP(-LN(2)/25))/(LN(2)/25)*Calculateur!ER48*Calculateur!ET48*VLOOKUP('Données projet'!$B$15,Paramètres!$A$1:$I$89,3,0)*0.475*44/12</f>
        <v>8.1353483391323813</v>
      </c>
      <c r="EX48" s="21">
        <f>EXP(-LN(2)/2)*EX47+(1-EXP(-LN(2)/2))/(LN(2)/2)*ER48*EU48*VLOOKUP('Données projet'!$B$15,Paramètres!$A$1:$I$89,3,0)*0.475*44/12</f>
        <v>3.0083484421591443E-2</v>
      </c>
      <c r="EY48" s="22">
        <f t="shared" si="21"/>
        <v>12.781126390862113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7.7</v>
      </c>
      <c r="N49" s="13">
        <f>IF('Données projet'!$A$36&gt;35,N48+M49-V48,IF(A49&lt;'Données projet'!$A$36,$K$205^A49,IF(A49='Données projet'!$A$36,'Données projet'!$B$36,N48+M49-V48)))</f>
        <v>204.2</v>
      </c>
      <c r="O49" s="13">
        <f>N49*VLOOKUP('Données projet'!$B$9,Paramètres!$A$1:$I$89,3,0)*VLOOKUP('Données projet'!$B$9,Paramètres!$A$1:$I$89,5,0)</f>
        <v>178.38912000000002</v>
      </c>
      <c r="P49" s="13">
        <f t="shared" si="33"/>
        <v>44.963607752190846</v>
      </c>
      <c r="Q49" s="20">
        <f t="shared" si="53"/>
        <v>389.00600083506578</v>
      </c>
      <c r="R49" s="59">
        <f t="shared" si="0"/>
        <v>682.33933416839909</v>
      </c>
      <c r="S49" s="59">
        <f ca="1">AVERAGE(OFFSET($R$3,0,0,'Données projet'!$E$9+1,1))-AVERAGE(OFFSET($H$3,0,0,'Données projet'!$E$9+1,1))</f>
        <v>368.41876532159154</v>
      </c>
      <c r="T49" s="59">
        <f t="shared" si="34"/>
        <v>369.39570124551125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4.485905214978418</v>
      </c>
      <c r="AA49" s="21">
        <f>EXP(-LN(2)/25)*AA48+(1-EXP(-LN(2)/25))/(LN(2)/25)*Calculateur!V49*Calculateur!X49*VLOOKUP('Données projet'!$B$9,Paramètres!$A$1:$I$89,3,0)*0.475*44/12</f>
        <v>10.409226189416316</v>
      </c>
      <c r="AB49" s="21">
        <f>EXP(-LN(2)/2)*AB48+(1-EXP(-LN(2)/2))/(LN(2)/2)*V49*Y49*VLOOKUP('Données projet'!$B$9,Paramètres!$A$1:$I$89,3,0)*0.475*44/12</f>
        <v>6.9416565085722012E-2</v>
      </c>
      <c r="AC49" s="22">
        <f t="shared" si="3"/>
        <v>14.964547969480456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9.1999999999999993</v>
      </c>
      <c r="AI49" s="13">
        <f>IF('Données projet'!$A$62&gt;35,AI48+AH49-AQ48,IF(A49&lt;'Données projet'!$A$62,$AF$205^A49,IF(A49='Données projet'!$A$62,'Données projet'!$B$62,AI48+AH49-AQ48)))</f>
        <v>248.19999999999987</v>
      </c>
      <c r="AJ49" s="13">
        <f>AI49*VLOOKUP('Données projet'!$B$10,Paramètres!$A$1:$I$89,3,0)*VLOOKUP('Données projet'!$B$10,Paramètres!$A$1:$I$89,5,0)</f>
        <v>216.82751999999991</v>
      </c>
      <c r="AK49" s="13">
        <f t="shared" si="35"/>
        <v>53.424781045347778</v>
      </c>
      <c r="AL49" s="20">
        <f t="shared" si="4"/>
        <v>470.68942432064722</v>
      </c>
      <c r="AM49" s="59">
        <f t="shared" si="5"/>
        <v>764.02275765398053</v>
      </c>
      <c r="AN49" s="59">
        <f ca="1">AVERAGE(OFFSET($AM$3,0,0,'Données projet'!$E$10+1,1))-AVERAGE(OFFSET($H$3,0,0,'Données projet'!$E$10+1,1))</f>
        <v>402.82278346470082</v>
      </c>
      <c r="AO49" s="59">
        <f t="shared" si="36"/>
        <v>440.17787299198977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2.6098763567346999</v>
      </c>
      <c r="AV49" s="21">
        <f>EXP(-LN(2)/25)*AV48+(1-EXP(-LN(2)/25))/(LN(2)/25)*Calculateur!AQ49*Calculateur!AS49*VLOOKUP('Données projet'!$B$10,Paramètres!$A$1:$I$89,3,0)*0.475*44/12</f>
        <v>14.458645240231188</v>
      </c>
      <c r="AW49" s="21">
        <f>EXP(-LN(2)/2)*AW48+(1-EXP(-LN(2)/2))/(LN(2)/2)*AQ49*AT49*VLOOKUP('Données projet'!$B$10,Paramètres!$A$1:$I$89,3,0)*0.475*44/12</f>
        <v>0.1031086027998169</v>
      </c>
      <c r="AX49" s="21">
        <f t="shared" si="6"/>
        <v>17.171630199765705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11.2</v>
      </c>
      <c r="BD49" s="12">
        <f>IF('Données projet'!$A$88&gt;35,BD48+BC49-BL48,IF(A49&lt;'Données projet'!$A$88,$BA$205^A49,IF(A49='Données projet'!$A$88,'Données projet'!$B$88,BD48+BC49-BL48)))</f>
        <v>214.19999999999993</v>
      </c>
      <c r="BE49" s="13">
        <f>BD49*VLOOKUP('Données projet'!$B$11,Paramètres!$A$1:$I$89,3,0)*VLOOKUP('Données projet'!$B$11,Paramètres!$A$1:$I$89,5,0)</f>
        <v>193.80815999999993</v>
      </c>
      <c r="BF49" s="13">
        <f t="shared" si="37"/>
        <v>48.380908095574689</v>
      </c>
      <c r="BG49" s="20">
        <f t="shared" si="7"/>
        <v>421.81262693312578</v>
      </c>
      <c r="BH49" s="59">
        <f t="shared" si="8"/>
        <v>715.14596026645904</v>
      </c>
      <c r="BI49" s="59">
        <f ca="1">AVERAGE(OFFSET($BH$3,0,0,'Données projet'!$E$11+1,1))-AVERAGE(OFFSET($H$3,0,0,'Données projet'!$E$11+1,1))</f>
        <v>469.68830256438338</v>
      </c>
      <c r="BJ49" s="59">
        <f t="shared" si="38"/>
        <v>332.61387922152159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1.7544559659558872</v>
      </c>
      <c r="BQ49" s="21">
        <f>EXP(-LN(2)/25)*BQ48+(1-EXP(-LN(2)/25))/(LN(2)/25)*Calculateur!BL49*Calculateur!BN49*VLOOKUP('Données projet'!$B$11,Paramètres!$A$1:$I$89,3,0)*0.475*44/12</f>
        <v>7.2403306663567371</v>
      </c>
      <c r="BR49" s="21">
        <f>EXP(-LN(2)/2)*BR48+(1-EXP(-LN(2)/2))/(LN(2)/2)*BL49*BO49*VLOOKUP('Données projet'!$B$11,Paramètres!$A$1:$I$89,3,0)*0.475*44/12</f>
        <v>8.419272177385391E-2</v>
      </c>
      <c r="BS49" s="22">
        <f t="shared" si="9"/>
        <v>9.0789793540864796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</v>
      </c>
      <c r="BY49" s="12">
        <f>IF('Données projet'!$A$114&gt;35,BY48+BX49-CG48,IF(A49&lt;'Données projet'!$A$114,$BV$205^A49,IF(A49='Données projet'!$A$114,'Données projet'!$B$114,BY48+BX49-CG48)))</f>
        <v>201.00000000000006</v>
      </c>
      <c r="BZ49" s="13">
        <f>BY49*VLOOKUP('Données projet'!$B$12,Paramètres!$A$1:$I$89,3,0)*VLOOKUP('Données projet'!$B$12,Paramètres!$A$1:$I$89,5,0)</f>
        <v>191.27160000000006</v>
      </c>
      <c r="CA49" s="13">
        <f t="shared" si="39"/>
        <v>47.820976324217895</v>
      </c>
      <c r="CB49" s="20">
        <f t="shared" si="10"/>
        <v>416.41957043134624</v>
      </c>
      <c r="CC49" s="59">
        <f t="shared" si="11"/>
        <v>709.75290376467956</v>
      </c>
      <c r="CD49" s="59">
        <f ca="1">AVERAGE(OFFSET($CC$3,0,0,'Données projet'!$E$12+1,1))-AVERAGE(OFFSET($H$3,0,0,'Données projet'!$E$12+1,1))</f>
        <v>609.40025883662452</v>
      </c>
      <c r="CE49" s="59">
        <f t="shared" si="40"/>
        <v>294.48909834404577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2.529912477504122</v>
      </c>
      <c r="CM49" s="21">
        <f>EXP(-LN(2)/2)*CM48+(1-EXP(-LN(2)/2))/(LN(2)/2)*CG49*CJ49*VLOOKUP('Données projet'!$B$12,Paramètres!$A$1:$I$89,3,0)*0.475*44/12</f>
        <v>3.068858146274131E-2</v>
      </c>
      <c r="CN49" s="22">
        <f t="shared" si="12"/>
        <v>2.5606010589668631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11.499999999999996</v>
      </c>
      <c r="CT49" s="12">
        <f>IF('Données projet'!$A$140&gt;35,CT48+CS49-DB48,IF(A49&lt;'Données projet'!$A$140,$CQ$205^A49,IF(A49='Données projet'!$A$140,'Données projet'!$B$140,CT48+CS49-DB48)))</f>
        <v>277.19999999999987</v>
      </c>
      <c r="CU49" s="17">
        <f>CT49*VLOOKUP('Données projet'!$B$13,Paramètres!$A$1:$I$89,3,0)*VLOOKUP('Données projet'!$B$13,Paramètres!$A$1:$I$89,5,0)</f>
        <v>129.72959999999992</v>
      </c>
      <c r="CV49" s="13">
        <f t="shared" si="41"/>
        <v>33.933870261867483</v>
      </c>
      <c r="CW49" s="20">
        <f t="shared" si="13"/>
        <v>285.04721070608576</v>
      </c>
      <c r="CX49" s="59">
        <f t="shared" si="14"/>
        <v>578.38054403941908</v>
      </c>
      <c r="CY49" s="59">
        <f ca="1">AVERAGE(OFFSET($CX$3,0,0,'Données projet'!$E$13+1,1))-AVERAGE(OFFSET($H$3,0,0,'Données projet'!$E$13+1,1))</f>
        <v>346.16623654404509</v>
      </c>
      <c r="CZ49" s="59">
        <f t="shared" si="42"/>
        <v>281.80933156559087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2.2833152007389583</v>
      </c>
      <c r="DG49" s="21">
        <f>EXP(-LN(2)/25)*DG48+(1-EXP(-LN(2)/25))/(LN(2)/25)*Calculateur!DB49*Calculateur!DD49*VLOOKUP('Données projet'!$B$13,Paramètres!$A$1:$I$89,3,0)*0.475*44/12</f>
        <v>5.040953194648579</v>
      </c>
      <c r="DH49" s="21">
        <f>EXP(-LN(2)/2)*DH48+(1-EXP(-LN(2)/2))/(LN(2)/2)*DB49*DE49*VLOOKUP('Données projet'!$B$13,Paramètres!$A$1:$I$89,3,0)*0.475*44/12</f>
        <v>3.8406939376156218E-2</v>
      </c>
      <c r="DI49" s="22">
        <f t="shared" si="15"/>
        <v>7.3626753347636944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</v>
      </c>
      <c r="DO49" s="12">
        <f>IF('Données projet'!$A$166&gt;35,DO48+DN49-DW48,IF(A49&lt;'Données projet'!$A$166,$DL$205^A49,IF(A49='Données projet'!$A$166,'Données projet'!$B$166,DO48+DN49-DW48)))</f>
        <v>279.00000000000017</v>
      </c>
      <c r="DP49" s="17">
        <f>DO49*VLOOKUP('Données projet'!$B$14,Paramètres!$A$1:$I$89,3,0)*VLOOKUP('Données projet'!$B$14,Paramètres!$A$1:$I$89,5,0)</f>
        <v>174.09600000000009</v>
      </c>
      <c r="DQ49" s="13">
        <f t="shared" si="43"/>
        <v>44.00611631426144</v>
      </c>
      <c r="DR49" s="20">
        <f t="shared" si="16"/>
        <v>379.86118591400549</v>
      </c>
      <c r="DS49" s="59">
        <f t="shared" si="17"/>
        <v>673.1945192473388</v>
      </c>
      <c r="DT49" s="59">
        <f ca="1">AVERAGE(OFFSET($DS$3,0,0,'Données projet'!$E$14+1,1))-AVERAGE(OFFSET($H$3,0,0,'Données projet'!$E$14+1,1))</f>
        <v>319.97171762304686</v>
      </c>
      <c r="DU49" s="59">
        <f t="shared" si="44"/>
        <v>337.89345858359621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5.0649891559271785</v>
      </c>
      <c r="EB49" s="21">
        <f>EXP(-LN(2)/25)*EB48+(1-EXP(-LN(2)/25))/(LN(2)/25)*Calculateur!DW49*Calculateur!DY49*VLOOKUP('Données projet'!$B$14,Paramètres!$A$1:$I$89,3,0)*0.475*44/12</f>
        <v>13.339870035479958</v>
      </c>
      <c r="EC49" s="21">
        <f>EXP(-LN(2)/2)*EC48+(1-EXP(-LN(2)/2))/(LN(2)/2)*DW49*DZ49*VLOOKUP('Données projet'!$B$14,Paramètres!$A$1:$I$89,3,0)*0.475*44/12</f>
        <v>7.8870373061387125E-2</v>
      </c>
      <c r="ED49" s="22">
        <f t="shared" si="18"/>
        <v>18.483729564468526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>
        <f>VLOOKUP(A49,'Données projet'!$A$191:$I$211,2,0)</f>
        <v>293</v>
      </c>
      <c r="EH49" s="12">
        <f>VLOOKUP(A49,'Données projet'!$A$191:$I$211,9,0)</f>
        <v>9.8333333333333339</v>
      </c>
      <c r="EI49" s="12">
        <f t="array" ref="EI49">INDEX(EH:EH,MIN(IF(ISNUMBER(EH49:EH245),ROW(EH49:EH245),"")))</f>
        <v>9.8333333333333339</v>
      </c>
      <c r="EJ49" s="12">
        <f>IF('Données projet'!$A$192&gt;35,EJ48+EI49-ER48,IF(A49&lt;'Données projet'!$A$192,$EG$205^A49,IF(A49='Données projet'!$A$192,'Données projet'!$B$192,EJ48+EI49-ER48)))</f>
        <v>293</v>
      </c>
      <c r="EK49" s="17">
        <f>EJ49*VLOOKUP('Données projet'!$B$15,Paramètres!$A$1:$I$89,3,0)*VLOOKUP('Données projet'!$B$15,Paramètres!$A$1:$I$89,5,0)</f>
        <v>175.214</v>
      </c>
      <c r="EL49" s="13">
        <f t="shared" si="45"/>
        <v>44.255725061661991</v>
      </c>
      <c r="EM49" s="20">
        <f t="shared" si="19"/>
        <v>382.24310448239459</v>
      </c>
      <c r="EN49" s="59">
        <f t="shared" si="20"/>
        <v>675.5764378157279</v>
      </c>
      <c r="EO49" s="59">
        <f ca="1">AVERAGE(OFFSET($EN$3,0,0,'Données projet'!$E$15+1,1))-AVERAGE(OFFSET($H$3,0,0,'Données projet'!$E$15+1,1))</f>
        <v>258.46015871559956</v>
      </c>
      <c r="EP49" s="59">
        <f t="shared" si="46"/>
        <v>280.26155987300996</v>
      </c>
      <c r="EQ49" s="15">
        <f>IF(ISNA(VLOOKUP(A49,'Données projet'!$A$191:$I$211,3,0)),0,VLOOKUP(A49,'Données projet'!$A$191:$I$211,3,0))</f>
        <v>7</v>
      </c>
      <c r="ER49" s="15">
        <f>IF(ISNA(VLOOKUP(A49,'Données projet'!$A$191:$I$211,4,0)),0,VLOOKUP(A49,'Données projet'!$A$191:$I$211,4,0))</f>
        <v>29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4.5251836121389246</v>
      </c>
      <c r="EW49" s="21">
        <f>EXP(-LN(2)/25)*EW48+(1-EXP(-LN(2)/25))/(LN(2)/25)*Calculateur!ER49*Calculateur!ET49*VLOOKUP('Données projet'!$B$15,Paramètres!$A$1:$I$89,3,0)*0.475*44/12</f>
        <v>7.9128868109794306</v>
      </c>
      <c r="EX49" s="21">
        <f>EXP(-LN(2)/2)*EX48+(1-EXP(-LN(2)/2))/(LN(2)/2)*ER49*EU49*VLOOKUP('Données projet'!$B$15,Paramètres!$A$1:$I$89,3,0)*0.475*44/12</f>
        <v>2.1272235836227175E-2</v>
      </c>
      <c r="EY49" s="22">
        <f t="shared" si="21"/>
        <v>12.459342658954581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7.7</v>
      </c>
      <c r="N50" s="13">
        <f>IF('Données projet'!$A$36&gt;35,N49+M50-V49,IF(A50&lt;'Données projet'!$A$36,$K$205^A50,IF(A50='Données projet'!$A$36,'Données projet'!$B$36,N49+M50-V49)))</f>
        <v>211.89999999999998</v>
      </c>
      <c r="O50" s="13">
        <f>N50*VLOOKUP('Données projet'!$B$9,Paramètres!$A$1:$I$89,3,0)*VLOOKUP('Données projet'!$B$9,Paramètres!$A$1:$I$89,5,0)</f>
        <v>185.11584000000002</v>
      </c>
      <c r="P50" s="13">
        <f t="shared" si="33"/>
        <v>46.458503242508847</v>
      </c>
      <c r="Q50" s="20">
        <f t="shared" si="53"/>
        <v>403.3253144807029</v>
      </c>
      <c r="R50" s="59">
        <f t="shared" si="0"/>
        <v>696.65864781403616</v>
      </c>
      <c r="S50" s="59">
        <f ca="1">AVERAGE(OFFSET($R$3,0,0,'Données projet'!$E$9+1,1))-AVERAGE(OFFSET($H$3,0,0,'Données projet'!$E$9+1,1))</f>
        <v>368.41876532159154</v>
      </c>
      <c r="T50" s="59">
        <f t="shared" si="34"/>
        <v>369.39570124551125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4.3979393498447017</v>
      </c>
      <c r="AA50" s="21">
        <f>EXP(-LN(2)/25)*AA49+(1-EXP(-LN(2)/25))/(LN(2)/25)*Calculateur!V50*Calculateur!X50*VLOOKUP('Données projet'!$B$9,Paramètres!$A$1:$I$89,3,0)*0.475*44/12</f>
        <v>10.124585351869312</v>
      </c>
      <c r="AB50" s="21">
        <f>EXP(-LN(2)/2)*AB49+(1-EXP(-LN(2)/2))/(LN(2)/2)*V50*Y50*VLOOKUP('Données projet'!$B$9,Paramètres!$A$1:$I$89,3,0)*0.475*44/12</f>
        <v>4.908492389879137E-2</v>
      </c>
      <c r="AC50" s="22">
        <f t="shared" si="3"/>
        <v>14.571609625612805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9.1999999999999993</v>
      </c>
      <c r="AI50" s="13">
        <f>IF('Données projet'!$A$62&gt;35,AI49+AH50-AQ49,IF(A50&lt;'Données projet'!$A$62,$AF$205^A50,IF(A50='Données projet'!$A$62,'Données projet'!$B$62,AI49+AH50-AQ49)))</f>
        <v>257.39999999999986</v>
      </c>
      <c r="AJ50" s="13">
        <f>AI50*VLOOKUP('Données projet'!$B$10,Paramètres!$A$1:$I$89,3,0)*VLOOKUP('Données projet'!$B$10,Paramètres!$A$1:$I$89,5,0)</f>
        <v>224.86463999999992</v>
      </c>
      <c r="AK50" s="13">
        <f t="shared" si="35"/>
        <v>55.170841590670598</v>
      </c>
      <c r="AL50" s="20">
        <f t="shared" si="4"/>
        <v>487.72846377041782</v>
      </c>
      <c r="AM50" s="59">
        <f t="shared" si="5"/>
        <v>781.06179710375113</v>
      </c>
      <c r="AN50" s="59">
        <f ca="1">AVERAGE(OFFSET($AM$3,0,0,'Données projet'!$E$10+1,1))-AVERAGE(OFFSET($H$3,0,0,'Données projet'!$E$10+1,1))</f>
        <v>402.82278346470082</v>
      </c>
      <c r="AO50" s="59">
        <f t="shared" si="36"/>
        <v>440.17787299198977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2.558698273246526</v>
      </c>
      <c r="AV50" s="21">
        <f>EXP(-LN(2)/25)*AV49+(1-EXP(-LN(2)/25))/(LN(2)/25)*Calculateur!AQ50*Calculateur!AS50*VLOOKUP('Données projet'!$B$10,Paramètres!$A$1:$I$89,3,0)*0.475*44/12</f>
        <v>14.063272825789959</v>
      </c>
      <c r="AW50" s="21">
        <f>EXP(-LN(2)/2)*AW49+(1-EXP(-LN(2)/2))/(LN(2)/2)*AQ50*AT50*VLOOKUP('Données projet'!$B$10,Paramètres!$A$1:$I$89,3,0)*0.475*44/12</f>
        <v>7.2908792238420769E-2</v>
      </c>
      <c r="AX50" s="21">
        <f t="shared" si="6"/>
        <v>16.694879891274908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11.2</v>
      </c>
      <c r="BD50" s="12">
        <f>IF('Données projet'!$A$88&gt;35,BD49+BC50-BL49,IF(A50&lt;'Données projet'!$A$88,$BA$205^A50,IF(A50='Données projet'!$A$88,'Données projet'!$B$88,BD49+BC50-BL49)))</f>
        <v>225.39999999999992</v>
      </c>
      <c r="BE50" s="13">
        <f>BD50*VLOOKUP('Données projet'!$B$11,Paramètres!$A$1:$I$89,3,0)*VLOOKUP('Données projet'!$B$11,Paramètres!$A$1:$I$89,5,0)</f>
        <v>203.94191999999993</v>
      </c>
      <c r="BF50" s="13">
        <f t="shared" si="37"/>
        <v>50.609495896501116</v>
      </c>
      <c r="BG50" s="20">
        <f t="shared" si="7"/>
        <v>443.3437160197393</v>
      </c>
      <c r="BH50" s="59">
        <f t="shared" si="8"/>
        <v>736.67704935307256</v>
      </c>
      <c r="BI50" s="59">
        <f ca="1">AVERAGE(OFFSET($BH$3,0,0,'Données projet'!$E$11+1,1))-AVERAGE(OFFSET($H$3,0,0,'Données projet'!$E$11+1,1))</f>
        <v>469.68830256438338</v>
      </c>
      <c r="BJ50" s="59">
        <f t="shared" si="38"/>
        <v>332.61387922152159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1.7200521545759666</v>
      </c>
      <c r="BQ50" s="21">
        <f>EXP(-LN(2)/25)*BQ49+(1-EXP(-LN(2)/25))/(LN(2)/25)*Calculateur!BL50*Calculateur!BN50*VLOOKUP('Données projet'!$B$11,Paramètres!$A$1:$I$89,3,0)*0.475*44/12</f>
        <v>7.0423434435327703</v>
      </c>
      <c r="BR50" s="21">
        <f>EXP(-LN(2)/2)*BR49+(1-EXP(-LN(2)/2))/(LN(2)/2)*BL50*BO50*VLOOKUP('Données projet'!$B$11,Paramètres!$A$1:$I$89,3,0)*0.475*44/12</f>
        <v>5.9533244492844396E-2</v>
      </c>
      <c r="BS50" s="22">
        <f t="shared" si="9"/>
        <v>8.8219288426015812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</v>
      </c>
      <c r="BY50" s="12">
        <f>IF('Données projet'!$A$114&gt;35,BY49+BX50-CG49,IF(A50&lt;'Données projet'!$A$114,$BV$205^A50,IF(A50='Données projet'!$A$114,'Données projet'!$B$114,BY49+BX50-CG49)))</f>
        <v>212.00000000000006</v>
      </c>
      <c r="BZ50" s="13">
        <f>BY50*VLOOKUP('Données projet'!$B$12,Paramètres!$A$1:$I$89,3,0)*VLOOKUP('Données projet'!$B$12,Paramètres!$A$1:$I$89,5,0)</f>
        <v>201.73920000000004</v>
      </c>
      <c r="CA50" s="13">
        <f t="shared" si="39"/>
        <v>50.126198422100714</v>
      </c>
      <c r="CB50" s="20">
        <f t="shared" si="10"/>
        <v>438.66556891849217</v>
      </c>
      <c r="CC50" s="59">
        <f t="shared" si="11"/>
        <v>731.99890225182548</v>
      </c>
      <c r="CD50" s="59">
        <f ca="1">AVERAGE(OFFSET($CC$3,0,0,'Données projet'!$E$12+1,1))-AVERAGE(OFFSET($H$3,0,0,'Données projet'!$E$12+1,1))</f>
        <v>609.40025883662452</v>
      </c>
      <c r="CE50" s="59">
        <f t="shared" si="40"/>
        <v>294.48909834404577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2.4607318877644566</v>
      </c>
      <c r="CM50" s="21">
        <f>EXP(-LN(2)/2)*CM49+(1-EXP(-LN(2)/2))/(LN(2)/2)*CG50*CJ50*VLOOKUP('Données projet'!$B$12,Paramètres!$A$1:$I$89,3,0)*0.475*44/12</f>
        <v>2.1700104057300159E-2</v>
      </c>
      <c r="CN50" s="22">
        <f t="shared" si="12"/>
        <v>2.4824319918217568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11.499999999999996</v>
      </c>
      <c r="CT50" s="12">
        <f>IF('Données projet'!$A$140&gt;35,CT49+CS50-DB49,IF(A50&lt;'Données projet'!$A$140,$CQ$205^A50,IF(A50='Données projet'!$A$140,'Données projet'!$B$140,CT49+CS50-DB49)))</f>
        <v>288.69999999999987</v>
      </c>
      <c r="CU50" s="17">
        <f>CT50*VLOOKUP('Données projet'!$B$13,Paramètres!$A$1:$I$89,3,0)*VLOOKUP('Données projet'!$B$13,Paramètres!$A$1:$I$89,5,0)</f>
        <v>135.11159999999992</v>
      </c>
      <c r="CV50" s="13">
        <f t="shared" si="41"/>
        <v>35.174835808562257</v>
      </c>
      <c r="CW50" s="20">
        <f t="shared" si="13"/>
        <v>296.58220903324576</v>
      </c>
      <c r="CX50" s="59">
        <f t="shared" si="14"/>
        <v>589.91554236657907</v>
      </c>
      <c r="CY50" s="59">
        <f ca="1">AVERAGE(OFFSET($CX$3,0,0,'Données projet'!$E$13+1,1))-AVERAGE(OFFSET($H$3,0,0,'Données projet'!$E$13+1,1))</f>
        <v>346.16623654404509</v>
      </c>
      <c r="CZ50" s="59">
        <f t="shared" si="42"/>
        <v>281.80933156559087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2.2385407823372234</v>
      </c>
      <c r="DG50" s="21">
        <f>EXP(-LN(2)/25)*DG49+(1-EXP(-LN(2)/25))/(LN(2)/25)*Calculateur!DB50*Calculateur!DD50*VLOOKUP('Données projet'!$B$13,Paramètres!$A$1:$I$89,3,0)*0.475*44/12</f>
        <v>4.9031080644487064</v>
      </c>
      <c r="DH50" s="21">
        <f>EXP(-LN(2)/2)*DH49+(1-EXP(-LN(2)/2))/(LN(2)/2)*DB50*DE50*VLOOKUP('Données projet'!$B$13,Paramètres!$A$1:$I$89,3,0)*0.475*44/12</f>
        <v>2.7157807277500692E-2</v>
      </c>
      <c r="DI50" s="22">
        <f t="shared" si="15"/>
        <v>7.168806654063431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</v>
      </c>
      <c r="DO50" s="12">
        <f>IF('Données projet'!$A$166&gt;35,DO49+DN50-DW49,IF(A50&lt;'Données projet'!$A$166,$DL$205^A50,IF(A50='Données projet'!$A$166,'Données projet'!$B$166,DO49+DN50-DW49)))</f>
        <v>290.00000000000017</v>
      </c>
      <c r="DP50" s="17">
        <f>DO50*VLOOKUP('Données projet'!$B$14,Paramètres!$A$1:$I$89,3,0)*VLOOKUP('Données projet'!$B$14,Paramètres!$A$1:$I$89,5,0)</f>
        <v>180.96000000000009</v>
      </c>
      <c r="DQ50" s="13">
        <f t="shared" si="43"/>
        <v>45.535702314871763</v>
      </c>
      <c r="DR50" s="20">
        <f t="shared" si="16"/>
        <v>394.48001486506854</v>
      </c>
      <c r="DS50" s="59">
        <f t="shared" si="17"/>
        <v>687.81334819840185</v>
      </c>
      <c r="DT50" s="59">
        <f ca="1">AVERAGE(OFFSET($DS$3,0,0,'Données projet'!$E$14+1,1))-AVERAGE(OFFSET($H$3,0,0,'Données projet'!$E$14+1,1))</f>
        <v>319.97171762304686</v>
      </c>
      <c r="DU50" s="59">
        <f t="shared" si="44"/>
        <v>337.89345858359621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4.9656678079177849</v>
      </c>
      <c r="EB50" s="21">
        <f>EXP(-LN(2)/25)*EB49+(1-EXP(-LN(2)/25))/(LN(2)/25)*Calculateur!DW50*Calculateur!DY50*VLOOKUP('Données projet'!$B$14,Paramètres!$A$1:$I$89,3,0)*0.475*44/12</f>
        <v>12.975090587846482</v>
      </c>
      <c r="EC50" s="21">
        <f>EXP(-LN(2)/2)*EC49+(1-EXP(-LN(2)/2))/(LN(2)/2)*DW50*DZ50*VLOOKUP('Données projet'!$B$14,Paramètres!$A$1:$I$89,3,0)*0.475*44/12</f>
        <v>5.5769775626419639E-2</v>
      </c>
      <c r="ED50" s="22">
        <f t="shared" si="18"/>
        <v>17.996528171390686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5.875</v>
      </c>
      <c r="EJ50" s="12">
        <f>IF('Données projet'!$A$192&gt;35,EJ49+EI50-ER49,IF(A50&lt;'Données projet'!$A$192,$EG$205^A50,IF(A50='Données projet'!$A$192,'Données projet'!$B$192,EJ49+EI50-ER49)))</f>
        <v>269.875</v>
      </c>
      <c r="EK50" s="17">
        <f>EJ50*VLOOKUP('Données projet'!$B$15,Paramètres!$A$1:$I$89,3,0)*VLOOKUP('Données projet'!$B$15,Paramètres!$A$1:$I$89,5,0)</f>
        <v>161.38525000000001</v>
      </c>
      <c r="EL50" s="13">
        <f t="shared" si="45"/>
        <v>41.154805478559268</v>
      </c>
      <c r="EM50" s="20">
        <f t="shared" si="19"/>
        <v>352.75726329182407</v>
      </c>
      <c r="EN50" s="59">
        <f t="shared" si="20"/>
        <v>646.09059662515733</v>
      </c>
      <c r="EO50" s="59">
        <f ca="1">AVERAGE(OFFSET($EN$3,0,0,'Données projet'!$E$15+1,1))-AVERAGE(OFFSET($H$3,0,0,'Données projet'!$E$15+1,1))</f>
        <v>258.46015871559956</v>
      </c>
      <c r="EP50" s="59">
        <f t="shared" si="46"/>
        <v>280.26155987300996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4.4364475215943475</v>
      </c>
      <c r="EW50" s="21">
        <f>EXP(-LN(2)/25)*EW49+(1-EXP(-LN(2)/25))/(LN(2)/25)*Calculateur!ER50*Calculateur!ET50*VLOOKUP('Données projet'!$B$15,Paramètres!$A$1:$I$89,3,0)*0.475*44/12</f>
        <v>7.6965085050125657</v>
      </c>
      <c r="EX50" s="21">
        <f>EXP(-LN(2)/2)*EX49+(1-EXP(-LN(2)/2))/(LN(2)/2)*ER50*EU50*VLOOKUP('Données projet'!$B$15,Paramètres!$A$1:$I$89,3,0)*0.475*44/12</f>
        <v>1.5041742210795725E-2</v>
      </c>
      <c r="EY50" s="22">
        <f t="shared" si="21"/>
        <v>12.147997768817708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7.7</v>
      </c>
      <c r="N51" s="13">
        <f>IF('Données projet'!$A$36&gt;35,N50+M51-V50,IF(A51&lt;'Données projet'!$A$36,$K$205^A51,IF(A51='Données projet'!$A$36,'Données projet'!$B$36,N50+M51-V50)))</f>
        <v>219.59999999999997</v>
      </c>
      <c r="O51" s="13">
        <f>N51*VLOOKUP('Données projet'!$B$9,Paramètres!$A$1:$I$89,3,0)*VLOOKUP('Données projet'!$B$9,Paramètres!$A$1:$I$89,5,0)</f>
        <v>191.84255999999999</v>
      </c>
      <c r="P51" s="13">
        <f t="shared" si="33"/>
        <v>47.947087613384845</v>
      </c>
      <c r="Q51" s="20">
        <f t="shared" si="53"/>
        <v>417.63363625997857</v>
      </c>
      <c r="R51" s="59">
        <f t="shared" si="0"/>
        <v>710.96696959331189</v>
      </c>
      <c r="S51" s="59">
        <f ca="1">AVERAGE(OFFSET($R$3,0,0,'Données projet'!$E$9+1,1))-AVERAGE(OFFSET($H$3,0,0,'Données projet'!$E$9+1,1))</f>
        <v>368.41876532159154</v>
      </c>
      <c r="T51" s="59">
        <f t="shared" si="34"/>
        <v>369.39570124551125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4.3116984416723776</v>
      </c>
      <c r="AA51" s="21">
        <f>EXP(-LN(2)/25)*AA50+(1-EXP(-LN(2)/25))/(LN(2)/25)*Calculateur!V51*Calculateur!X51*VLOOKUP('Données projet'!$B$9,Paramètres!$A$1:$I$89,3,0)*0.475*44/12</f>
        <v>9.8477280329936416</v>
      </c>
      <c r="AB51" s="21">
        <f>EXP(-LN(2)/2)*AB50+(1-EXP(-LN(2)/2))/(LN(2)/2)*V51*Y51*VLOOKUP('Données projet'!$B$9,Paramètres!$A$1:$I$89,3,0)*0.475*44/12</f>
        <v>3.4708282542861006E-2</v>
      </c>
      <c r="AC51" s="22">
        <f t="shared" si="3"/>
        <v>14.194134757208881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9.1999999999999993</v>
      </c>
      <c r="AI51" s="13">
        <f>IF('Données projet'!$A$62&gt;35,AI50+AH51-AQ50,IF(A51&lt;'Données projet'!$A$62,$AF$205^A51,IF(A51='Données projet'!$A$62,'Données projet'!$B$62,AI50+AH51-AQ50)))</f>
        <v>266.59999999999985</v>
      </c>
      <c r="AJ51" s="13">
        <f>AI51*VLOOKUP('Données projet'!$B$10,Paramètres!$A$1:$I$89,3,0)*VLOOKUP('Données projet'!$B$10,Paramètres!$A$1:$I$89,5,0)</f>
        <v>232.90175999999991</v>
      </c>
      <c r="AK51" s="13">
        <f t="shared" si="35"/>
        <v>56.909651332233828</v>
      </c>
      <c r="AL51" s="20">
        <f t="shared" si="4"/>
        <v>504.7548747369737</v>
      </c>
      <c r="AM51" s="59">
        <f t="shared" si="5"/>
        <v>798.08820807030702</v>
      </c>
      <c r="AN51" s="59">
        <f ca="1">AVERAGE(OFFSET($AM$3,0,0,'Données projet'!$E$10+1,1))-AVERAGE(OFFSET($H$3,0,0,'Données projet'!$E$10+1,1))</f>
        <v>402.82278346470082</v>
      </c>
      <c r="AO51" s="59">
        <f t="shared" si="36"/>
        <v>440.17787299198977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2.5085237607600068</v>
      </c>
      <c r="AV51" s="21">
        <f>EXP(-LN(2)/25)*AV50+(1-EXP(-LN(2)/25))/(LN(2)/25)*Calculateur!AQ51*Calculateur!AS51*VLOOKUP('Données projet'!$B$10,Paramètres!$A$1:$I$89,3,0)*0.475*44/12</f>
        <v>13.678711890813357</v>
      </c>
      <c r="AW51" s="21">
        <f>EXP(-LN(2)/2)*AW50+(1-EXP(-LN(2)/2))/(LN(2)/2)*AQ51*AT51*VLOOKUP('Données projet'!$B$10,Paramètres!$A$1:$I$89,3,0)*0.475*44/12</f>
        <v>5.155430139990845E-2</v>
      </c>
      <c r="AX51" s="21">
        <f t="shared" si="6"/>
        <v>16.238789952973271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11.2</v>
      </c>
      <c r="BD51" s="12">
        <f>IF('Données projet'!$A$88&gt;35,BD50+BC51-BL50,IF(A51&lt;'Données projet'!$A$88,$BA$205^A51,IF(A51='Données projet'!$A$88,'Données projet'!$B$88,BD50+BC51-BL50)))</f>
        <v>236.59999999999991</v>
      </c>
      <c r="BE51" s="13">
        <f>BD51*VLOOKUP('Données projet'!$B$11,Paramètres!$A$1:$I$89,3,0)*VLOOKUP('Données projet'!$B$11,Paramètres!$A$1:$I$89,5,0)</f>
        <v>214.07567999999992</v>
      </c>
      <c r="BF51" s="13">
        <f t="shared" si="37"/>
        <v>52.825225496078176</v>
      </c>
      <c r="BG51" s="20">
        <f t="shared" si="7"/>
        <v>464.85241040566939</v>
      </c>
      <c r="BH51" s="59">
        <f t="shared" si="8"/>
        <v>758.18574373900265</v>
      </c>
      <c r="BI51" s="59">
        <f ca="1">AVERAGE(OFFSET($BH$3,0,0,'Données projet'!$E$11+1,1))-AVERAGE(OFFSET($H$3,0,0,'Données projet'!$E$11+1,1))</f>
        <v>469.68830256438338</v>
      </c>
      <c r="BJ51" s="59">
        <f t="shared" si="38"/>
        <v>332.61387922152159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1.6863229809529534</v>
      </c>
      <c r="BQ51" s="21">
        <f>EXP(-LN(2)/25)*BQ50+(1-EXP(-LN(2)/25))/(LN(2)/25)*Calculateur!BL51*Calculateur!BN51*VLOOKUP('Données projet'!$B$11,Paramètres!$A$1:$I$89,3,0)*0.475*44/12</f>
        <v>6.8497701917286209</v>
      </c>
      <c r="BR51" s="21">
        <f>EXP(-LN(2)/2)*BR50+(1-EXP(-LN(2)/2))/(LN(2)/2)*BL51*BO51*VLOOKUP('Données projet'!$B$11,Paramètres!$A$1:$I$89,3,0)*0.475*44/12</f>
        <v>4.2096360886926962E-2</v>
      </c>
      <c r="BS51" s="22">
        <f t="shared" si="9"/>
        <v>8.5781895335685014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</v>
      </c>
      <c r="BY51" s="12">
        <f>IF('Données projet'!$A$114&gt;35,BY50+BX51-CG50,IF(A51&lt;'Données projet'!$A$114,$BV$205^A51,IF(A51='Données projet'!$A$114,'Données projet'!$B$114,BY50+BX51-CG50)))</f>
        <v>223.00000000000006</v>
      </c>
      <c r="BZ51" s="13">
        <f>BY51*VLOOKUP('Données projet'!$B$12,Paramètres!$A$1:$I$89,3,0)*VLOOKUP('Données projet'!$B$12,Paramètres!$A$1:$I$89,5,0)</f>
        <v>212.20680000000004</v>
      </c>
      <c r="CA51" s="13">
        <f t="shared" si="39"/>
        <v>52.417533229349679</v>
      </c>
      <c r="CB51" s="20">
        <f t="shared" si="10"/>
        <v>460.88738037445069</v>
      </c>
      <c r="CC51" s="59">
        <f t="shared" si="11"/>
        <v>754.22071370778394</v>
      </c>
      <c r="CD51" s="59">
        <f ca="1">AVERAGE(OFFSET($CC$3,0,0,'Données projet'!$E$12+1,1))-AVERAGE(OFFSET($H$3,0,0,'Données projet'!$E$12+1,1))</f>
        <v>609.40025883662452</v>
      </c>
      <c r="CE51" s="59">
        <f t="shared" si="40"/>
        <v>294.48909834404577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2.3934430448892718</v>
      </c>
      <c r="CM51" s="21">
        <f>EXP(-LN(2)/2)*CM50+(1-EXP(-LN(2)/2))/(LN(2)/2)*CG51*CJ51*VLOOKUP('Données projet'!$B$12,Paramètres!$A$1:$I$89,3,0)*0.475*44/12</f>
        <v>1.5344290731370657E-2</v>
      </c>
      <c r="CN51" s="22">
        <f t="shared" si="12"/>
        <v>2.4087873356206426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11.499999999999996</v>
      </c>
      <c r="CT51" s="12">
        <f>IF('Données projet'!$A$140&gt;35,CT50+CS51-DB50,IF(A51&lt;'Données projet'!$A$140,$CQ$205^A51,IF(A51='Données projet'!$A$140,'Données projet'!$B$140,CT50+CS51-DB50)))</f>
        <v>300.19999999999987</v>
      </c>
      <c r="CU51" s="17">
        <f>CT51*VLOOKUP('Données projet'!$B$13,Paramètres!$A$1:$I$89,3,0)*VLOOKUP('Données projet'!$B$13,Paramètres!$A$1:$I$89,5,0)</f>
        <v>140.49359999999993</v>
      </c>
      <c r="CV51" s="13">
        <f t="shared" si="41"/>
        <v>36.410059151057915</v>
      </c>
      <c r="CW51" s="20">
        <f t="shared" si="13"/>
        <v>308.10720635475906</v>
      </c>
      <c r="CX51" s="59">
        <f t="shared" si="14"/>
        <v>601.44053968809237</v>
      </c>
      <c r="CY51" s="59">
        <f ca="1">AVERAGE(OFFSET($CX$3,0,0,'Données projet'!$E$13+1,1))-AVERAGE(OFFSET($H$3,0,0,'Données projet'!$E$13+1,1))</f>
        <v>346.16623654404509</v>
      </c>
      <c r="CZ51" s="59">
        <f t="shared" si="42"/>
        <v>281.80933156559087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2.194644362970648</v>
      </c>
      <c r="DG51" s="21">
        <f>EXP(-LN(2)/25)*DG50+(1-EXP(-LN(2)/25))/(LN(2)/25)*Calculateur!DB51*Calculateur!DD51*VLOOKUP('Données projet'!$B$13,Paramètres!$A$1:$I$89,3,0)*0.475*44/12</f>
        <v>4.7690323165831092</v>
      </c>
      <c r="DH51" s="21">
        <f>EXP(-LN(2)/2)*DH50+(1-EXP(-LN(2)/2))/(LN(2)/2)*DB51*DE51*VLOOKUP('Données projet'!$B$13,Paramètres!$A$1:$I$89,3,0)*0.475*44/12</f>
        <v>1.9203469688078109E-2</v>
      </c>
      <c r="DI51" s="22">
        <f t="shared" si="15"/>
        <v>6.9828801492418346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</v>
      </c>
      <c r="DO51" s="12">
        <f>IF('Données projet'!$A$166&gt;35,DO50+DN51-DW50,IF(A51&lt;'Données projet'!$A$166,$DL$205^A51,IF(A51='Données projet'!$A$166,'Données projet'!$B$166,DO50+DN51-DW50)))</f>
        <v>301.00000000000017</v>
      </c>
      <c r="DP51" s="17">
        <f>DO51*VLOOKUP('Données projet'!$B$14,Paramètres!$A$1:$I$89,3,0)*VLOOKUP('Données projet'!$B$14,Paramètres!$A$1:$I$89,5,0)</f>
        <v>187.8240000000001</v>
      </c>
      <c r="DQ51" s="13">
        <f t="shared" si="43"/>
        <v>47.05854810918273</v>
      </c>
      <c r="DR51" s="20">
        <f t="shared" si="16"/>
        <v>409.08710462349342</v>
      </c>
      <c r="DS51" s="59">
        <f t="shared" si="17"/>
        <v>702.42043795682673</v>
      </c>
      <c r="DT51" s="59">
        <f ca="1">AVERAGE(OFFSET($DS$3,0,0,'Données projet'!$E$14+1,1))-AVERAGE(OFFSET($H$3,0,0,'Données projet'!$E$14+1,1))</f>
        <v>319.97171762304686</v>
      </c>
      <c r="DU51" s="59">
        <f t="shared" si="44"/>
        <v>337.89345858359621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4.8682940909628147</v>
      </c>
      <c r="EB51" s="21">
        <f>EXP(-LN(2)/25)*EB50+(1-EXP(-LN(2)/25))/(LN(2)/25)*Calculateur!DW51*Calculateur!DY51*VLOOKUP('Données projet'!$B$14,Paramètres!$A$1:$I$89,3,0)*0.475*44/12</f>
        <v>12.620286053391462</v>
      </c>
      <c r="EC51" s="21">
        <f>EXP(-LN(2)/2)*EC50+(1-EXP(-LN(2)/2))/(LN(2)/2)*DW51*DZ51*VLOOKUP('Données projet'!$B$14,Paramètres!$A$1:$I$89,3,0)*0.475*44/12</f>
        <v>3.9435186530693563E-2</v>
      </c>
      <c r="ED51" s="22">
        <f t="shared" si="18"/>
        <v>17.528015330884969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5.875</v>
      </c>
      <c r="EJ51" s="12">
        <f>IF('Données projet'!$A$192&gt;35,EJ50+EI51-ER50,IF(A51&lt;'Données projet'!$A$192,$EG$205^A51,IF(A51='Données projet'!$A$192,'Données projet'!$B$192,EJ50+EI51-ER50)))</f>
        <v>275.75</v>
      </c>
      <c r="EK51" s="17">
        <f>EJ51*VLOOKUP('Données projet'!$B$15,Paramètres!$A$1:$I$89,3,0)*VLOOKUP('Données projet'!$B$15,Paramètres!$A$1:$I$89,5,0)</f>
        <v>164.89850000000001</v>
      </c>
      <c r="EL51" s="13">
        <f t="shared" si="45"/>
        <v>41.94543913753872</v>
      </c>
      <c r="EM51" s="20">
        <f t="shared" si="19"/>
        <v>360.25319399788003</v>
      </c>
      <c r="EN51" s="59">
        <f t="shared" si="20"/>
        <v>653.58652733121335</v>
      </c>
      <c r="EO51" s="59">
        <f ca="1">AVERAGE(OFFSET($EN$3,0,0,'Données projet'!$E$15+1,1))-AVERAGE(OFFSET($H$3,0,0,'Données projet'!$E$15+1,1))</f>
        <v>258.46015871559956</v>
      </c>
      <c r="EP51" s="59">
        <f t="shared" si="46"/>
        <v>280.26155987300996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4.3494514916616787</v>
      </c>
      <c r="EW51" s="21">
        <f>EXP(-LN(2)/25)*EW50+(1-EXP(-LN(2)/25))/(LN(2)/25)*Calculateur!ER51*Calculateur!ET51*VLOOKUP('Données projet'!$B$15,Paramètres!$A$1:$I$89,3,0)*0.475*44/12</f>
        <v>7.4860470752012054</v>
      </c>
      <c r="EX51" s="21">
        <f>EXP(-LN(2)/2)*EX50+(1-EXP(-LN(2)/2))/(LN(2)/2)*ER51*EU51*VLOOKUP('Données projet'!$B$15,Paramètres!$A$1:$I$89,3,0)*0.475*44/12</f>
        <v>1.0636117918113589E-2</v>
      </c>
      <c r="EY51" s="22">
        <f t="shared" si="21"/>
        <v>11.846134684780999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7.7</v>
      </c>
      <c r="N52" s="13">
        <f>IF('Données projet'!$A$36&gt;35,N51+M52-V51,IF(A52&lt;'Données projet'!$A$36,$K$205^A52,IF(A52='Données projet'!$A$36,'Données projet'!$B$36,N51+M52-V51)))</f>
        <v>227.29999999999995</v>
      </c>
      <c r="O52" s="13">
        <f>N52*VLOOKUP('Données projet'!$B$9,Paramètres!$A$1:$I$89,3,0)*VLOOKUP('Données projet'!$B$9,Paramètres!$A$1:$I$89,5,0)</f>
        <v>198.56927999999999</v>
      </c>
      <c r="P52" s="13">
        <f t="shared" si="33"/>
        <v>49.42960751395352</v>
      </c>
      <c r="Q52" s="20">
        <f t="shared" si="53"/>
        <v>431.93139575346908</v>
      </c>
      <c r="R52" s="59">
        <f t="shared" si="0"/>
        <v>725.26472908680239</v>
      </c>
      <c r="S52" s="59">
        <f ca="1">AVERAGE(OFFSET($R$3,0,0,'Données projet'!$E$9+1,1))-AVERAGE(OFFSET($H$3,0,0,'Données projet'!$E$9+1,1))</f>
        <v>368.41876532159154</v>
      </c>
      <c r="T52" s="59">
        <f t="shared" si="34"/>
        <v>369.39570124551125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4.2271486651075527</v>
      </c>
      <c r="AA52" s="21">
        <f>EXP(-LN(2)/25)*AA51+(1-EXP(-LN(2)/25))/(LN(2)/25)*Calculateur!V52*Calculateur!X52*VLOOKUP('Données projet'!$B$9,Paramètres!$A$1:$I$89,3,0)*0.475*44/12</f>
        <v>9.5784413920619205</v>
      </c>
      <c r="AB52" s="21">
        <f>EXP(-LN(2)/2)*AB51+(1-EXP(-LN(2)/2))/(LN(2)/2)*V52*Y52*VLOOKUP('Données projet'!$B$9,Paramètres!$A$1:$I$89,3,0)*0.475*44/12</f>
        <v>2.4542461949395685E-2</v>
      </c>
      <c r="AC52" s="22">
        <f t="shared" si="3"/>
        <v>13.83013251911887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9.1999999999999993</v>
      </c>
      <c r="AI52" s="13">
        <f>IF('Données projet'!$A$62&gt;35,AI51+AH52-AQ51,IF(A52&lt;'Données projet'!$A$62,$AF$205^A52,IF(A52='Données projet'!$A$62,'Données projet'!$B$62,AI51+AH52-AQ51)))</f>
        <v>275.79999999999984</v>
      </c>
      <c r="AJ52" s="13">
        <f>AI52*VLOOKUP('Données projet'!$B$10,Paramètres!$A$1:$I$89,3,0)*VLOOKUP('Données projet'!$B$10,Paramètres!$A$1:$I$89,5,0)</f>
        <v>240.9388799999999</v>
      </c>
      <c r="AK52" s="13">
        <f t="shared" si="35"/>
        <v>58.641489162598013</v>
      </c>
      <c r="AL52" s="20">
        <f t="shared" si="4"/>
        <v>521.76914295819131</v>
      </c>
      <c r="AM52" s="59">
        <f t="shared" si="5"/>
        <v>815.10247629152468</v>
      </c>
      <c r="AN52" s="59">
        <f ca="1">AVERAGE(OFFSET($AM$3,0,0,'Données projet'!$E$10+1,1))-AVERAGE(OFFSET($H$3,0,0,'Données projet'!$E$10+1,1))</f>
        <v>402.82278346470082</v>
      </c>
      <c r="AO52" s="59">
        <f t="shared" si="36"/>
        <v>440.17787299198977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2.4593331398599174</v>
      </c>
      <c r="AV52" s="21">
        <f>EXP(-LN(2)/25)*AV51+(1-EXP(-LN(2)/25))/(LN(2)/25)*Calculateur!AQ52*Calculateur!AS52*VLOOKUP('Données projet'!$B$10,Paramètres!$A$1:$I$89,3,0)*0.475*44/12</f>
        <v>13.30466679482687</v>
      </c>
      <c r="AW52" s="21">
        <f>EXP(-LN(2)/2)*AW51+(1-EXP(-LN(2)/2))/(LN(2)/2)*AQ52*AT52*VLOOKUP('Données projet'!$B$10,Paramètres!$A$1:$I$89,3,0)*0.475*44/12</f>
        <v>3.6454396119210385E-2</v>
      </c>
      <c r="AX52" s="21">
        <f t="shared" si="6"/>
        <v>15.800454330805998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11.2</v>
      </c>
      <c r="BD52" s="12">
        <f>IF('Données projet'!$A$88&gt;35,BD51+BC52-BL51,IF(A52&lt;'Données projet'!$A$88,$BA$205^A52,IF(A52='Données projet'!$A$88,'Données projet'!$B$88,BD51+BC52-BL51)))</f>
        <v>247.7999999999999</v>
      </c>
      <c r="BE52" s="13">
        <f>BD52*VLOOKUP('Données projet'!$B$11,Paramètres!$A$1:$I$89,3,0)*VLOOKUP('Données projet'!$B$11,Paramètres!$A$1:$I$89,5,0)</f>
        <v>224.20943999999992</v>
      </c>
      <c r="BF52" s="13">
        <f t="shared" si="37"/>
        <v>55.028775065392324</v>
      </c>
      <c r="BG52" s="20">
        <f t="shared" si="7"/>
        <v>486.33989123889143</v>
      </c>
      <c r="BH52" s="59">
        <f t="shared" si="8"/>
        <v>779.67322457222474</v>
      </c>
      <c r="BI52" s="59">
        <f ca="1">AVERAGE(OFFSET($BH$3,0,0,'Données projet'!$E$11+1,1))-AVERAGE(OFFSET($H$3,0,0,'Données projet'!$E$11+1,1))</f>
        <v>469.68830256438338</v>
      </c>
      <c r="BJ52" s="59">
        <f t="shared" si="38"/>
        <v>332.61387922152159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1.6532552158519229</v>
      </c>
      <c r="BQ52" s="21">
        <f>EXP(-LN(2)/25)*BQ51+(1-EXP(-LN(2)/25))/(LN(2)/25)*Calculateur!BL52*Calculateur!BN52*VLOOKUP('Données projet'!$B$11,Paramètres!$A$1:$I$89,3,0)*0.475*44/12</f>
        <v>6.662462865622043</v>
      </c>
      <c r="BR52" s="21">
        <f>EXP(-LN(2)/2)*BR51+(1-EXP(-LN(2)/2))/(LN(2)/2)*BL52*BO52*VLOOKUP('Données projet'!$B$11,Paramètres!$A$1:$I$89,3,0)*0.475*44/12</f>
        <v>2.9766622246422202E-2</v>
      </c>
      <c r="BS52" s="22">
        <f t="shared" si="9"/>
        <v>8.3454847037203876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</v>
      </c>
      <c r="BY52" s="12">
        <f>IF('Données projet'!$A$114&gt;35,BY51+BX52-CG51,IF(A52&lt;'Données projet'!$A$114,$BV$205^A52,IF(A52='Données projet'!$A$114,'Données projet'!$B$114,BY51+BX52-CG51)))</f>
        <v>234.00000000000006</v>
      </c>
      <c r="BZ52" s="13">
        <f>BY52*VLOOKUP('Données projet'!$B$12,Paramètres!$A$1:$I$89,3,0)*VLOOKUP('Données projet'!$B$12,Paramètres!$A$1:$I$89,5,0)</f>
        <v>222.67440000000008</v>
      </c>
      <c r="CA52" s="13">
        <f t="shared" si="39"/>
        <v>54.695743948366477</v>
      </c>
      <c r="CB52" s="20">
        <f t="shared" si="10"/>
        <v>483.08633404340503</v>
      </c>
      <c r="CC52" s="59">
        <f t="shared" si="11"/>
        <v>776.41966737673829</v>
      </c>
      <c r="CD52" s="59">
        <f ca="1">AVERAGE(OFFSET($CC$3,0,0,'Données projet'!$E$12+1,1))-AVERAGE(OFFSET($H$3,0,0,'Données projet'!$E$12+1,1))</f>
        <v>609.40025883662452</v>
      </c>
      <c r="CE52" s="59">
        <f t="shared" si="40"/>
        <v>294.48909834404577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2.3279942189610754</v>
      </c>
      <c r="CM52" s="21">
        <f>EXP(-LN(2)/2)*CM51+(1-EXP(-LN(2)/2))/(LN(2)/2)*CG52*CJ52*VLOOKUP('Données projet'!$B$12,Paramètres!$A$1:$I$89,3,0)*0.475*44/12</f>
        <v>1.0850052028650081E-2</v>
      </c>
      <c r="CN52" s="22">
        <f t="shared" si="12"/>
        <v>2.3388442709897257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11.499999999999996</v>
      </c>
      <c r="CT52" s="12">
        <f>IF('Données projet'!$A$140&gt;35,CT51+CS52-DB51,IF(A52&lt;'Données projet'!$A$140,$CQ$205^A52,IF(A52='Données projet'!$A$140,'Données projet'!$B$140,CT51+CS52-DB51)))</f>
        <v>311.69999999999987</v>
      </c>
      <c r="CU52" s="17">
        <f>CT52*VLOOKUP('Données projet'!$B$13,Paramètres!$A$1:$I$89,3,0)*VLOOKUP('Données projet'!$B$13,Paramètres!$A$1:$I$89,5,0)</f>
        <v>145.87559999999993</v>
      </c>
      <c r="CV52" s="13">
        <f t="shared" si="41"/>
        <v>37.639785440563628</v>
      </c>
      <c r="CW52" s="20">
        <f t="shared" si="13"/>
        <v>319.62262964231485</v>
      </c>
      <c r="CX52" s="59">
        <f t="shared" si="14"/>
        <v>612.95596297564816</v>
      </c>
      <c r="CY52" s="59">
        <f ca="1">AVERAGE(OFFSET($CX$3,0,0,'Données projet'!$E$13+1,1))-AVERAGE(OFFSET($H$3,0,0,'Données projet'!$E$13+1,1))</f>
        <v>346.16623654404509</v>
      </c>
      <c r="CZ52" s="59">
        <f t="shared" si="42"/>
        <v>281.80933156559087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2.1516087256136793</v>
      </c>
      <c r="DG52" s="21">
        <f>EXP(-LN(2)/25)*DG51+(1-EXP(-LN(2)/25))/(LN(2)/25)*Calculateur!DB52*Calculateur!DD52*VLOOKUP('Données projet'!$B$13,Paramètres!$A$1:$I$89,3,0)*0.475*44/12</f>
        <v>4.638622877093634</v>
      </c>
      <c r="DH52" s="21">
        <f>EXP(-LN(2)/2)*DH51+(1-EXP(-LN(2)/2))/(LN(2)/2)*DB52*DE52*VLOOKUP('Données projet'!$B$13,Paramètres!$A$1:$I$89,3,0)*0.475*44/12</f>
        <v>1.3578903638750346E-2</v>
      </c>
      <c r="DI52" s="22">
        <f t="shared" si="15"/>
        <v>6.8038105063460641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</v>
      </c>
      <c r="DO52" s="12">
        <f>IF('Données projet'!$A$166&gt;35,DO51+DN52-DW51,IF(A52&lt;'Données projet'!$A$166,$DL$205^A52,IF(A52='Données projet'!$A$166,'Données projet'!$B$166,DO51+DN52-DW51)))</f>
        <v>312.00000000000017</v>
      </c>
      <c r="DP52" s="17">
        <f>DO52*VLOOKUP('Données projet'!$B$14,Paramètres!$A$1:$I$89,3,0)*VLOOKUP('Données projet'!$B$14,Paramètres!$A$1:$I$89,5,0)</f>
        <v>194.6880000000001</v>
      </c>
      <c r="DQ52" s="13">
        <f t="shared" si="43"/>
        <v>48.57492822891502</v>
      </c>
      <c r="DR52" s="20">
        <f t="shared" si="16"/>
        <v>423.68293333202706</v>
      </c>
      <c r="DS52" s="59">
        <f t="shared" si="17"/>
        <v>717.01626666536038</v>
      </c>
      <c r="DT52" s="59">
        <f ca="1">AVERAGE(OFFSET($DS$3,0,0,'Données projet'!$E$14+1,1))-AVERAGE(OFFSET($H$3,0,0,'Données projet'!$E$14+1,1))</f>
        <v>319.97171762304686</v>
      </c>
      <c r="DU52" s="59">
        <f t="shared" si="44"/>
        <v>337.89345858359621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4.7728298132052291</v>
      </c>
      <c r="EB52" s="21">
        <f>EXP(-LN(2)/25)*EB51+(1-EXP(-LN(2)/25))/(LN(2)/25)*Calculateur!DW52*Calculateur!DY52*VLOOKUP('Données projet'!$B$14,Paramètres!$A$1:$I$89,3,0)*0.475*44/12</f>
        <v>12.275183667589474</v>
      </c>
      <c r="EC52" s="21">
        <f>EXP(-LN(2)/2)*EC51+(1-EXP(-LN(2)/2))/(LN(2)/2)*DW52*DZ52*VLOOKUP('Données projet'!$B$14,Paramètres!$A$1:$I$89,3,0)*0.475*44/12</f>
        <v>2.7884887813209819E-2</v>
      </c>
      <c r="ED52" s="22">
        <f t="shared" si="18"/>
        <v>17.075898368607909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5.875</v>
      </c>
      <c r="EJ52" s="12">
        <f>IF('Données projet'!$A$192&gt;35,EJ51+EI52-ER51,IF(A52&lt;'Données projet'!$A$192,$EG$205^A52,IF(A52='Données projet'!$A$192,'Données projet'!$B$192,EJ51+EI52-ER51)))</f>
        <v>281.625</v>
      </c>
      <c r="EK52" s="17">
        <f>EJ52*VLOOKUP('Données projet'!$B$15,Paramètres!$A$1:$I$89,3,0)*VLOOKUP('Données projet'!$B$15,Paramètres!$A$1:$I$89,5,0)</f>
        <v>168.41175000000001</v>
      </c>
      <c r="EL52" s="13">
        <f t="shared" si="45"/>
        <v>42.73411432638013</v>
      </c>
      <c r="EM52" s="20">
        <f t="shared" si="19"/>
        <v>367.74571370177881</v>
      </c>
      <c r="EN52" s="59">
        <f t="shared" si="20"/>
        <v>661.07904703511213</v>
      </c>
      <c r="EO52" s="59">
        <f ca="1">AVERAGE(OFFSET($EN$3,0,0,'Données projet'!$E$15+1,1))-AVERAGE(OFFSET($H$3,0,0,'Données projet'!$E$15+1,1))</f>
        <v>258.46015871559956</v>
      </c>
      <c r="EP52" s="59">
        <f t="shared" si="46"/>
        <v>280.26155987300996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4.2641614008136504</v>
      </c>
      <c r="EW52" s="21">
        <f>EXP(-LN(2)/25)*EW51+(1-EXP(-LN(2)/25))/(LN(2)/25)*Calculateur!ER52*Calculateur!ET52*VLOOKUP('Données projet'!$B$15,Paramètres!$A$1:$I$89,3,0)*0.475*44/12</f>
        <v>7.2813407242557222</v>
      </c>
      <c r="EX52" s="21">
        <f>EXP(-LN(2)/2)*EX51+(1-EXP(-LN(2)/2))/(LN(2)/2)*ER52*EU52*VLOOKUP('Données projet'!$B$15,Paramètres!$A$1:$I$89,3,0)*0.475*44/12</f>
        <v>7.5208711053978633E-3</v>
      </c>
      <c r="EY52" s="22">
        <f t="shared" si="21"/>
        <v>11.55302299617477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235</v>
      </c>
      <c r="L53" s="12">
        <f>VLOOKUP(A53,'Données projet'!$A$35:$I$55,9,0)</f>
        <v>7.7</v>
      </c>
      <c r="M53" s="12">
        <f t="array" ref="M53">INDEX(L:L,MIN(IF(ISNUMBER(L53:L249),ROW(L53:L249),"")))</f>
        <v>7.7</v>
      </c>
      <c r="N53" s="13">
        <f>IF('Données projet'!$A$36&gt;35,N52+M53-V52,IF(A53&lt;'Données projet'!$A$36,$K$205^A53,IF(A53='Données projet'!$A$36,'Données projet'!$B$36,N52+M53-V52)))</f>
        <v>234.99999999999994</v>
      </c>
      <c r="O53" s="13">
        <f>N53*VLOOKUP('Données projet'!$B$9,Paramètres!$A$1:$I$89,3,0)*VLOOKUP('Données projet'!$B$9,Paramètres!$A$1:$I$89,5,0)</f>
        <v>205.29599999999999</v>
      </c>
      <c r="P53" s="13">
        <f t="shared" si="33"/>
        <v>50.906291934375353</v>
      </c>
      <c r="Q53" s="20">
        <f t="shared" si="53"/>
        <v>446.21899178570374</v>
      </c>
      <c r="R53" s="59">
        <f t="shared" si="0"/>
        <v>739.55232511903705</v>
      </c>
      <c r="S53" s="59">
        <f ca="1">AVERAGE(OFFSET($R$3,0,0,'Données projet'!$E$9+1,1))-AVERAGE(OFFSET($H$3,0,0,'Données projet'!$E$9+1,1))</f>
        <v>368.41876532159154</v>
      </c>
      <c r="T53" s="59">
        <f t="shared" si="34"/>
        <v>369.39570124551125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50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4.1442568580908929</v>
      </c>
      <c r="AA53" s="21">
        <f>EXP(-LN(2)/25)*AA52+(1-EXP(-LN(2)/25))/(LN(2)/25)*Calculateur!V53*Calculateur!X53*VLOOKUP('Données projet'!$B$9,Paramètres!$A$1:$I$89,3,0)*0.475*44/12</f>
        <v>9.3165184084876458</v>
      </c>
      <c r="AB53" s="21">
        <f>EXP(-LN(2)/2)*AB52+(1-EXP(-LN(2)/2))/(LN(2)/2)*V53*Y53*VLOOKUP('Données projet'!$B$9,Paramètres!$A$1:$I$89,3,0)*0.475*44/12</f>
        <v>1.7354141271430503E-2</v>
      </c>
      <c r="AC53" s="22">
        <f t="shared" si="3"/>
        <v>13.47812940784997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285</v>
      </c>
      <c r="AG53" s="12">
        <f>VLOOKUP(A53,'Données projet'!$A$61:$I$81,9,0)</f>
        <v>9.1999999999999993</v>
      </c>
      <c r="AH53" s="12">
        <f t="array" ref="AH53">INDEX(AG:AG,MIN(IF(ISNUMBER(AG53:AG249),ROW(AG53:AG249),"")))</f>
        <v>9.1999999999999993</v>
      </c>
      <c r="AI53" s="13">
        <f>IF('Données projet'!$A$62&gt;35,AI52+AH53-AQ52,IF(A53&lt;'Données projet'!$A$62,$AF$205^A53,IF(A53='Données projet'!$A$62,'Données projet'!$B$62,AI52+AH53-AQ52)))</f>
        <v>284.99999999999983</v>
      </c>
      <c r="AJ53" s="13">
        <f>AI53*VLOOKUP('Données projet'!$B$10,Paramètres!$A$1:$I$89,3,0)*VLOOKUP('Données projet'!$B$10,Paramètres!$A$1:$I$89,5,0)</f>
        <v>248.97599999999986</v>
      </c>
      <c r="AK53" s="13">
        <f t="shared" si="35"/>
        <v>60.366614312202735</v>
      </c>
      <c r="AL53" s="20">
        <f t="shared" si="4"/>
        <v>538.77171992708611</v>
      </c>
      <c r="AM53" s="59">
        <f t="shared" si="5"/>
        <v>832.10505326041948</v>
      </c>
      <c r="AN53" s="59">
        <f ca="1">AVERAGE(OFFSET($AM$3,0,0,'Données projet'!$E$10+1,1))-AVERAGE(OFFSET($H$3,0,0,'Données projet'!$E$10+1,1))</f>
        <v>402.82278346470082</v>
      </c>
      <c r="AO53" s="59">
        <f t="shared" si="36"/>
        <v>440.17787299198977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43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2.4111071170323628</v>
      </c>
      <c r="AV53" s="21">
        <f>EXP(-LN(2)/25)*AV52+(1-EXP(-LN(2)/25))/(LN(2)/25)*Calculateur!AQ53*Calculateur!AS53*VLOOKUP('Données projet'!$B$10,Paramètres!$A$1:$I$89,3,0)*0.475*44/12</f>
        <v>12.94084998166031</v>
      </c>
      <c r="AW53" s="21">
        <f>EXP(-LN(2)/2)*AW52+(1-EXP(-LN(2)/2))/(LN(2)/2)*AQ53*AT53*VLOOKUP('Données projet'!$B$10,Paramètres!$A$1:$I$89,3,0)*0.475*44/12</f>
        <v>2.5777150699954225E-2</v>
      </c>
      <c r="AX53" s="21">
        <f t="shared" si="6"/>
        <v>15.377734249392626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259</v>
      </c>
      <c r="BB53" s="12">
        <f>VLOOKUP(A53,'Données projet'!$A$87:$I$107,9,0)</f>
        <v>11.2</v>
      </c>
      <c r="BC53" s="12">
        <f t="array" ref="BC53">INDEX(BB:BB,MIN(IF(ISNUMBER(BB53:BB249),ROW(BB53:BB249),"")))</f>
        <v>11.2</v>
      </c>
      <c r="BD53" s="12">
        <f>IF('Données projet'!$A$88&gt;35,BD52+BC53-BL52,IF(A53&lt;'Données projet'!$A$88,$BA$205^A53,IF(A53='Données projet'!$A$88,'Données projet'!$B$88,BD52+BC53-BL52)))</f>
        <v>258.99999999999989</v>
      </c>
      <c r="BE53" s="13">
        <f>BD53*VLOOKUP('Données projet'!$B$11,Paramètres!$A$1:$I$89,3,0)*VLOOKUP('Données projet'!$B$11,Paramètres!$A$1:$I$89,5,0)</f>
        <v>234.34319999999988</v>
      </c>
      <c r="BF53" s="13">
        <f t="shared" si="37"/>
        <v>57.220758006491614</v>
      </c>
      <c r="BG53" s="20">
        <f t="shared" si="7"/>
        <v>507.80722686130594</v>
      </c>
      <c r="BH53" s="59">
        <f t="shared" si="8"/>
        <v>801.14056019463919</v>
      </c>
      <c r="BI53" s="59">
        <f ca="1">AVERAGE(OFFSET($BH$3,0,0,'Données projet'!$E$11+1,1))-AVERAGE(OFFSET($H$3,0,0,'Données projet'!$E$11+1,1))</f>
        <v>469.68830256438338</v>
      </c>
      <c r="BJ53" s="59">
        <f t="shared" si="38"/>
        <v>332.61387922152159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56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1.6208358894551784</v>
      </c>
      <c r="BQ53" s="21">
        <f>EXP(-LN(2)/25)*BQ52+(1-EXP(-LN(2)/25))/(LN(2)/25)*Calculateur!BL53*Calculateur!BN53*VLOOKUP('Données projet'!$B$11,Paramètres!$A$1:$I$89,3,0)*0.475*44/12</f>
        <v>6.4802774681979134</v>
      </c>
      <c r="BR53" s="21">
        <f>EXP(-LN(2)/2)*BR52+(1-EXP(-LN(2)/2))/(LN(2)/2)*BL53*BO53*VLOOKUP('Données projet'!$B$11,Paramètres!$A$1:$I$89,3,0)*0.475*44/12</f>
        <v>2.1048180443463484E-2</v>
      </c>
      <c r="BS53" s="22">
        <f t="shared" si="9"/>
        <v>8.1221615380965542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245</v>
      </c>
      <c r="BW53" s="12">
        <f>VLOOKUP(A53,'Données projet'!$A$113:$I$133,9,0)</f>
        <v>11</v>
      </c>
      <c r="BX53" s="12">
        <f t="array" ref="BX53">INDEX(BW:BW,MIN(IF(ISNUMBER(BW53:BW249),ROW(BW53:BW249),"")))</f>
        <v>11</v>
      </c>
      <c r="BY53" s="12">
        <f>IF('Données projet'!$A$114&gt;35,BY52+BX53-CG52,IF(A53&lt;'Données projet'!$A$114,$BV$205^A53,IF(A53='Données projet'!$A$114,'Données projet'!$B$114,BY52+BX53-CG52)))</f>
        <v>245.00000000000006</v>
      </c>
      <c r="BZ53" s="13">
        <f>BY53*VLOOKUP('Données projet'!$B$12,Paramètres!$A$1:$I$89,3,0)*VLOOKUP('Données projet'!$B$12,Paramètres!$A$1:$I$89,5,0)</f>
        <v>233.14200000000008</v>
      </c>
      <c r="CA53" s="13">
        <f t="shared" si="39"/>
        <v>56.961517972595153</v>
      </c>
      <c r="CB53" s="20">
        <f t="shared" si="10"/>
        <v>505.26362713560337</v>
      </c>
      <c r="CC53" s="59">
        <f t="shared" si="11"/>
        <v>798.59696046893669</v>
      </c>
      <c r="CD53" s="59">
        <f ca="1">AVERAGE(OFFSET($CC$3,0,0,'Données projet'!$E$12+1,1))-AVERAGE(OFFSET($H$3,0,0,'Données projet'!$E$12+1,1))</f>
        <v>609.40025883662452</v>
      </c>
      <c r="CE53" s="59">
        <f t="shared" si="40"/>
        <v>294.48909834404577</v>
      </c>
      <c r="CF53" s="15">
        <f>IF(ISNA(VLOOKUP(A53,'Données projet'!$A$113:$I$133,3,0)),0,VLOOKUP(A53,'Données projet'!$A$113:$I$133,3,0))</f>
        <v>3</v>
      </c>
      <c r="CG53" s="15">
        <f>IF(ISNA(VLOOKUP(A53,'Données projet'!$A$113:$I$133,4,0)),0,VLOOKUP(A53,'Données projet'!$A$113:$I$133,4,0))</f>
        <v>56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2.2643350946196894</v>
      </c>
      <c r="CM53" s="21">
        <f>EXP(-LN(2)/2)*CM52+(1-EXP(-LN(2)/2))/(LN(2)/2)*CG53*CJ53*VLOOKUP('Données projet'!$B$12,Paramètres!$A$1:$I$89,3,0)*0.475*44/12</f>
        <v>7.6721453656853292E-3</v>
      </c>
      <c r="CN53" s="22">
        <f t="shared" si="12"/>
        <v>2.2720072399853746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323.2</v>
      </c>
      <c r="CR53" s="12">
        <f>VLOOKUP(A53,'Données projet'!$A$139:$I$159,9,0)</f>
        <v>11.499999999999996</v>
      </c>
      <c r="CS53" s="12">
        <f t="array" ref="CS53">INDEX(CR:CR,MIN(IF(ISNUMBER(CR53:CR249),ROW(CR53:CR249),"")))</f>
        <v>11.499999999999996</v>
      </c>
      <c r="CT53" s="12">
        <f>IF('Données projet'!$A$140&gt;35,CT52+CS53-DB52,IF(A53&lt;'Données projet'!$A$140,$CQ$205^A53,IF(A53='Données projet'!$A$140,'Données projet'!$B$140,CT52+CS53-DB52)))</f>
        <v>323.19999999999987</v>
      </c>
      <c r="CU53" s="17">
        <f>CT53*VLOOKUP('Données projet'!$B$13,Paramètres!$A$1:$I$89,3,0)*VLOOKUP('Données projet'!$B$13,Paramètres!$A$1:$I$89,5,0)</f>
        <v>151.25759999999994</v>
      </c>
      <c r="CV53" s="13">
        <f t="shared" si="41"/>
        <v>38.864240713854024</v>
      </c>
      <c r="CW53" s="20">
        <f t="shared" si="13"/>
        <v>331.12887257662896</v>
      </c>
      <c r="CX53" s="59">
        <f t="shared" si="14"/>
        <v>624.46220590996222</v>
      </c>
      <c r="CY53" s="59">
        <f ca="1">AVERAGE(OFFSET($CX$3,0,0,'Données projet'!$E$13+1,1))-AVERAGE(OFFSET($H$3,0,0,'Données projet'!$E$13+1,1))</f>
        <v>346.16623654404509</v>
      </c>
      <c r="CZ53" s="59">
        <f t="shared" si="42"/>
        <v>281.80933156559087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83.4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2.1094169908561335</v>
      </c>
      <c r="DG53" s="21">
        <f>EXP(-LN(2)/25)*DG52+(1-EXP(-LN(2)/25))/(LN(2)/25)*Calculateur!DB53*Calculateur!DD53*VLOOKUP('Données projet'!$B$13,Paramètres!$A$1:$I$89,3,0)*0.475*44/12</f>
        <v>4.5117794905849333</v>
      </c>
      <c r="DH53" s="21">
        <f>EXP(-LN(2)/2)*DH52+(1-EXP(-LN(2)/2))/(LN(2)/2)*DB53*DE53*VLOOKUP('Données projet'!$B$13,Paramètres!$A$1:$I$89,3,0)*0.475*44/12</f>
        <v>9.6017348440390546E-3</v>
      </c>
      <c r="DI53" s="22">
        <f t="shared" si="15"/>
        <v>6.6307982162851058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323</v>
      </c>
      <c r="DM53" s="12">
        <f>VLOOKUP(A53,'Données projet'!$A$165:$I$185,9,0)</f>
        <v>11</v>
      </c>
      <c r="DN53" s="12">
        <f t="array" ref="DN53">INDEX(DM:DM,MIN(IF(ISNUMBER(DM53:DM249),ROW(DM53:DM249),"")))</f>
        <v>11</v>
      </c>
      <c r="DO53" s="12">
        <f>IF('Données projet'!$A$166&gt;35,DO52+DN53-DW52,IF(A53&lt;'Données projet'!$A$166,$DL$205^A53,IF(A53='Données projet'!$A$166,'Données projet'!$B$166,DO52+DN53-DW52)))</f>
        <v>323.00000000000017</v>
      </c>
      <c r="DP53" s="17">
        <f>DO53*VLOOKUP('Données projet'!$B$14,Paramètres!$A$1:$I$89,3,0)*VLOOKUP('Données projet'!$B$14,Paramètres!$A$1:$I$89,5,0)</f>
        <v>201.55200000000011</v>
      </c>
      <c r="DQ53" s="13">
        <f t="shared" si="43"/>
        <v>50.08509675021061</v>
      </c>
      <c r="DR53" s="20">
        <f t="shared" si="16"/>
        <v>438.26794350661703</v>
      </c>
      <c r="DS53" s="59">
        <f t="shared" si="17"/>
        <v>731.60127683995029</v>
      </c>
      <c r="DT53" s="59">
        <f ca="1">AVERAGE(OFFSET($DS$3,0,0,'Données projet'!$E$14+1,1))-AVERAGE(OFFSET($H$3,0,0,'Données projet'!$E$14+1,1))</f>
        <v>319.97171762304686</v>
      </c>
      <c r="DU53" s="59">
        <f t="shared" si="44"/>
        <v>337.89345858359621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60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4.6792375317070096</v>
      </c>
      <c r="EB53" s="21">
        <f>EXP(-LN(2)/25)*EB52+(1-EXP(-LN(2)/25))/(LN(2)/25)*Calculateur!DW53*Calculateur!DY53*VLOOKUP('Données projet'!$B$14,Paramètres!$A$1:$I$89,3,0)*0.475*44/12</f>
        <v>11.939518124675386</v>
      </c>
      <c r="EC53" s="21">
        <f>EXP(-LN(2)/2)*EC52+(1-EXP(-LN(2)/2))/(LN(2)/2)*DW53*DZ53*VLOOKUP('Données projet'!$B$14,Paramètres!$A$1:$I$89,3,0)*0.475*44/12</f>
        <v>1.9717593265346781E-2</v>
      </c>
      <c r="ED53" s="22">
        <f t="shared" si="18"/>
        <v>16.638473249647745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5.875</v>
      </c>
      <c r="EJ53" s="12">
        <f>IF('Données projet'!$A$192&gt;35,EJ52+EI53-ER52,IF(A53&lt;'Données projet'!$A$192,$EG$205^A53,IF(A53='Données projet'!$A$192,'Données projet'!$B$192,EJ52+EI53-ER52)))</f>
        <v>287.5</v>
      </c>
      <c r="EK53" s="17">
        <f>EJ53*VLOOKUP('Données projet'!$B$15,Paramètres!$A$1:$I$89,3,0)*VLOOKUP('Données projet'!$B$15,Paramètres!$A$1:$I$89,5,0)</f>
        <v>171.92500000000001</v>
      </c>
      <c r="EL53" s="13">
        <f t="shared" si="45"/>
        <v>43.520876607827979</v>
      </c>
      <c r="EM53" s="20">
        <f t="shared" si="19"/>
        <v>375.23490175863367</v>
      </c>
      <c r="EN53" s="59">
        <f t="shared" si="20"/>
        <v>668.56823509196693</v>
      </c>
      <c r="EO53" s="59">
        <f ca="1">AVERAGE(OFFSET($EN$3,0,0,'Données projet'!$E$15+1,1))-AVERAGE(OFFSET($H$3,0,0,'Données projet'!$E$15+1,1))</f>
        <v>258.46015871559956</v>
      </c>
      <c r="EP53" s="59">
        <f t="shared" si="46"/>
        <v>280.26155987300996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4.1805437966253338</v>
      </c>
      <c r="EW53" s="21">
        <f>EXP(-LN(2)/25)*EW52+(1-EXP(-LN(2)/25))/(LN(2)/25)*Calculateur!ER53*Calculateur!ET53*VLOOKUP('Données projet'!$B$15,Paramètres!$A$1:$I$89,3,0)*0.475*44/12</f>
        <v>7.0822320792418827</v>
      </c>
      <c r="EX53" s="21">
        <f>EXP(-LN(2)/2)*EX52+(1-EXP(-LN(2)/2))/(LN(2)/2)*ER53*EU53*VLOOKUP('Données projet'!$B$15,Paramètres!$A$1:$I$89,3,0)*0.475*44/12</f>
        <v>5.3180589590567954E-3</v>
      </c>
      <c r="EY53" s="22">
        <f t="shared" si="21"/>
        <v>11.268093934826274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6.3</v>
      </c>
      <c r="N54" s="13">
        <f>IF('Données projet'!$A$36&gt;35,N53+M54-V53,IF(A54&lt;'Données projet'!$A$36,$K$205^A54,IF(A54='Données projet'!$A$36,'Données projet'!$B$36,N53+M54-V53)))</f>
        <v>191.29999999999995</v>
      </c>
      <c r="O54" s="13">
        <f>N54*VLOOKUP('Données projet'!$B$9,Paramètres!$A$1:$I$89,3,0)*VLOOKUP('Données projet'!$B$9,Paramètres!$A$1:$I$89,5,0)</f>
        <v>167.11967999999999</v>
      </c>
      <c r="P54" s="13">
        <f t="shared" si="33"/>
        <v>42.444287553880571</v>
      </c>
      <c r="Q54" s="20">
        <f t="shared" si="53"/>
        <v>364.99057682300867</v>
      </c>
      <c r="R54" s="59">
        <f t="shared" si="0"/>
        <v>658.32391015634198</v>
      </c>
      <c r="S54" s="59">
        <f ca="1">AVERAGE(OFFSET($R$3,0,0,'Données projet'!$E$9+1,1))-AVERAGE(OFFSET($H$3,0,0,'Données projet'!$E$9+1,1))</f>
        <v>368.41876532159154</v>
      </c>
      <c r="T54" s="59">
        <f t="shared" si="34"/>
        <v>369.39570124551125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4.0629905088508194</v>
      </c>
      <c r="AA54" s="21">
        <f>EXP(-LN(2)/25)*AA53+(1-EXP(-LN(2)/25))/(LN(2)/25)*Calculateur!V54*Calculateur!X54*VLOOKUP('Données projet'!$B$9,Paramètres!$A$1:$I$89,3,0)*0.475*44/12</f>
        <v>9.0617577226731409</v>
      </c>
      <c r="AB54" s="21">
        <f>EXP(-LN(2)/2)*AB53+(1-EXP(-LN(2)/2))/(LN(2)/2)*V54*Y54*VLOOKUP('Données projet'!$B$9,Paramètres!$A$1:$I$89,3,0)*0.475*44/12</f>
        <v>1.2271230974697843E-2</v>
      </c>
      <c r="AC54" s="22">
        <f t="shared" si="3"/>
        <v>13.137019462498657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6.8</v>
      </c>
      <c r="AI54" s="13">
        <f>IF('Données projet'!$A$62&gt;35,AI53+AH54-AQ53,IF(A54&lt;'Données projet'!$A$62,$AF$205^A54,IF(A54='Données projet'!$A$62,'Données projet'!$B$62,AI53+AH54-AQ53)))</f>
        <v>248.79999999999984</v>
      </c>
      <c r="AJ54" s="13">
        <f>AI54*VLOOKUP('Données projet'!$B$10,Paramètres!$A$1:$I$89,3,0)*VLOOKUP('Données projet'!$B$10,Paramètres!$A$1:$I$89,5,0)</f>
        <v>217.35167999999987</v>
      </c>
      <c r="AK54" s="13">
        <f t="shared" si="35"/>
        <v>53.538881369907763</v>
      </c>
      <c r="AL54" s="20">
        <f t="shared" si="4"/>
        <v>471.80106105258915</v>
      </c>
      <c r="AM54" s="59">
        <f t="shared" si="5"/>
        <v>765.13439438592241</v>
      </c>
      <c r="AN54" s="59">
        <f ca="1">AVERAGE(OFFSET($AM$3,0,0,'Données projet'!$E$10+1,1))-AVERAGE(OFFSET($H$3,0,0,'Données projet'!$E$10+1,1))</f>
        <v>402.82278346470082</v>
      </c>
      <c r="AO54" s="59">
        <f t="shared" si="36"/>
        <v>440.17787299198977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2.3638267770974868</v>
      </c>
      <c r="AV54" s="21">
        <f>EXP(-LN(2)/25)*AV53+(1-EXP(-LN(2)/25))/(LN(2)/25)*Calculateur!AQ54*Calculateur!AS54*VLOOKUP('Données projet'!$B$10,Paramètres!$A$1:$I$89,3,0)*0.475*44/12</f>
        <v>12.586981758382086</v>
      </c>
      <c r="AW54" s="21">
        <f>EXP(-LN(2)/2)*AW53+(1-EXP(-LN(2)/2))/(LN(2)/2)*AQ54*AT54*VLOOKUP('Données projet'!$B$10,Paramètres!$A$1:$I$89,3,0)*0.475*44/12</f>
        <v>1.8227198059605192E-2</v>
      </c>
      <c r="AX54" s="21">
        <f t="shared" si="6"/>
        <v>14.969035733539178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9.8000000000000007</v>
      </c>
      <c r="BD54" s="12">
        <f>IF('Données projet'!$A$88&gt;35,BD53+BC54-BL53,IF(A54&lt;'Données projet'!$A$88,$BA$205^A54,IF(A54='Données projet'!$A$88,'Données projet'!$B$88,BD53+BC54-BL53)))</f>
        <v>212.7999999999999</v>
      </c>
      <c r="BE54" s="13">
        <f>BD54*VLOOKUP('Données projet'!$B$11,Paramètres!$A$1:$I$89,3,0)*VLOOKUP('Données projet'!$B$11,Paramètres!$A$1:$I$89,5,0)</f>
        <v>192.54143999999991</v>
      </c>
      <c r="BF54" s="13">
        <f t="shared" si="37"/>
        <v>48.101393902059698</v>
      </c>
      <c r="BG54" s="20">
        <f t="shared" si="7"/>
        <v>419.11960237942048</v>
      </c>
      <c r="BH54" s="59">
        <f t="shared" si="8"/>
        <v>712.45293571275374</v>
      </c>
      <c r="BI54" s="59">
        <f ca="1">AVERAGE(OFFSET($BH$3,0,0,'Données projet'!$E$11+1,1))-AVERAGE(OFFSET($H$3,0,0,'Données projet'!$E$11+1,1))</f>
        <v>469.68830256438338</v>
      </c>
      <c r="BJ54" s="59">
        <f t="shared" si="38"/>
        <v>332.61387922152159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1.5890522862752376</v>
      </c>
      <c r="BQ54" s="21">
        <f>EXP(-LN(2)/25)*BQ53+(1-EXP(-LN(2)/25))/(LN(2)/25)*Calculateur!BL54*Calculateur!BN54*VLOOKUP('Données projet'!$B$11,Paramètres!$A$1:$I$89,3,0)*0.475*44/12</f>
        <v>6.3030739400470601</v>
      </c>
      <c r="BR54" s="21">
        <f>EXP(-LN(2)/2)*BR53+(1-EXP(-LN(2)/2))/(LN(2)/2)*BL54*BO54*VLOOKUP('Données projet'!$B$11,Paramètres!$A$1:$I$89,3,0)*0.475*44/12</f>
        <v>1.4883311123211104E-2</v>
      </c>
      <c r="BS54" s="22">
        <f t="shared" si="9"/>
        <v>7.9070095374455089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10.9</v>
      </c>
      <c r="BY54" s="12">
        <f>IF('Données projet'!$A$114&gt;35,BY53+BX54-CG53,IF(A54&lt;'Données projet'!$A$114,$BV$205^A54,IF(A54='Données projet'!$A$114,'Données projet'!$B$114,BY53+BX54-CG53)))</f>
        <v>199.90000000000006</v>
      </c>
      <c r="BZ54" s="13">
        <f>BY54*VLOOKUP('Données projet'!$B$12,Paramètres!$A$1:$I$89,3,0)*VLOOKUP('Données projet'!$B$12,Paramètres!$A$1:$I$89,5,0)</f>
        <v>190.22484000000006</v>
      </c>
      <c r="CA54" s="13">
        <f t="shared" si="39"/>
        <v>47.589658360852667</v>
      </c>
      <c r="CB54" s="20">
        <f t="shared" si="10"/>
        <v>414.19358464515182</v>
      </c>
      <c r="CC54" s="59">
        <f t="shared" si="11"/>
        <v>707.52691797848513</v>
      </c>
      <c r="CD54" s="59">
        <f ca="1">AVERAGE(OFFSET($CC$3,0,0,'Données projet'!$E$12+1,1))-AVERAGE(OFFSET($H$3,0,0,'Données projet'!$E$12+1,1))</f>
        <v>609.40025883662452</v>
      </c>
      <c r="CE54" s="59">
        <f t="shared" si="40"/>
        <v>294.48909834404577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2.2024167323811064</v>
      </c>
      <c r="CM54" s="21">
        <f>EXP(-LN(2)/2)*CM53+(1-EXP(-LN(2)/2))/(LN(2)/2)*CG54*CJ54*VLOOKUP('Données projet'!$B$12,Paramètres!$A$1:$I$89,3,0)*0.475*44/12</f>
        <v>5.4250260143250415E-3</v>
      </c>
      <c r="CN54" s="22">
        <f t="shared" si="12"/>
        <v>2.2078417583954315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13.499999999999996</v>
      </c>
      <c r="CT54" s="12">
        <f>IF('Données projet'!$A$140&gt;35,CT53+CS54-DB53,IF(A54&lt;'Données projet'!$A$140,$CQ$205^A54,IF(A54='Données projet'!$A$140,'Données projet'!$B$140,CT53+CS54-DB53)))</f>
        <v>253.29999999999987</v>
      </c>
      <c r="CU54" s="17">
        <f>CT54*VLOOKUP('Données projet'!$B$13,Paramètres!$A$1:$I$89,3,0)*VLOOKUP('Données projet'!$B$13,Paramètres!$A$1:$I$89,5,0)</f>
        <v>118.54439999999994</v>
      </c>
      <c r="CV54" s="13">
        <f t="shared" si="41"/>
        <v>31.3352637371359</v>
      </c>
      <c r="CW54" s="20">
        <f t="shared" si="13"/>
        <v>261.04041434217822</v>
      </c>
      <c r="CX54" s="59">
        <f t="shared" si="14"/>
        <v>554.37374767551159</v>
      </c>
      <c r="CY54" s="59">
        <f ca="1">AVERAGE(OFFSET($CX$3,0,0,'Données projet'!$E$13+1,1))-AVERAGE(OFFSET($H$3,0,0,'Données projet'!$E$13+1,1))</f>
        <v>346.16623654404509</v>
      </c>
      <c r="CZ54" s="59">
        <f t="shared" si="42"/>
        <v>281.80933156559087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2.0680526102827663</v>
      </c>
      <c r="DG54" s="21">
        <f>EXP(-LN(2)/25)*DG53+(1-EXP(-LN(2)/25))/(LN(2)/25)*Calculateur!DB54*Calculateur!DD54*VLOOKUP('Données projet'!$B$13,Paramètres!$A$1:$I$89,3,0)*0.475*44/12</f>
        <v>4.3884046431507171</v>
      </c>
      <c r="DH54" s="21">
        <f>EXP(-LN(2)/2)*DH53+(1-EXP(-LN(2)/2))/(LN(2)/2)*DB54*DE54*VLOOKUP('Données projet'!$B$13,Paramètres!$A$1:$I$89,3,0)*0.475*44/12</f>
        <v>6.7894518193751729E-3</v>
      </c>
      <c r="DI54" s="22">
        <f t="shared" si="15"/>
        <v>6.4632467052528586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8.8000000000000007</v>
      </c>
      <c r="DO54" s="12">
        <f>IF('Données projet'!$A$166&gt;35,DO53+DN54-DW53,IF(A54&lt;'Données projet'!$A$166,$DL$205^A54,IF(A54='Données projet'!$A$166,'Données projet'!$B$166,DO53+DN54-DW53)))</f>
        <v>271.80000000000018</v>
      </c>
      <c r="DP54" s="17">
        <f>DO54*VLOOKUP('Données projet'!$B$14,Paramètres!$A$1:$I$89,3,0)*VLOOKUP('Données projet'!$B$14,Paramètres!$A$1:$I$89,5,0)</f>
        <v>169.60320000000013</v>
      </c>
      <c r="DQ54" s="13">
        <f t="shared" si="43"/>
        <v>43.001141502019024</v>
      </c>
      <c r="DR54" s="20">
        <f t="shared" si="16"/>
        <v>370.28589478268333</v>
      </c>
      <c r="DS54" s="59">
        <f t="shared" si="17"/>
        <v>663.61922811601664</v>
      </c>
      <c r="DT54" s="59">
        <f ca="1">AVERAGE(OFFSET($DS$3,0,0,'Données projet'!$E$14+1,1))-AVERAGE(OFFSET($H$3,0,0,'Données projet'!$E$14+1,1))</f>
        <v>319.97171762304686</v>
      </c>
      <c r="DU54" s="59">
        <f t="shared" si="44"/>
        <v>337.89345858359621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4.587480537763315</v>
      </c>
      <c r="EB54" s="21">
        <f>EXP(-LN(2)/25)*EB53+(1-EXP(-LN(2)/25))/(LN(2)/25)*Calculateur!DW54*Calculateur!DY54*VLOOKUP('Données projet'!$B$14,Paramètres!$A$1:$I$89,3,0)*0.475*44/12</f>
        <v>11.613031373684167</v>
      </c>
      <c r="EC54" s="21">
        <f>EXP(-LN(2)/2)*EC53+(1-EXP(-LN(2)/2))/(LN(2)/2)*DW54*DZ54*VLOOKUP('Données projet'!$B$14,Paramètres!$A$1:$I$89,3,0)*0.475*44/12</f>
        <v>1.394244390660491E-2</v>
      </c>
      <c r="ED54" s="22">
        <f t="shared" si="18"/>
        <v>16.214454355354086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5.875</v>
      </c>
      <c r="EJ54" s="12">
        <f>IF('Données projet'!$A$192&gt;35,EJ53+EI54-ER53,IF(A54&lt;'Données projet'!$A$192,$EG$205^A54,IF(A54='Données projet'!$A$192,'Données projet'!$B$192,EJ53+EI54-ER53)))</f>
        <v>293.375</v>
      </c>
      <c r="EK54" s="17">
        <f>EJ54*VLOOKUP('Données projet'!$B$15,Paramètres!$A$1:$I$89,3,0)*VLOOKUP('Données projet'!$B$15,Paramètres!$A$1:$I$89,5,0)</f>
        <v>175.43825000000004</v>
      </c>
      <c r="EL54" s="13">
        <f t="shared" si="45"/>
        <v>44.305769576051844</v>
      </c>
      <c r="EM54" s="20">
        <f t="shared" si="19"/>
        <v>382.72083409495696</v>
      </c>
      <c r="EN54" s="59">
        <f t="shared" si="20"/>
        <v>676.05416742829027</v>
      </c>
      <c r="EO54" s="59">
        <f ca="1">AVERAGE(OFFSET($EN$3,0,0,'Données projet'!$E$15+1,1))-AVERAGE(OFFSET($H$3,0,0,'Données projet'!$E$15+1,1))</f>
        <v>258.46015871559956</v>
      </c>
      <c r="EP54" s="59">
        <f t="shared" si="46"/>
        <v>280.26155987300996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4.098565882653447</v>
      </c>
      <c r="EW54" s="21">
        <f>EXP(-LN(2)/25)*EW53+(1-EXP(-LN(2)/25))/(LN(2)/25)*Calculateur!ER54*Calculateur!ET54*VLOOKUP('Données projet'!$B$15,Paramètres!$A$1:$I$89,3,0)*0.475*44/12</f>
        <v>6.888568070596615</v>
      </c>
      <c r="EX54" s="21">
        <f>EXP(-LN(2)/2)*EX53+(1-EXP(-LN(2)/2))/(LN(2)/2)*ER54*EU54*VLOOKUP('Données projet'!$B$15,Paramètres!$A$1:$I$89,3,0)*0.475*44/12</f>
        <v>3.7604355526989325E-3</v>
      </c>
      <c r="EY54" s="22">
        <f t="shared" si="21"/>
        <v>10.990894388802761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6.3</v>
      </c>
      <c r="N55" s="13">
        <f>IF('Données projet'!$A$36&gt;35,N54+M55-V54,IF(A55&lt;'Données projet'!$A$36,$K$205^A55,IF(A55='Données projet'!$A$36,'Données projet'!$B$36,N54+M55-V54)))</f>
        <v>197.59999999999997</v>
      </c>
      <c r="O55" s="13">
        <f>N55*VLOOKUP('Données projet'!$B$9,Paramètres!$A$1:$I$89,3,0)*VLOOKUP('Données projet'!$B$9,Paramètres!$A$1:$I$89,5,0)</f>
        <v>172.62335999999999</v>
      </c>
      <c r="P55" s="13">
        <f t="shared" si="33"/>
        <v>43.67704427998607</v>
      </c>
      <c r="Q55" s="20">
        <f t="shared" si="53"/>
        <v>376.72320412097571</v>
      </c>
      <c r="R55" s="59">
        <f t="shared" si="0"/>
        <v>670.05653745430902</v>
      </c>
      <c r="S55" s="59">
        <f ca="1">AVERAGE(OFFSET($R$3,0,0,'Données projet'!$E$9+1,1))-AVERAGE(OFFSET($H$3,0,0,'Données projet'!$E$9+1,1))</f>
        <v>368.41876532159154</v>
      </c>
      <c r="T55" s="59">
        <f t="shared" si="34"/>
        <v>369.39570124551125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3.9833177431517655</v>
      </c>
      <c r="AA55" s="21">
        <f>EXP(-LN(2)/25)*AA54+(1-EXP(-LN(2)/25))/(LN(2)/25)*Calculateur!V55*Calculateur!X55*VLOOKUP('Données projet'!$B$9,Paramètres!$A$1:$I$89,3,0)*0.475*44/12</f>
        <v>8.813963481209516</v>
      </c>
      <c r="AB55" s="21">
        <f>EXP(-LN(2)/2)*AB54+(1-EXP(-LN(2)/2))/(LN(2)/2)*V55*Y55*VLOOKUP('Données projet'!$B$9,Paramètres!$A$1:$I$89,3,0)*0.475*44/12</f>
        <v>8.6770706357152515E-3</v>
      </c>
      <c r="AC55" s="22">
        <f t="shared" si="3"/>
        <v>12.805958294996996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6.8</v>
      </c>
      <c r="AI55" s="13">
        <f>IF('Données projet'!$A$62&gt;35,AI54+AH55-AQ54,IF(A55&lt;'Données projet'!$A$62,$AF$205^A55,IF(A55='Données projet'!$A$62,'Données projet'!$B$62,AI54+AH55-AQ54)))</f>
        <v>255.59999999999985</v>
      </c>
      <c r="AJ55" s="13">
        <f>AI55*VLOOKUP('Données projet'!$B$10,Paramètres!$A$1:$I$89,3,0)*VLOOKUP('Données projet'!$B$10,Paramètres!$A$1:$I$89,5,0)</f>
        <v>223.29215999999991</v>
      </c>
      <c r="AK55" s="13">
        <f t="shared" si="35"/>
        <v>54.829800696006721</v>
      </c>
      <c r="AL55" s="20">
        <f t="shared" si="4"/>
        <v>484.39574821221157</v>
      </c>
      <c r="AM55" s="59">
        <f t="shared" si="5"/>
        <v>777.72908154554489</v>
      </c>
      <c r="AN55" s="59">
        <f ca="1">AVERAGE(OFFSET($AM$3,0,0,'Données projet'!$E$10+1,1))-AVERAGE(OFFSET($H$3,0,0,'Données projet'!$E$10+1,1))</f>
        <v>402.82278346470082</v>
      </c>
      <c r="AO55" s="59">
        <f t="shared" si="36"/>
        <v>440.17787299198977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2.317473575790574</v>
      </c>
      <c r="AV55" s="21">
        <f>EXP(-LN(2)/25)*AV54+(1-EXP(-LN(2)/25))/(LN(2)/25)*Calculateur!AQ55*Calculateur!AS55*VLOOKUP('Données projet'!$B$10,Paramètres!$A$1:$I$89,3,0)*0.475*44/12</f>
        <v>12.242790080278525</v>
      </c>
      <c r="AW55" s="21">
        <f>EXP(-LN(2)/2)*AW54+(1-EXP(-LN(2)/2))/(LN(2)/2)*AQ55*AT55*VLOOKUP('Données projet'!$B$10,Paramètres!$A$1:$I$89,3,0)*0.475*44/12</f>
        <v>1.2888575349977113E-2</v>
      </c>
      <c r="AX55" s="21">
        <f t="shared" si="6"/>
        <v>14.573152231419076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9.8000000000000007</v>
      </c>
      <c r="BD55" s="12">
        <f>IF('Données projet'!$A$88&gt;35,BD54+BC55-BL54,IF(A55&lt;'Données projet'!$A$88,$BA$205^A55,IF(A55='Données projet'!$A$88,'Données projet'!$B$88,BD54+BC55-BL54)))</f>
        <v>222.59999999999991</v>
      </c>
      <c r="BE55" s="13">
        <f>BD55*VLOOKUP('Données projet'!$B$11,Paramètres!$A$1:$I$89,3,0)*VLOOKUP('Données projet'!$B$11,Paramètres!$A$1:$I$89,5,0)</f>
        <v>201.40847999999991</v>
      </c>
      <c r="BF55" s="13">
        <f t="shared" si="37"/>
        <v>50.053582459229212</v>
      </c>
      <c r="BG55" s="20">
        <f t="shared" si="7"/>
        <v>437.96309211649071</v>
      </c>
      <c r="BH55" s="59">
        <f t="shared" si="8"/>
        <v>731.29642544982403</v>
      </c>
      <c r="BI55" s="59">
        <f ca="1">AVERAGE(OFFSET($BH$3,0,0,'Données projet'!$E$11+1,1))-AVERAGE(OFFSET($H$3,0,0,'Données projet'!$E$11+1,1))</f>
        <v>469.68830256438338</v>
      </c>
      <c r="BJ55" s="59">
        <f t="shared" si="38"/>
        <v>332.61387922152159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1.5578919401675717</v>
      </c>
      <c r="BQ55" s="21">
        <f>EXP(-LN(2)/25)*BQ54+(1-EXP(-LN(2)/25))/(LN(2)/25)*Calculateur!BL55*Calculateur!BN55*VLOOKUP('Données projet'!$B$11,Paramètres!$A$1:$I$89,3,0)*0.475*44/12</f>
        <v>6.1307160516922208</v>
      </c>
      <c r="BR55" s="21">
        <f>EXP(-LN(2)/2)*BR54+(1-EXP(-LN(2)/2))/(LN(2)/2)*BL55*BO55*VLOOKUP('Données projet'!$B$11,Paramètres!$A$1:$I$89,3,0)*0.475*44/12</f>
        <v>1.0524090221731744E-2</v>
      </c>
      <c r="BS55" s="22">
        <f t="shared" si="9"/>
        <v>7.6991320820815243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10.9</v>
      </c>
      <c r="BY55" s="12">
        <f>IF('Données projet'!$A$114&gt;35,BY54+BX55-CG54,IF(A55&lt;'Données projet'!$A$114,$BV$205^A55,IF(A55='Données projet'!$A$114,'Données projet'!$B$114,BY54+BX55-CG54)))</f>
        <v>210.80000000000007</v>
      </c>
      <c r="BZ55" s="13">
        <f>BY55*VLOOKUP('Données projet'!$B$12,Paramètres!$A$1:$I$89,3,0)*VLOOKUP('Données projet'!$B$12,Paramètres!$A$1:$I$89,5,0)</f>
        <v>200.5972800000001</v>
      </c>
      <c r="CA55" s="13">
        <f t="shared" si="39"/>
        <v>49.875409002023019</v>
      </c>
      <c r="CB55" s="20">
        <f t="shared" si="10"/>
        <v>436.23993334519031</v>
      </c>
      <c r="CC55" s="59">
        <f t="shared" si="11"/>
        <v>729.57326667852362</v>
      </c>
      <c r="CD55" s="59">
        <f ca="1">AVERAGE(OFFSET($CC$3,0,0,'Données projet'!$E$12+1,1))-AVERAGE(OFFSET($H$3,0,0,'Données projet'!$E$12+1,1))</f>
        <v>609.40025883662452</v>
      </c>
      <c r="CE55" s="59">
        <f t="shared" si="40"/>
        <v>294.48909834404577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2.1421915310140829</v>
      </c>
      <c r="CM55" s="21">
        <f>EXP(-LN(2)/2)*CM54+(1-EXP(-LN(2)/2))/(LN(2)/2)*CG55*CJ55*VLOOKUP('Données projet'!$B$12,Paramètres!$A$1:$I$89,3,0)*0.475*44/12</f>
        <v>3.8360726828426655E-3</v>
      </c>
      <c r="CN55" s="22">
        <f t="shared" si="12"/>
        <v>2.1460276036969255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13.499999999999996</v>
      </c>
      <c r="CT55" s="12">
        <f>IF('Données projet'!$A$140&gt;35,CT54+CS55-DB54,IF(A55&lt;'Données projet'!$A$140,$CQ$205^A55,IF(A55='Données projet'!$A$140,'Données projet'!$B$140,CT54+CS55-DB54)))</f>
        <v>266.79999999999984</v>
      </c>
      <c r="CU55" s="17">
        <f>CT55*VLOOKUP('Données projet'!$B$13,Paramètres!$A$1:$I$89,3,0)*VLOOKUP('Données projet'!$B$13,Paramètres!$A$1:$I$89,5,0)</f>
        <v>124.86239999999994</v>
      </c>
      <c r="CV55" s="13">
        <f t="shared" si="41"/>
        <v>32.80643928056157</v>
      </c>
      <c r="CW55" s="20">
        <f t="shared" si="13"/>
        <v>274.60656174697795</v>
      </c>
      <c r="CX55" s="59">
        <f t="shared" si="14"/>
        <v>567.93989508031132</v>
      </c>
      <c r="CY55" s="59">
        <f ca="1">AVERAGE(OFFSET($CX$3,0,0,'Données projet'!$E$13+1,1))-AVERAGE(OFFSET($H$3,0,0,'Données projet'!$E$13+1,1))</f>
        <v>346.16623654404509</v>
      </c>
      <c r="CZ55" s="59">
        <f t="shared" si="42"/>
        <v>281.80933156559087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2.0274993599826621</v>
      </c>
      <c r="DG55" s="21">
        <f>EXP(-LN(2)/25)*DG54+(1-EXP(-LN(2)/25))/(LN(2)/25)*Calculateur!DB55*Calculateur!DD55*VLOOKUP('Données projet'!$B$13,Paramètres!$A$1:$I$89,3,0)*0.475*44/12</f>
        <v>4.26840348740759</v>
      </c>
      <c r="DH55" s="21">
        <f>EXP(-LN(2)/2)*DH54+(1-EXP(-LN(2)/2))/(LN(2)/2)*DB55*DE55*VLOOKUP('Données projet'!$B$13,Paramètres!$A$1:$I$89,3,0)*0.475*44/12</f>
        <v>4.8008674220195273E-3</v>
      </c>
      <c r="DI55" s="22">
        <f t="shared" si="15"/>
        <v>6.300703714812272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8.8000000000000007</v>
      </c>
      <c r="DO55" s="12">
        <f>IF('Données projet'!$A$166&gt;35,DO54+DN55-DW54,IF(A55&lt;'Données projet'!$A$166,$DL$205^A55,IF(A55='Données projet'!$A$166,'Données projet'!$B$166,DO54+DN55-DW54)))</f>
        <v>280.60000000000019</v>
      </c>
      <c r="DP55" s="17">
        <f>DO55*VLOOKUP('Données projet'!$B$14,Paramètres!$A$1:$I$89,3,0)*VLOOKUP('Données projet'!$B$14,Paramètres!$A$1:$I$89,5,0)</f>
        <v>175.09440000000015</v>
      </c>
      <c r="DQ55" s="13">
        <f t="shared" si="43"/>
        <v>44.229031605991956</v>
      </c>
      <c r="DR55" s="20">
        <f t="shared" si="16"/>
        <v>381.98831004710291</v>
      </c>
      <c r="DS55" s="59">
        <f t="shared" si="17"/>
        <v>675.32164338043617</v>
      </c>
      <c r="DT55" s="59">
        <f ca="1">AVERAGE(OFFSET($DS$3,0,0,'Données projet'!$E$14+1,1))-AVERAGE(OFFSET($H$3,0,0,'Données projet'!$E$14+1,1))</f>
        <v>319.97171762304686</v>
      </c>
      <c r="DU55" s="59">
        <f t="shared" si="44"/>
        <v>337.89345858359621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4.4975228425046163</v>
      </c>
      <c r="EB55" s="21">
        <f>EXP(-LN(2)/25)*EB54+(1-EXP(-LN(2)/25))/(LN(2)/25)*Calculateur!DW55*Calculateur!DY55*VLOOKUP('Données projet'!$B$14,Paramètres!$A$1:$I$89,3,0)*0.475*44/12</f>
        <v>11.295472420067997</v>
      </c>
      <c r="EC55" s="21">
        <f>EXP(-LN(2)/2)*EC54+(1-EXP(-LN(2)/2))/(LN(2)/2)*DW55*DZ55*VLOOKUP('Données projet'!$B$14,Paramètres!$A$1:$I$89,3,0)*0.475*44/12</f>
        <v>9.8587966326733906E-3</v>
      </c>
      <c r="ED55" s="22">
        <f t="shared" si="18"/>
        <v>15.802854059205288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5.875</v>
      </c>
      <c r="EJ55" s="12">
        <f>IF('Données projet'!$A$192&gt;35,EJ54+EI55-ER54,IF(A55&lt;'Données projet'!$A$192,$EG$205^A55,IF(A55='Données projet'!$A$192,'Données projet'!$B$192,EJ54+EI55-ER54)))</f>
        <v>299.25</v>
      </c>
      <c r="EK55" s="17">
        <f>EJ55*VLOOKUP('Données projet'!$B$15,Paramètres!$A$1:$I$89,3,0)*VLOOKUP('Données projet'!$B$15,Paramètres!$A$1:$I$89,5,0)</f>
        <v>178.95150000000001</v>
      </c>
      <c r="EL55" s="13">
        <f t="shared" si="45"/>
        <v>45.088834979390157</v>
      </c>
      <c r="EM55" s="20">
        <f t="shared" si="19"/>
        <v>390.20358342243782</v>
      </c>
      <c r="EN55" s="59">
        <f t="shared" si="20"/>
        <v>683.53691675577113</v>
      </c>
      <c r="EO55" s="59">
        <f ca="1">AVERAGE(OFFSET($EN$3,0,0,'Données projet'!$E$15+1,1))-AVERAGE(OFFSET($H$3,0,0,'Données projet'!$E$15+1,1))</f>
        <v>258.46015871559956</v>
      </c>
      <c r="EP55" s="59">
        <f t="shared" si="46"/>
        <v>280.26155987300996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4.018195505572959</v>
      </c>
      <c r="EW55" s="21">
        <f>EXP(-LN(2)/25)*EW54+(1-EXP(-LN(2)/25))/(LN(2)/25)*Calculateur!ER55*Calculateur!ET55*VLOOKUP('Données projet'!$B$15,Paramètres!$A$1:$I$89,3,0)*0.475*44/12</f>
        <v>6.7001998144521</v>
      </c>
      <c r="EX55" s="21">
        <f>EXP(-LN(2)/2)*EX54+(1-EXP(-LN(2)/2))/(LN(2)/2)*ER55*EU55*VLOOKUP('Données projet'!$B$15,Paramètres!$A$1:$I$89,3,0)*0.475*44/12</f>
        <v>2.6590294795283981E-3</v>
      </c>
      <c r="EY55" s="22">
        <f t="shared" si="21"/>
        <v>10.721054349504588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6.3</v>
      </c>
      <c r="N56" s="13">
        <f>IF('Données projet'!$A$36&gt;35,N55+M56-V55,IF(A56&lt;'Données projet'!$A$36,$K$205^A56,IF(A56='Données projet'!$A$36,'Données projet'!$B$36,N55+M56-V55)))</f>
        <v>203.89999999999998</v>
      </c>
      <c r="O56" s="13">
        <f>N56*VLOOKUP('Données projet'!$B$9,Paramètres!$A$1:$I$89,3,0)*VLOOKUP('Données projet'!$B$9,Paramètres!$A$1:$I$89,5,0)</f>
        <v>178.12703999999999</v>
      </c>
      <c r="P56" s="13">
        <f t="shared" si="33"/>
        <v>44.905233742281041</v>
      </c>
      <c r="Q56" s="20">
        <f t="shared" si="53"/>
        <v>388.44787676780612</v>
      </c>
      <c r="R56" s="59">
        <f t="shared" si="0"/>
        <v>681.78121010113944</v>
      </c>
      <c r="S56" s="59">
        <f ca="1">AVERAGE(OFFSET($R$3,0,0,'Données projet'!$E$9+1,1))-AVERAGE(OFFSET($H$3,0,0,'Données projet'!$E$9+1,1))</f>
        <v>368.41876532159154</v>
      </c>
      <c r="T56" s="59">
        <f t="shared" si="34"/>
        <v>369.39570124551125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3.905207311792481</v>
      </c>
      <c r="AA56" s="21">
        <f>EXP(-LN(2)/25)*AA55+(1-EXP(-LN(2)/25))/(LN(2)/25)*Calculateur!V56*Calculateur!X56*VLOOKUP('Données projet'!$B$9,Paramètres!$A$1:$I$89,3,0)*0.475*44/12</f>
        <v>8.5729451863096475</v>
      </c>
      <c r="AB56" s="21">
        <f>EXP(-LN(2)/2)*AB55+(1-EXP(-LN(2)/2))/(LN(2)/2)*V56*Y56*VLOOKUP('Données projet'!$B$9,Paramètres!$A$1:$I$89,3,0)*0.475*44/12</f>
        <v>6.1356154873489213E-3</v>
      </c>
      <c r="AC56" s="22">
        <f t="shared" si="3"/>
        <v>12.484288113589477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6.8</v>
      </c>
      <c r="AI56" s="13">
        <f>IF('Données projet'!$A$62&gt;35,AI55+AH56-AQ55,IF(A56&lt;'Données projet'!$A$62,$AF$205^A56,IF(A56='Données projet'!$A$62,'Données projet'!$B$62,AI55+AH56-AQ55)))</f>
        <v>262.39999999999986</v>
      </c>
      <c r="AJ56" s="13">
        <f>AI56*VLOOKUP('Données projet'!$B$10,Paramètres!$A$1:$I$89,3,0)*VLOOKUP('Données projet'!$B$10,Paramètres!$A$1:$I$89,5,0)</f>
        <v>229.23263999999989</v>
      </c>
      <c r="AK56" s="13">
        <f t="shared" si="35"/>
        <v>56.116728100372448</v>
      </c>
      <c r="AL56" s="20">
        <f t="shared" si="4"/>
        <v>496.98348277481506</v>
      </c>
      <c r="AM56" s="59">
        <f t="shared" si="5"/>
        <v>790.31681610814837</v>
      </c>
      <c r="AN56" s="59">
        <f ca="1">AVERAGE(OFFSET($AM$3,0,0,'Données projet'!$E$10+1,1))-AVERAGE(OFFSET($H$3,0,0,'Données projet'!$E$10+1,1))</f>
        <v>402.82278346470082</v>
      </c>
      <c r="AO56" s="59">
        <f t="shared" si="36"/>
        <v>440.17787299198977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2.2720293324886285</v>
      </c>
      <c r="AV56" s="21">
        <f>EXP(-LN(2)/25)*AV55+(1-EXP(-LN(2)/25))/(LN(2)/25)*Calculateur!AQ56*Calculateur!AS56*VLOOKUP('Données projet'!$B$10,Paramètres!$A$1:$I$89,3,0)*0.475*44/12</f>
        <v>11.908010341712959</v>
      </c>
      <c r="AW56" s="21">
        <f>EXP(-LN(2)/2)*AW55+(1-EXP(-LN(2)/2))/(LN(2)/2)*AQ56*AT56*VLOOKUP('Données projet'!$B$10,Paramètres!$A$1:$I$89,3,0)*0.475*44/12</f>
        <v>9.1135990298025962E-3</v>
      </c>
      <c r="AX56" s="21">
        <f t="shared" si="6"/>
        <v>14.189153273231391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9.8000000000000007</v>
      </c>
      <c r="BD56" s="12">
        <f>IF('Données projet'!$A$88&gt;35,BD55+BC56-BL55,IF(A56&lt;'Données projet'!$A$88,$BA$205^A56,IF(A56='Données projet'!$A$88,'Données projet'!$B$88,BD55+BC56-BL55)))</f>
        <v>232.39999999999992</v>
      </c>
      <c r="BE56" s="13">
        <f>BD56*VLOOKUP('Données projet'!$B$11,Paramètres!$A$1:$I$89,3,0)*VLOOKUP('Données projet'!$B$11,Paramètres!$A$1:$I$89,5,0)</f>
        <v>210.27551999999991</v>
      </c>
      <c r="BF56" s="13">
        <f t="shared" si="37"/>
        <v>51.995789155135654</v>
      </c>
      <c r="BG56" s="20">
        <f t="shared" si="7"/>
        <v>456.78919677852781</v>
      </c>
      <c r="BH56" s="59">
        <f t="shared" si="8"/>
        <v>750.12253011186112</v>
      </c>
      <c r="BI56" s="59">
        <f ca="1">AVERAGE(OFFSET($BH$3,0,0,'Données projet'!$E$11+1,1))-AVERAGE(OFFSET($H$3,0,0,'Données projet'!$E$11+1,1))</f>
        <v>469.68830256438338</v>
      </c>
      <c r="BJ56" s="59">
        <f t="shared" si="38"/>
        <v>332.61387922152159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1.5273426294411427</v>
      </c>
      <c r="BQ56" s="21">
        <f>EXP(-LN(2)/25)*BQ55+(1-EXP(-LN(2)/25))/(LN(2)/25)*Calculateur!BL56*Calculateur!BN56*VLOOKUP('Données projet'!$B$11,Paramètres!$A$1:$I$89,3,0)*0.475*44/12</f>
        <v>5.9630712988583516</v>
      </c>
      <c r="BR56" s="21">
        <f>EXP(-LN(2)/2)*BR55+(1-EXP(-LN(2)/2))/(LN(2)/2)*BL56*BO56*VLOOKUP('Données projet'!$B$11,Paramètres!$A$1:$I$89,3,0)*0.475*44/12</f>
        <v>7.441655561605553E-3</v>
      </c>
      <c r="BS56" s="22">
        <f t="shared" si="9"/>
        <v>7.4978555838611003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10.9</v>
      </c>
      <c r="BY56" s="12">
        <f>IF('Données projet'!$A$114&gt;35,BY55+BX56-CG55,IF(A56&lt;'Données projet'!$A$114,$BV$205^A56,IF(A56='Données projet'!$A$114,'Données projet'!$B$114,BY55+BX56-CG55)))</f>
        <v>221.70000000000007</v>
      </c>
      <c r="BZ56" s="13">
        <f>BY56*VLOOKUP('Données projet'!$B$12,Paramètres!$A$1:$I$89,3,0)*VLOOKUP('Données projet'!$B$12,Paramètres!$A$1:$I$89,5,0)</f>
        <v>210.96972000000008</v>
      </c>
      <c r="CA56" s="13">
        <f t="shared" si="39"/>
        <v>52.147437063186963</v>
      </c>
      <c r="CB56" s="20">
        <f t="shared" si="10"/>
        <v>458.26238188505073</v>
      </c>
      <c r="CC56" s="59">
        <f t="shared" si="11"/>
        <v>751.59571521838404</v>
      </c>
      <c r="CD56" s="59">
        <f ca="1">AVERAGE(OFFSET($CC$3,0,0,'Données projet'!$E$12+1,1))-AVERAGE(OFFSET($H$3,0,0,'Données projet'!$E$12+1,1))</f>
        <v>609.40025883662452</v>
      </c>
      <c r="CE56" s="59">
        <f t="shared" si="40"/>
        <v>294.48909834404577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2.0836131909455462</v>
      </c>
      <c r="CM56" s="21">
        <f>EXP(-LN(2)/2)*CM55+(1-EXP(-LN(2)/2))/(LN(2)/2)*CG56*CJ56*VLOOKUP('Données projet'!$B$12,Paramètres!$A$1:$I$89,3,0)*0.475*44/12</f>
        <v>2.7125130071625212E-3</v>
      </c>
      <c r="CN56" s="22">
        <f t="shared" si="12"/>
        <v>2.0863257039527086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13.499999999999996</v>
      </c>
      <c r="CT56" s="12">
        <f>IF('Données projet'!$A$140&gt;35,CT55+CS56-DB55,IF(A56&lt;'Données projet'!$A$140,$CQ$205^A56,IF(A56='Données projet'!$A$140,'Données projet'!$B$140,CT55+CS56-DB55)))</f>
        <v>280.29999999999984</v>
      </c>
      <c r="CU56" s="17">
        <f>CT56*VLOOKUP('Données projet'!$B$13,Paramètres!$A$1:$I$89,3,0)*VLOOKUP('Données projet'!$B$13,Paramètres!$A$1:$I$89,5,0)</f>
        <v>131.18039999999993</v>
      </c>
      <c r="CV56" s="13">
        <f t="shared" si="41"/>
        <v>34.268971460239172</v>
      </c>
      <c r="CW56" s="20">
        <f t="shared" si="13"/>
        <v>288.15765529324972</v>
      </c>
      <c r="CX56" s="59">
        <f t="shared" si="14"/>
        <v>581.49098862658298</v>
      </c>
      <c r="CY56" s="59">
        <f ca="1">AVERAGE(OFFSET($CX$3,0,0,'Données projet'!$E$13+1,1))-AVERAGE(OFFSET($H$3,0,0,'Données projet'!$E$13+1,1))</f>
        <v>346.16623654404509</v>
      </c>
      <c r="CZ56" s="59">
        <f t="shared" si="42"/>
        <v>281.80933156559087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1.9877413341859023</v>
      </c>
      <c r="DG56" s="21">
        <f>EXP(-LN(2)/25)*DG55+(1-EXP(-LN(2)/25))/(LN(2)/25)*Calculateur!DB56*Calculateur!DD56*VLOOKUP('Données projet'!$B$13,Paramètres!$A$1:$I$89,3,0)*0.475*44/12</f>
        <v>4.1516837695788453</v>
      </c>
      <c r="DH56" s="21">
        <f>EXP(-LN(2)/2)*DH55+(1-EXP(-LN(2)/2))/(LN(2)/2)*DB56*DE56*VLOOKUP('Données projet'!$B$13,Paramètres!$A$1:$I$89,3,0)*0.475*44/12</f>
        <v>3.3947259096875865E-3</v>
      </c>
      <c r="DI56" s="22">
        <f t="shared" si="15"/>
        <v>6.1428198296744343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8.8000000000000007</v>
      </c>
      <c r="DO56" s="12">
        <f>IF('Données projet'!$A$166&gt;35,DO55+DN56-DW55,IF(A56&lt;'Données projet'!$A$166,$DL$205^A56,IF(A56='Données projet'!$A$166,'Données projet'!$B$166,DO55+DN56-DW55)))</f>
        <v>289.4000000000002</v>
      </c>
      <c r="DP56" s="17">
        <f>DO56*VLOOKUP('Données projet'!$B$14,Paramètres!$A$1:$I$89,3,0)*VLOOKUP('Données projet'!$B$14,Paramètres!$A$1:$I$89,5,0)</f>
        <v>180.58560000000011</v>
      </c>
      <c r="DQ56" s="13">
        <f t="shared" si="43"/>
        <v>45.452446738615699</v>
      </c>
      <c r="DR56" s="20">
        <f t="shared" si="16"/>
        <v>393.68293140308919</v>
      </c>
      <c r="DS56" s="59">
        <f t="shared" si="17"/>
        <v>687.0162647364225</v>
      </c>
      <c r="DT56" s="59">
        <f ca="1">AVERAGE(OFFSET($DS$3,0,0,'Données projet'!$E$14+1,1))-AVERAGE(OFFSET($H$3,0,0,'Données projet'!$E$14+1,1))</f>
        <v>319.97171762304686</v>
      </c>
      <c r="DU56" s="59">
        <f t="shared" si="44"/>
        <v>337.89345858359621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4.4093291627811642</v>
      </c>
      <c r="EB56" s="21">
        <f>EXP(-LN(2)/25)*EB55+(1-EXP(-LN(2)/25))/(LN(2)/25)*Calculateur!DW56*Calculateur!DY56*VLOOKUP('Données projet'!$B$14,Paramètres!$A$1:$I$89,3,0)*0.475*44/12</f>
        <v>10.986597132738158</v>
      </c>
      <c r="EC56" s="21">
        <f>EXP(-LN(2)/2)*EC55+(1-EXP(-LN(2)/2))/(LN(2)/2)*DW56*DZ56*VLOOKUP('Données projet'!$B$14,Paramètres!$A$1:$I$89,3,0)*0.475*44/12</f>
        <v>6.9712219533024549E-3</v>
      </c>
      <c r="ED56" s="22">
        <f t="shared" si="18"/>
        <v>15.402897517472624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5.875</v>
      </c>
      <c r="EJ56" s="12">
        <f>IF('Données projet'!$A$192&gt;35,EJ55+EI56-ER55,IF(A56&lt;'Données projet'!$A$192,$EG$205^A56,IF(A56='Données projet'!$A$192,'Données projet'!$B$192,EJ55+EI56-ER55)))</f>
        <v>305.125</v>
      </c>
      <c r="EK56" s="17">
        <f>EJ56*VLOOKUP('Données projet'!$B$15,Paramètres!$A$1:$I$89,3,0)*VLOOKUP('Données projet'!$B$15,Paramètres!$A$1:$I$89,5,0)</f>
        <v>182.46475000000004</v>
      </c>
      <c r="EL56" s="13">
        <f t="shared" si="45"/>
        <v>45.870112833182944</v>
      </c>
      <c r="EM56" s="20">
        <f t="shared" si="19"/>
        <v>397.68321943446034</v>
      </c>
      <c r="EN56" s="59">
        <f t="shared" si="20"/>
        <v>691.01655276779366</v>
      </c>
      <c r="EO56" s="59">
        <f ca="1">AVERAGE(OFFSET($EN$3,0,0,'Données projet'!$E$15+1,1))-AVERAGE(OFFSET($H$3,0,0,'Données projet'!$E$15+1,1))</f>
        <v>258.46015871559956</v>
      </c>
      <c r="EP56" s="59">
        <f t="shared" si="46"/>
        <v>280.26155987300996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3.9394011425659294</v>
      </c>
      <c r="EW56" s="21">
        <f>EXP(-LN(2)/25)*EW55+(1-EXP(-LN(2)/25))/(LN(2)/25)*Calculateur!ER56*Calculateur!ET56*VLOOKUP('Données projet'!$B$15,Paramètres!$A$1:$I$89,3,0)*0.475*44/12</f>
        <v>6.5169824981777129</v>
      </c>
      <c r="EX56" s="21">
        <f>EXP(-LN(2)/2)*EX55+(1-EXP(-LN(2)/2))/(LN(2)/2)*ER56*EU56*VLOOKUP('Données projet'!$B$15,Paramètres!$A$1:$I$89,3,0)*0.475*44/12</f>
        <v>1.8802177763494665E-3</v>
      </c>
      <c r="EY56" s="22">
        <f t="shared" si="21"/>
        <v>10.458263858519992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6.3</v>
      </c>
      <c r="N57" s="13">
        <f>IF('Données projet'!$A$36&gt;35,N56+M57-V56,IF(A57&lt;'Données projet'!$A$36,$K$205^A57,IF(A57='Données projet'!$A$36,'Données projet'!$B$36,N56+M57-V56)))</f>
        <v>210.2</v>
      </c>
      <c r="O57" s="13">
        <f>N57*VLOOKUP('Données projet'!$B$9,Paramètres!$A$1:$I$89,3,0)*VLOOKUP('Données projet'!$B$9,Paramètres!$A$1:$I$89,5,0)</f>
        <v>183.63072000000003</v>
      </c>
      <c r="P57" s="13">
        <f t="shared" si="33"/>
        <v>46.129013251634447</v>
      </c>
      <c r="Q57" s="20">
        <f t="shared" si="53"/>
        <v>400.16486874659671</v>
      </c>
      <c r="R57" s="59">
        <f t="shared" si="0"/>
        <v>693.49820207993002</v>
      </c>
      <c r="S57" s="59">
        <f ca="1">AVERAGE(OFFSET($R$3,0,0,'Données projet'!$E$9+1,1))-AVERAGE(OFFSET($H$3,0,0,'Données projet'!$E$9+1,1))</f>
        <v>368.41876532159154</v>
      </c>
      <c r="T57" s="59">
        <f t="shared" si="34"/>
        <v>369.39570124551125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3.8286285783494933</v>
      </c>
      <c r="AA57" s="21">
        <f>EXP(-LN(2)/25)*AA56+(1-EXP(-LN(2)/25))/(LN(2)/25)*Calculateur!V57*Calculateur!X57*VLOOKUP('Données projet'!$B$9,Paramètres!$A$1:$I$89,3,0)*0.475*44/12</f>
        <v>8.338517549358416</v>
      </c>
      <c r="AB57" s="21">
        <f>EXP(-LN(2)/2)*AB56+(1-EXP(-LN(2)/2))/(LN(2)/2)*V57*Y57*VLOOKUP('Données projet'!$B$9,Paramètres!$A$1:$I$89,3,0)*0.475*44/12</f>
        <v>4.3385353178576258E-3</v>
      </c>
      <c r="AC57" s="22">
        <f t="shared" si="3"/>
        <v>12.171484663025767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6.8</v>
      </c>
      <c r="AI57" s="13">
        <f>IF('Données projet'!$A$62&gt;35,AI56+AH57-AQ56,IF(A57&lt;'Données projet'!$A$62,$AF$205^A57,IF(A57='Données projet'!$A$62,'Données projet'!$B$62,AI56+AH57-AQ56)))</f>
        <v>269.19999999999987</v>
      </c>
      <c r="AJ57" s="13">
        <f>AI57*VLOOKUP('Données projet'!$B$10,Paramètres!$A$1:$I$89,3,0)*VLOOKUP('Données projet'!$B$10,Paramètres!$A$1:$I$89,5,0)</f>
        <v>235.17311999999993</v>
      </c>
      <c r="AK57" s="13">
        <f t="shared" si="35"/>
        <v>57.399778925799218</v>
      </c>
      <c r="AL57" s="20">
        <f t="shared" si="4"/>
        <v>509.5644656291002</v>
      </c>
      <c r="AM57" s="59">
        <f t="shared" si="5"/>
        <v>802.89779896243351</v>
      </c>
      <c r="AN57" s="59">
        <f ca="1">AVERAGE(OFFSET($AM$3,0,0,'Données projet'!$E$10+1,1))-AVERAGE(OFFSET($H$3,0,0,'Données projet'!$E$10+1,1))</f>
        <v>402.82278346470082</v>
      </c>
      <c r="AO57" s="59">
        <f t="shared" si="36"/>
        <v>440.17787299198977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2.2274762230795826</v>
      </c>
      <c r="AV57" s="21">
        <f>EXP(-LN(2)/25)*AV56+(1-EXP(-LN(2)/25))/(LN(2)/25)*Calculateur!AQ57*Calculateur!AS57*VLOOKUP('Données projet'!$B$10,Paramètres!$A$1:$I$89,3,0)*0.475*44/12</f>
        <v>11.58238517270377</v>
      </c>
      <c r="AW57" s="21">
        <f>EXP(-LN(2)/2)*AW56+(1-EXP(-LN(2)/2))/(LN(2)/2)*AQ57*AT57*VLOOKUP('Données projet'!$B$10,Paramètres!$A$1:$I$89,3,0)*0.475*44/12</f>
        <v>6.4442876749885563E-3</v>
      </c>
      <c r="AX57" s="21">
        <f t="shared" si="6"/>
        <v>13.81630568345834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9.8000000000000007</v>
      </c>
      <c r="BD57" s="12">
        <f>IF('Données projet'!$A$88&gt;35,BD56+BC57-BL56,IF(A57&lt;'Données projet'!$A$88,$BA$205^A57,IF(A57='Données projet'!$A$88,'Données projet'!$B$88,BD56+BC57-BL56)))</f>
        <v>242.19999999999993</v>
      </c>
      <c r="BE57" s="13">
        <f>BD57*VLOOKUP('Données projet'!$B$11,Paramètres!$A$1:$I$89,3,0)*VLOOKUP('Données projet'!$B$11,Paramètres!$A$1:$I$89,5,0)</f>
        <v>219.14255999999992</v>
      </c>
      <c r="BF57" s="13">
        <f t="shared" si="37"/>
        <v>53.928483039139707</v>
      </c>
      <c r="BG57" s="20">
        <f t="shared" si="7"/>
        <v>475.59873329316815</v>
      </c>
      <c r="BH57" s="59">
        <f t="shared" si="8"/>
        <v>768.93206662650141</v>
      </c>
      <c r="BI57" s="59">
        <f ca="1">AVERAGE(OFFSET($BH$3,0,0,'Données projet'!$E$11+1,1))-AVERAGE(OFFSET($H$3,0,0,'Données projet'!$E$11+1,1))</f>
        <v>469.68830256438338</v>
      </c>
      <c r="BJ57" s="59">
        <f t="shared" si="38"/>
        <v>332.61387922152159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1.4973923720648192</v>
      </c>
      <c r="BQ57" s="21">
        <f>EXP(-LN(2)/25)*BQ56+(1-EXP(-LN(2)/25))/(LN(2)/25)*Calculateur!BL57*Calculateur!BN57*VLOOKUP('Données projet'!$B$11,Paramètres!$A$1:$I$89,3,0)*0.475*44/12</f>
        <v>5.8000108006067794</v>
      </c>
      <c r="BR57" s="21">
        <f>EXP(-LN(2)/2)*BR56+(1-EXP(-LN(2)/2))/(LN(2)/2)*BL57*BO57*VLOOKUP('Données projet'!$B$11,Paramètres!$A$1:$I$89,3,0)*0.475*44/12</f>
        <v>5.2620451108658728E-3</v>
      </c>
      <c r="BS57" s="22">
        <f t="shared" si="9"/>
        <v>7.3026652177824651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10.9</v>
      </c>
      <c r="BY57" s="12">
        <f>IF('Données projet'!$A$114&gt;35,BY56+BX57-CG56,IF(A57&lt;'Données projet'!$A$114,$BV$205^A57,IF(A57='Données projet'!$A$114,'Données projet'!$B$114,BY56+BX57-CG56)))</f>
        <v>232.60000000000008</v>
      </c>
      <c r="BZ57" s="13">
        <f>BY57*VLOOKUP('Données projet'!$B$12,Paramètres!$A$1:$I$89,3,0)*VLOOKUP('Données projet'!$B$12,Paramètres!$A$1:$I$89,5,0)</f>
        <v>221.34216000000009</v>
      </c>
      <c r="CA57" s="13">
        <f t="shared" si="39"/>
        <v>54.406494223748105</v>
      </c>
      <c r="CB57" s="20">
        <f t="shared" si="10"/>
        <v>480.26223943969472</v>
      </c>
      <c r="CC57" s="59">
        <f t="shared" si="11"/>
        <v>773.59557277302804</v>
      </c>
      <c r="CD57" s="59">
        <f ca="1">AVERAGE(OFFSET($CC$3,0,0,'Données projet'!$E$12+1,1))-AVERAGE(OFFSET($H$3,0,0,'Données projet'!$E$12+1,1))</f>
        <v>609.40025883662452</v>
      </c>
      <c r="CE57" s="59">
        <f t="shared" si="40"/>
        <v>294.48909834404577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2.0266366786666845</v>
      </c>
      <c r="CM57" s="21">
        <f>EXP(-LN(2)/2)*CM56+(1-EXP(-LN(2)/2))/(LN(2)/2)*CG57*CJ57*VLOOKUP('Données projet'!$B$12,Paramètres!$A$1:$I$89,3,0)*0.475*44/12</f>
        <v>1.918036341421333E-3</v>
      </c>
      <c r="CN57" s="22">
        <f t="shared" si="12"/>
        <v>2.0285547150081058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13.499999999999996</v>
      </c>
      <c r="CT57" s="12">
        <f>IF('Données projet'!$A$140&gt;35,CT56+CS57-DB56,IF(A57&lt;'Données projet'!$A$140,$CQ$205^A57,IF(A57='Données projet'!$A$140,'Données projet'!$B$140,CT56+CS57-DB56)))</f>
        <v>293.79999999999984</v>
      </c>
      <c r="CU57" s="17">
        <f>CT57*VLOOKUP('Données projet'!$B$13,Paramètres!$A$1:$I$89,3,0)*VLOOKUP('Données projet'!$B$13,Paramètres!$A$1:$I$89,5,0)</f>
        <v>137.49839999999992</v>
      </c>
      <c r="CV57" s="13">
        <f t="shared" si="41"/>
        <v>35.723324086274197</v>
      </c>
      <c r="CW57" s="20">
        <f t="shared" si="13"/>
        <v>301.69450278359409</v>
      </c>
      <c r="CX57" s="59">
        <f t="shared" si="14"/>
        <v>595.02783611692735</v>
      </c>
      <c r="CY57" s="59">
        <f ca="1">AVERAGE(OFFSET($CX$3,0,0,'Données projet'!$E$13+1,1))-AVERAGE(OFFSET($H$3,0,0,'Données projet'!$E$13+1,1))</f>
        <v>346.16623654404509</v>
      </c>
      <c r="CZ57" s="59">
        <f t="shared" si="42"/>
        <v>281.80933156559087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1.9487629390250159</v>
      </c>
      <c r="DG57" s="21">
        <f>EXP(-LN(2)/25)*DG56+(1-EXP(-LN(2)/25))/(LN(2)/25)*Calculateur!DB57*Calculateur!DD57*VLOOKUP('Données projet'!$B$13,Paramètres!$A$1:$I$89,3,0)*0.475*44/12</f>
        <v>4.0381557585721515</v>
      </c>
      <c r="DH57" s="21">
        <f>EXP(-LN(2)/2)*DH56+(1-EXP(-LN(2)/2))/(LN(2)/2)*DB57*DE57*VLOOKUP('Données projet'!$B$13,Paramètres!$A$1:$I$89,3,0)*0.475*44/12</f>
        <v>2.4004337110097636E-3</v>
      </c>
      <c r="DI57" s="22">
        <f t="shared" si="15"/>
        <v>5.9893191313081768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8.8000000000000007</v>
      </c>
      <c r="DO57" s="12">
        <f>IF('Données projet'!$A$166&gt;35,DO56+DN57-DW56,IF(A57&lt;'Données projet'!$A$166,$DL$205^A57,IF(A57='Données projet'!$A$166,'Données projet'!$B$166,DO56+DN57-DW56)))</f>
        <v>298.20000000000022</v>
      </c>
      <c r="DP57" s="17">
        <f>DO57*VLOOKUP('Données projet'!$B$14,Paramètres!$A$1:$I$89,3,0)*VLOOKUP('Données projet'!$B$14,Paramètres!$A$1:$I$89,5,0)</f>
        <v>186.07680000000016</v>
      </c>
      <c r="DQ57" s="13">
        <f t="shared" si="43"/>
        <v>46.671538591528716</v>
      </c>
      <c r="DR57" s="20">
        <f t="shared" si="16"/>
        <v>405.37002304691276</v>
      </c>
      <c r="DS57" s="59">
        <f t="shared" si="17"/>
        <v>698.70335638024608</v>
      </c>
      <c r="DT57" s="59">
        <f ca="1">AVERAGE(OFFSET($DS$3,0,0,'Données projet'!$E$14+1,1))-AVERAGE(OFFSET($H$3,0,0,'Données projet'!$E$14+1,1))</f>
        <v>319.97171762304686</v>
      </c>
      <c r="DU57" s="59">
        <f t="shared" si="44"/>
        <v>337.89345858359621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4.3228649073242558</v>
      </c>
      <c r="EB57" s="21">
        <f>EXP(-LN(2)/25)*EB56+(1-EXP(-LN(2)/25))/(LN(2)/25)*Calculateur!DW57*Calculateur!DY57*VLOOKUP('Données projet'!$B$14,Paramètres!$A$1:$I$89,3,0)*0.475*44/12</f>
        <v>10.6861680563834</v>
      </c>
      <c r="EC57" s="21">
        <f>EXP(-LN(2)/2)*EC56+(1-EXP(-LN(2)/2))/(LN(2)/2)*DW57*DZ57*VLOOKUP('Données projet'!$B$14,Paramètres!$A$1:$I$89,3,0)*0.475*44/12</f>
        <v>4.9293983163366953E-3</v>
      </c>
      <c r="ED57" s="22">
        <f t="shared" si="18"/>
        <v>15.013962362023992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>
        <f>VLOOKUP(A57,'Données projet'!$A$191:$I$211,2,0)</f>
        <v>311</v>
      </c>
      <c r="EH57" s="12">
        <f>VLOOKUP(A57,'Données projet'!$A$191:$I$211,9,0)</f>
        <v>5.875</v>
      </c>
      <c r="EI57" s="12">
        <f t="array" ref="EI57">INDEX(EH:EH,MIN(IF(ISNUMBER(EH57:EH253),ROW(EH57:EH253),"")))</f>
        <v>5.875</v>
      </c>
      <c r="EJ57" s="12">
        <f>IF('Données projet'!$A$192&gt;35,EJ56+EI57-ER56,IF(A57&lt;'Données projet'!$A$192,$EG$205^A57,IF(A57='Données projet'!$A$192,'Données projet'!$B$192,EJ56+EI57-ER56)))</f>
        <v>311</v>
      </c>
      <c r="EK57" s="17">
        <f>EJ57*VLOOKUP('Données projet'!$B$15,Paramètres!$A$1:$I$89,3,0)*VLOOKUP('Données projet'!$B$15,Paramètres!$A$1:$I$89,5,0)</f>
        <v>185.97800000000001</v>
      </c>
      <c r="EL57" s="13">
        <f t="shared" si="45"/>
        <v>46.649641523668571</v>
      </c>
      <c r="EM57" s="20">
        <f t="shared" si="19"/>
        <v>405.15980898705612</v>
      </c>
      <c r="EN57" s="59">
        <f t="shared" si="20"/>
        <v>698.49314232038944</v>
      </c>
      <c r="EO57" s="59">
        <f ca="1">AVERAGE(OFFSET($EN$3,0,0,'Données projet'!$E$15+1,1))-AVERAGE(OFFSET($H$3,0,0,'Données projet'!$E$15+1,1))</f>
        <v>258.46015871559956</v>
      </c>
      <c r="EP57" s="59">
        <f t="shared" si="46"/>
        <v>280.26155987300996</v>
      </c>
      <c r="EQ57" s="15">
        <f>IF(ISNA(VLOOKUP(A57,'Données projet'!$A$191:$I$211,3,0)),0,VLOOKUP(A57,'Données projet'!$A$191:$I$211,3,0))</f>
        <v>8</v>
      </c>
      <c r="ER57" s="15">
        <f>IF(ISNA(VLOOKUP(A57,'Données projet'!$A$191:$I$211,4,0)),0,VLOOKUP(A57,'Données projet'!$A$191:$I$211,4,0))</f>
        <v>16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3.8621518889576518</v>
      </c>
      <c r="EW57" s="21">
        <f>EXP(-LN(2)/25)*EW56+(1-EXP(-LN(2)/25))/(LN(2)/25)*Calculateur!ER57*Calculateur!ET57*VLOOKUP('Données projet'!$B$15,Paramètres!$A$1:$I$89,3,0)*0.475*44/12</f>
        <v>6.3387752690518289</v>
      </c>
      <c r="EX57" s="21">
        <f>EXP(-LN(2)/2)*EX56+(1-EXP(-LN(2)/2))/(LN(2)/2)*ER57*EU57*VLOOKUP('Données projet'!$B$15,Paramètres!$A$1:$I$89,3,0)*0.475*44/12</f>
        <v>1.3295147397641993E-3</v>
      </c>
      <c r="EY57" s="22">
        <f t="shared" si="21"/>
        <v>10.202256672749245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6.3</v>
      </c>
      <c r="N58" s="13">
        <f>IF('Données projet'!$A$36&gt;35,N57+M58-V57,IF(A58&lt;'Données projet'!$A$36,$K$205^A58,IF(A58='Données projet'!$A$36,'Données projet'!$B$36,N57+M58-V57)))</f>
        <v>216.5</v>
      </c>
      <c r="O58" s="13">
        <f>N58*VLOOKUP('Données projet'!$B$9,Paramètres!$A$1:$I$89,3,0)*VLOOKUP('Données projet'!$B$9,Paramètres!$A$1:$I$89,5,0)</f>
        <v>189.13440000000003</v>
      </c>
      <c r="P58" s="13">
        <f t="shared" si="33"/>
        <v>47.348530153301503</v>
      </c>
      <c r="Q58" s="20">
        <f t="shared" si="53"/>
        <v>411.87443668366683</v>
      </c>
      <c r="R58" s="59">
        <f t="shared" si="0"/>
        <v>705.20777001700014</v>
      </c>
      <c r="S58" s="59">
        <f ca="1">AVERAGE(OFFSET($R$3,0,0,'Données projet'!$E$9+1,1))-AVERAGE(OFFSET($H$3,0,0,'Données projet'!$E$9+1,1))</f>
        <v>368.41876532159154</v>
      </c>
      <c r="T58" s="59">
        <f t="shared" si="34"/>
        <v>369.39570124551125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3.7535515071609074</v>
      </c>
      <c r="AA58" s="21">
        <f>EXP(-LN(2)/25)*AA57+(1-EXP(-LN(2)/25))/(LN(2)/25)*Calculateur!V58*Calculateur!X58*VLOOKUP('Données projet'!$B$9,Paramètres!$A$1:$I$89,3,0)*0.475*44/12</f>
        <v>8.1105003484676299</v>
      </c>
      <c r="AB58" s="21">
        <f>EXP(-LN(2)/2)*AB57+(1-EXP(-LN(2)/2))/(LN(2)/2)*V58*Y58*VLOOKUP('Données projet'!$B$9,Paramètres!$A$1:$I$89,3,0)*0.475*44/12</f>
        <v>3.0678077436744606E-3</v>
      </c>
      <c r="AC58" s="22">
        <f t="shared" si="3"/>
        <v>11.867119663372211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6.8</v>
      </c>
      <c r="AI58" s="13">
        <f>IF('Données projet'!$A$62&gt;35,AI57+AH58-AQ57,IF(A58&lt;'Données projet'!$A$62,$AF$205^A58,IF(A58='Données projet'!$A$62,'Données projet'!$B$62,AI57+AH58-AQ57)))</f>
        <v>275.99999999999989</v>
      </c>
      <c r="AJ58" s="13">
        <f>AI58*VLOOKUP('Données projet'!$B$10,Paramètres!$A$1:$I$89,3,0)*VLOOKUP('Données projet'!$B$10,Paramètres!$A$1:$I$89,5,0)</f>
        <v>241.11359999999993</v>
      </c>
      <c r="AK58" s="13">
        <f t="shared" si="35"/>
        <v>58.679062355898857</v>
      </c>
      <c r="AL58" s="20">
        <f t="shared" si="4"/>
        <v>522.13888693652382</v>
      </c>
      <c r="AM58" s="59">
        <f t="shared" si="5"/>
        <v>815.47222026985719</v>
      </c>
      <c r="AN58" s="59">
        <f ca="1">AVERAGE(OFFSET($AM$3,0,0,'Données projet'!$E$10+1,1))-AVERAGE(OFFSET($H$3,0,0,'Données projet'!$E$10+1,1))</f>
        <v>402.82278346470082</v>
      </c>
      <c r="AO58" s="59">
        <f t="shared" si="36"/>
        <v>440.17787299198977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2.183796772971335</v>
      </c>
      <c r="AV58" s="21">
        <f>EXP(-LN(2)/25)*AV57+(1-EXP(-LN(2)/25))/(LN(2)/25)*Calculateur!AQ58*Calculateur!AS58*VLOOKUP('Données projet'!$B$10,Paramètres!$A$1:$I$89,3,0)*0.475*44/12</f>
        <v>11.265664241065021</v>
      </c>
      <c r="AW58" s="21">
        <f>EXP(-LN(2)/2)*AW57+(1-EXP(-LN(2)/2))/(LN(2)/2)*AQ58*AT58*VLOOKUP('Données projet'!$B$10,Paramètres!$A$1:$I$89,3,0)*0.475*44/12</f>
        <v>4.5567995149012981E-3</v>
      </c>
      <c r="AX58" s="21">
        <f t="shared" si="6"/>
        <v>13.454017813551257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9.8000000000000007</v>
      </c>
      <c r="BD58" s="12">
        <f>IF('Données projet'!$A$88&gt;35,BD57+BC58-BL57,IF(A58&lt;'Données projet'!$A$88,$BA$205^A58,IF(A58='Données projet'!$A$88,'Données projet'!$B$88,BD57+BC58-BL57)))</f>
        <v>251.99999999999994</v>
      </c>
      <c r="BE58" s="13">
        <f>BD58*VLOOKUP('Données projet'!$B$11,Paramètres!$A$1:$I$89,3,0)*VLOOKUP('Données projet'!$B$11,Paramètres!$A$1:$I$89,5,0)</f>
        <v>228.00959999999995</v>
      </c>
      <c r="BF58" s="13">
        <f t="shared" si="37"/>
        <v>55.852093054619829</v>
      </c>
      <c r="BG58" s="20">
        <f t="shared" si="7"/>
        <v>494.3924487367961</v>
      </c>
      <c r="BH58" s="59">
        <f t="shared" si="8"/>
        <v>787.72578207012941</v>
      </c>
      <c r="BI58" s="59">
        <f ca="1">AVERAGE(OFFSET($BH$3,0,0,'Données projet'!$E$11+1,1))-AVERAGE(OFFSET($H$3,0,0,'Données projet'!$E$11+1,1))</f>
        <v>469.68830256438338</v>
      </c>
      <c r="BJ58" s="59">
        <f t="shared" si="38"/>
        <v>332.61387922152159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1.4680294209677922</v>
      </c>
      <c r="BQ58" s="21">
        <f>EXP(-LN(2)/25)*BQ57+(1-EXP(-LN(2)/25))/(LN(2)/25)*Calculateur!BL58*Calculateur!BN58*VLOOKUP('Données projet'!$B$11,Paramètres!$A$1:$I$89,3,0)*0.475*44/12</f>
        <v>5.6414092002548752</v>
      </c>
      <c r="BR58" s="21">
        <f>EXP(-LN(2)/2)*BR57+(1-EXP(-LN(2)/2))/(LN(2)/2)*BL58*BO58*VLOOKUP('Données projet'!$B$11,Paramètres!$A$1:$I$89,3,0)*0.475*44/12</f>
        <v>3.7208277808027774E-3</v>
      </c>
      <c r="BS58" s="22">
        <f t="shared" si="9"/>
        <v>7.1131594490034695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10.9</v>
      </c>
      <c r="BY58" s="12">
        <f>IF('Données projet'!$A$114&gt;35,BY57+BX58-CG57,IF(A58&lt;'Données projet'!$A$114,$BV$205^A58,IF(A58='Données projet'!$A$114,'Données projet'!$B$114,BY57+BX58-CG57)))</f>
        <v>243.50000000000009</v>
      </c>
      <c r="BZ58" s="13">
        <f>BY58*VLOOKUP('Données projet'!$B$12,Paramètres!$A$1:$I$89,3,0)*VLOOKUP('Données projet'!$B$12,Paramètres!$A$1:$I$89,5,0)</f>
        <v>231.7146000000001</v>
      </c>
      <c r="CA58" s="13">
        <f t="shared" si="39"/>
        <v>56.65325773209284</v>
      </c>
      <c r="CB58" s="20">
        <f t="shared" si="10"/>
        <v>502.24068555006193</v>
      </c>
      <c r="CC58" s="59">
        <f t="shared" si="11"/>
        <v>795.57401888339518</v>
      </c>
      <c r="CD58" s="59">
        <f ca="1">AVERAGE(OFFSET($CC$3,0,0,'Données projet'!$E$12+1,1))-AVERAGE(OFFSET($H$3,0,0,'Données projet'!$E$12+1,1))</f>
        <v>609.40025883662452</v>
      </c>
      <c r="CE58" s="59">
        <f t="shared" si="40"/>
        <v>294.48909834404577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1.9712181921123531</v>
      </c>
      <c r="CM58" s="21">
        <f>EXP(-LN(2)/2)*CM57+(1-EXP(-LN(2)/2))/(LN(2)/2)*CG58*CJ58*VLOOKUP('Données projet'!$B$12,Paramètres!$A$1:$I$89,3,0)*0.475*44/12</f>
        <v>1.3562565035812608E-3</v>
      </c>
      <c r="CN58" s="22">
        <f t="shared" si="12"/>
        <v>1.9725744486159342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13.499999999999996</v>
      </c>
      <c r="CT58" s="12">
        <f>IF('Données projet'!$A$140&gt;35,CT57+CS58-DB57,IF(A58&lt;'Données projet'!$A$140,$CQ$205^A58,IF(A58='Données projet'!$A$140,'Données projet'!$B$140,CT57+CS58-DB57)))</f>
        <v>307.29999999999984</v>
      </c>
      <c r="CU58" s="17">
        <f>CT58*VLOOKUP('Données projet'!$B$13,Paramètres!$A$1:$I$89,3,0)*VLOOKUP('Données projet'!$B$13,Paramètres!$A$1:$I$89,5,0)</f>
        <v>143.81639999999993</v>
      </c>
      <c r="CV58" s="13">
        <f t="shared" si="41"/>
        <v>37.169915935828818</v>
      </c>
      <c r="CW58" s="20">
        <f t="shared" si="13"/>
        <v>315.21783358823507</v>
      </c>
      <c r="CX58" s="59">
        <f t="shared" si="14"/>
        <v>608.55116692156844</v>
      </c>
      <c r="CY58" s="59">
        <f ca="1">AVERAGE(OFFSET($CX$3,0,0,'Données projet'!$E$13+1,1))-AVERAGE(OFFSET($H$3,0,0,'Données projet'!$E$13+1,1))</f>
        <v>346.16623654404509</v>
      </c>
      <c r="CZ58" s="59">
        <f t="shared" si="42"/>
        <v>281.80933156559087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1.9105488864187608</v>
      </c>
      <c r="DG58" s="21">
        <f>EXP(-LN(2)/25)*DG57+(1-EXP(-LN(2)/25))/(LN(2)/25)*Calculateur!DB58*Calculateur!DD58*VLOOKUP('Données projet'!$B$13,Paramètres!$A$1:$I$89,3,0)*0.475*44/12</f>
        <v>3.927732176996614</v>
      </c>
      <c r="DH58" s="21">
        <f>EXP(-LN(2)/2)*DH57+(1-EXP(-LN(2)/2))/(LN(2)/2)*DB58*DE58*VLOOKUP('Données projet'!$B$13,Paramètres!$A$1:$I$89,3,0)*0.475*44/12</f>
        <v>1.6973629548437932E-3</v>
      </c>
      <c r="DI58" s="22">
        <f t="shared" si="15"/>
        <v>5.8399784263702186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8.8000000000000007</v>
      </c>
      <c r="DO58" s="12">
        <f>IF('Données projet'!$A$166&gt;35,DO57+DN58-DW57,IF(A58&lt;'Données projet'!$A$166,$DL$205^A58,IF(A58='Données projet'!$A$166,'Données projet'!$B$166,DO57+DN58-DW57)))</f>
        <v>307.00000000000023</v>
      </c>
      <c r="DP58" s="17">
        <f>DO58*VLOOKUP('Données projet'!$B$14,Paramètres!$A$1:$I$89,3,0)*VLOOKUP('Données projet'!$B$14,Paramètres!$A$1:$I$89,5,0)</f>
        <v>191.56800000000013</v>
      </c>
      <c r="DQ58" s="13">
        <f t="shared" si="43"/>
        <v>47.886449394440142</v>
      </c>
      <c r="DR58" s="20">
        <f t="shared" si="16"/>
        <v>417.04983269531681</v>
      </c>
      <c r="DS58" s="59">
        <f t="shared" si="17"/>
        <v>710.38316602865007</v>
      </c>
      <c r="DT58" s="59">
        <f ca="1">AVERAGE(OFFSET($DS$3,0,0,'Données projet'!$E$14+1,1))-AVERAGE(OFFSET($H$3,0,0,'Données projet'!$E$14+1,1))</f>
        <v>319.97171762304686</v>
      </c>
      <c r="DU58" s="59">
        <f t="shared" si="44"/>
        <v>337.89345858359621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4.2380961631788692</v>
      </c>
      <c r="EB58" s="21">
        <f>EXP(-LN(2)/25)*EB57+(1-EXP(-LN(2)/25))/(LN(2)/25)*Calculateur!DW58*Calculateur!DY58*VLOOKUP('Données projet'!$B$14,Paramètres!$A$1:$I$89,3,0)*0.475*44/12</f>
        <v>10.393954228920441</v>
      </c>
      <c r="EC58" s="21">
        <f>EXP(-LN(2)/2)*EC57+(1-EXP(-LN(2)/2))/(LN(2)/2)*DW58*DZ58*VLOOKUP('Données projet'!$B$14,Paramètres!$A$1:$I$89,3,0)*0.475*44/12</f>
        <v>3.4856109766512274E-3</v>
      </c>
      <c r="ED58" s="22">
        <f t="shared" si="18"/>
        <v>14.635536003075961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2.625</v>
      </c>
      <c r="EJ58" s="12">
        <f>IF('Données projet'!$A$192&gt;35,EJ57+EI58-ER57,IF(A58&lt;'Données projet'!$A$192,$EG$205^A58,IF(A58='Données projet'!$A$192,'Données projet'!$B$192,EJ57+EI58-ER57)))</f>
        <v>297.625</v>
      </c>
      <c r="EK58" s="17">
        <f>EJ58*VLOOKUP('Données projet'!$B$15,Paramètres!$A$1:$I$89,3,0)*VLOOKUP('Données projet'!$B$15,Paramètres!$A$1:$I$89,5,0)</f>
        <v>177.97975</v>
      </c>
      <c r="EL58" s="13">
        <f t="shared" si="45"/>
        <v>44.87242292972973</v>
      </c>
      <c r="EM58" s="20">
        <f t="shared" si="19"/>
        <v>388.13420118594587</v>
      </c>
      <c r="EN58" s="59">
        <f t="shared" si="20"/>
        <v>681.46753451927918</v>
      </c>
      <c r="EO58" s="59">
        <f ca="1">AVERAGE(OFFSET($EN$3,0,0,'Données projet'!$E$15+1,1))-AVERAGE(OFFSET($H$3,0,0,'Données projet'!$E$15+1,1))</f>
        <v>258.46015871559956</v>
      </c>
      <c r="EP58" s="59">
        <f t="shared" si="46"/>
        <v>280.26155987300996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3.7864174460952404</v>
      </c>
      <c r="EW58" s="21">
        <f>EXP(-LN(2)/25)*EW57+(1-EXP(-LN(2)/25))/(LN(2)/25)*Calculateur!ER58*Calculateur!ET58*VLOOKUP('Données projet'!$B$15,Paramètres!$A$1:$I$89,3,0)*0.475*44/12</f>
        <v>6.1654411259779023</v>
      </c>
      <c r="EX58" s="21">
        <f>EXP(-LN(2)/2)*EX57+(1-EXP(-LN(2)/2))/(LN(2)/2)*ER58*EU58*VLOOKUP('Données projet'!$B$15,Paramètres!$A$1:$I$89,3,0)*0.475*44/12</f>
        <v>9.4010888817473346E-4</v>
      </c>
      <c r="EY58" s="22">
        <f t="shared" si="21"/>
        <v>9.9527986809613171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6.3</v>
      </c>
      <c r="N59" s="13">
        <f>IF('Données projet'!$A$36&gt;35,N58+M59-V58,IF(A59&lt;'Données projet'!$A$36,$K$205^A59,IF(A59='Données projet'!$A$36,'Données projet'!$B$36,N58+M59-V58)))</f>
        <v>222.8</v>
      </c>
      <c r="O59" s="13">
        <f>N59*VLOOKUP('Données projet'!$B$9,Paramètres!$A$1:$I$89,3,0)*VLOOKUP('Données projet'!$B$9,Paramètres!$A$1:$I$89,5,0)</f>
        <v>194.63808000000003</v>
      </c>
      <c r="P59" s="13">
        <f t="shared" si="33"/>
        <v>48.56392272964456</v>
      </c>
      <c r="Q59" s="20">
        <f t="shared" si="53"/>
        <v>423.57682142079761</v>
      </c>
      <c r="R59" s="59">
        <f t="shared" si="0"/>
        <v>716.91015475413087</v>
      </c>
      <c r="S59" s="59">
        <f ca="1">AVERAGE(OFFSET($R$3,0,0,'Données projet'!$E$9+1,1))-AVERAGE(OFFSET($H$3,0,0,'Données projet'!$E$9+1,1))</f>
        <v>368.41876532159154</v>
      </c>
      <c r="T59" s="59">
        <f t="shared" si="34"/>
        <v>369.39570124551125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3.6799466515458379</v>
      </c>
      <c r="AA59" s="21">
        <f>EXP(-LN(2)/25)*AA58+(1-EXP(-LN(2)/25))/(LN(2)/25)*Calculateur!V59*Calculateur!X59*VLOOKUP('Données projet'!$B$9,Paramètres!$A$1:$I$89,3,0)*0.475*44/12</f>
        <v>7.8887182899261061</v>
      </c>
      <c r="AB59" s="21">
        <f>EXP(-LN(2)/2)*AB58+(1-EXP(-LN(2)/2))/(LN(2)/2)*V59*Y59*VLOOKUP('Données projet'!$B$9,Paramètres!$A$1:$I$89,3,0)*0.475*44/12</f>
        <v>2.1692676589288129E-3</v>
      </c>
      <c r="AC59" s="22">
        <f t="shared" si="3"/>
        <v>11.570834209130872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6.8</v>
      </c>
      <c r="AI59" s="13">
        <f>IF('Données projet'!$A$62&gt;35,AI58+AH59-AQ58,IF(A59&lt;'Données projet'!$A$62,$AF$205^A59,IF(A59='Données projet'!$A$62,'Données projet'!$B$62,AI58+AH59-AQ58)))</f>
        <v>282.7999999999999</v>
      </c>
      <c r="AJ59" s="13">
        <f>AI59*VLOOKUP('Données projet'!$B$10,Paramètres!$A$1:$I$89,3,0)*VLOOKUP('Données projet'!$B$10,Paramètres!$A$1:$I$89,5,0)</f>
        <v>247.05407999999994</v>
      </c>
      <c r="AK59" s="13">
        <f t="shared" si="35"/>
        <v>59.954681887523527</v>
      </c>
      <c r="AL59" s="20">
        <f t="shared" si="4"/>
        <v>534.70692695410332</v>
      </c>
      <c r="AM59" s="59">
        <f t="shared" si="5"/>
        <v>828.04026028743669</v>
      </c>
      <c r="AN59" s="59">
        <f ca="1">AVERAGE(OFFSET($AM$3,0,0,'Données projet'!$E$10+1,1))-AVERAGE(OFFSET($H$3,0,0,'Données projet'!$E$10+1,1))</f>
        <v>402.82278346470082</v>
      </c>
      <c r="AO59" s="59">
        <f t="shared" si="36"/>
        <v>440.17787299198977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2.1409738502378759</v>
      </c>
      <c r="AV59" s="21">
        <f>EXP(-LN(2)/25)*AV58+(1-EXP(-LN(2)/25))/(LN(2)/25)*Calculateur!AQ59*Calculateur!AS59*VLOOKUP('Données projet'!$B$10,Paramètres!$A$1:$I$89,3,0)*0.475*44/12</f>
        <v>10.957604059957564</v>
      </c>
      <c r="AW59" s="21">
        <f>EXP(-LN(2)/2)*AW58+(1-EXP(-LN(2)/2))/(LN(2)/2)*AQ59*AT59*VLOOKUP('Données projet'!$B$10,Paramètres!$A$1:$I$89,3,0)*0.475*44/12</f>
        <v>3.2221438374942781E-3</v>
      </c>
      <c r="AX59" s="21">
        <f t="shared" si="6"/>
        <v>13.101800054032934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9.8000000000000007</v>
      </c>
      <c r="BD59" s="12">
        <f>IF('Données projet'!$A$88&gt;35,BD58+BC59-BL58,IF(A59&lt;'Données projet'!$A$88,$BA$205^A59,IF(A59='Données projet'!$A$88,'Données projet'!$B$88,BD58+BC59-BL58)))</f>
        <v>261.79999999999995</v>
      </c>
      <c r="BE59" s="13">
        <f>BD59*VLOOKUP('Données projet'!$B$11,Paramètres!$A$1:$I$89,3,0)*VLOOKUP('Données projet'!$B$11,Paramètres!$A$1:$I$89,5,0)</f>
        <v>236.87663999999995</v>
      </c>
      <c r="BF59" s="13">
        <f t="shared" si="37"/>
        <v>57.767012893614115</v>
      </c>
      <c r="BG59" s="20">
        <f t="shared" si="7"/>
        <v>513.17102878971104</v>
      </c>
      <c r="BH59" s="59">
        <f t="shared" si="8"/>
        <v>806.5043621230443</v>
      </c>
      <c r="BI59" s="59">
        <f ca="1">AVERAGE(OFFSET($BH$3,0,0,'Données projet'!$E$11+1,1))-AVERAGE(OFFSET($H$3,0,0,'Données projet'!$E$11+1,1))</f>
        <v>469.68830256438338</v>
      </c>
      <c r="BJ59" s="59">
        <f t="shared" si="38"/>
        <v>332.61387922152159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1.4392422594321463</v>
      </c>
      <c r="BQ59" s="21">
        <f>EXP(-LN(2)/25)*BQ58+(1-EXP(-LN(2)/25))/(LN(2)/25)*Calculateur!BL59*Calculateur!BN59*VLOOKUP('Données projet'!$B$11,Paramètres!$A$1:$I$89,3,0)*0.475*44/12</f>
        <v>5.4871445690050891</v>
      </c>
      <c r="BR59" s="21">
        <f>EXP(-LN(2)/2)*BR58+(1-EXP(-LN(2)/2))/(LN(2)/2)*BL59*BO59*VLOOKUP('Données projet'!$B$11,Paramètres!$A$1:$I$89,3,0)*0.475*44/12</f>
        <v>2.6310225554329368E-3</v>
      </c>
      <c r="BS59" s="22">
        <f t="shared" si="9"/>
        <v>6.9290178509926683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10.9</v>
      </c>
      <c r="BY59" s="12">
        <f>IF('Données projet'!$A$114&gt;35,BY58+BX59-CG58,IF(A59&lt;'Données projet'!$A$114,$BV$205^A59,IF(A59='Données projet'!$A$114,'Données projet'!$B$114,BY58+BX59-CG58)))</f>
        <v>254.40000000000009</v>
      </c>
      <c r="BZ59" s="13">
        <f>BY59*VLOOKUP('Données projet'!$B$12,Paramètres!$A$1:$I$89,3,0)*VLOOKUP('Données projet'!$B$12,Paramètres!$A$1:$I$89,5,0)</f>
        <v>242.08704000000009</v>
      </c>
      <c r="CA59" s="13">
        <f t="shared" si="39"/>
        <v>58.888340776302016</v>
      </c>
      <c r="CB59" s="20">
        <f t="shared" si="10"/>
        <v>524.1987881853928</v>
      </c>
      <c r="CC59" s="59">
        <f t="shared" si="11"/>
        <v>817.53212151872617</v>
      </c>
      <c r="CD59" s="59">
        <f ca="1">AVERAGE(OFFSET($CC$3,0,0,'Données projet'!$E$12+1,1))-AVERAGE(OFFSET($H$3,0,0,'Données projet'!$E$12+1,1))</f>
        <v>609.40025883662452</v>
      </c>
      <c r="CE59" s="59">
        <f t="shared" si="40"/>
        <v>294.48909834404577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1.9173151269871813</v>
      </c>
      <c r="CM59" s="21">
        <f>EXP(-LN(2)/2)*CM58+(1-EXP(-LN(2)/2))/(LN(2)/2)*CG59*CJ59*VLOOKUP('Données projet'!$B$12,Paramètres!$A$1:$I$89,3,0)*0.475*44/12</f>
        <v>9.590181707106667E-4</v>
      </c>
      <c r="CN59" s="22">
        <f t="shared" si="12"/>
        <v>1.918274145157892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13.499999999999996</v>
      </c>
      <c r="CT59" s="12">
        <f>IF('Données projet'!$A$140&gt;35,CT58+CS59-DB58,IF(A59&lt;'Données projet'!$A$140,$CQ$205^A59,IF(A59='Données projet'!$A$140,'Données projet'!$B$140,CT58+CS59-DB58)))</f>
        <v>320.79999999999984</v>
      </c>
      <c r="CU59" s="17">
        <f>CT59*VLOOKUP('Données projet'!$B$13,Paramètres!$A$1:$I$89,3,0)*VLOOKUP('Données projet'!$B$13,Paramètres!$A$1:$I$89,5,0)</f>
        <v>150.13439999999994</v>
      </c>
      <c r="CV59" s="13">
        <f t="shared" si="41"/>
        <v>38.609126910934812</v>
      </c>
      <c r="CW59" s="20">
        <f t="shared" si="13"/>
        <v>328.72830936987799</v>
      </c>
      <c r="CX59" s="59">
        <f t="shared" si="14"/>
        <v>622.06164270321131</v>
      </c>
      <c r="CY59" s="59">
        <f ca="1">AVERAGE(OFFSET($CX$3,0,0,'Données projet'!$E$13+1,1))-AVERAGE(OFFSET($H$3,0,0,'Données projet'!$E$13+1,1))</f>
        <v>346.16623654404509</v>
      </c>
      <c r="CZ59" s="59">
        <f t="shared" si="42"/>
        <v>281.80933156559087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1.8730841880758438</v>
      </c>
      <c r="DG59" s="21">
        <f>EXP(-LN(2)/25)*DG58+(1-EXP(-LN(2)/25))/(LN(2)/25)*Calculateur!DB59*Calculateur!DD59*VLOOKUP('Données projet'!$B$13,Paramètres!$A$1:$I$89,3,0)*0.475*44/12</f>
        <v>3.8203281340661834</v>
      </c>
      <c r="DH59" s="21">
        <f>EXP(-LN(2)/2)*DH58+(1-EXP(-LN(2)/2))/(LN(2)/2)*DB59*DE59*VLOOKUP('Données projet'!$B$13,Paramètres!$A$1:$I$89,3,0)*0.475*44/12</f>
        <v>1.2002168555048818E-3</v>
      </c>
      <c r="DI59" s="22">
        <f t="shared" si="15"/>
        <v>5.6946125389975322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8.8000000000000007</v>
      </c>
      <c r="DO59" s="12">
        <f>IF('Données projet'!$A$166&gt;35,DO58+DN59-DW58,IF(A59&lt;'Données projet'!$A$166,$DL$205^A59,IF(A59='Données projet'!$A$166,'Données projet'!$B$166,DO58+DN59-DW58)))</f>
        <v>315.80000000000024</v>
      </c>
      <c r="DP59" s="17">
        <f>DO59*VLOOKUP('Données projet'!$B$14,Paramètres!$A$1:$I$89,3,0)*VLOOKUP('Données projet'!$B$14,Paramètres!$A$1:$I$89,5,0)</f>
        <v>197.05920000000015</v>
      </c>
      <c r="DQ59" s="13">
        <f t="shared" si="43"/>
        <v>49.097312759424973</v>
      </c>
      <c r="DR59" s="20">
        <f t="shared" si="16"/>
        <v>428.72259305599874</v>
      </c>
      <c r="DS59" s="59">
        <f t="shared" si="17"/>
        <v>722.05592638933206</v>
      </c>
      <c r="DT59" s="59">
        <f ca="1">AVERAGE(OFFSET($DS$3,0,0,'Données projet'!$E$14+1,1))-AVERAGE(OFFSET($H$3,0,0,'Données projet'!$E$14+1,1))</f>
        <v>319.97171762304686</v>
      </c>
      <c r="DU59" s="59">
        <f t="shared" si="44"/>
        <v>337.89345858359621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4.1549896824023449</v>
      </c>
      <c r="EB59" s="21">
        <f>EXP(-LN(2)/25)*EB58+(1-EXP(-LN(2)/25))/(LN(2)/25)*Calculateur!DW59*Calculateur!DY59*VLOOKUP('Données projet'!$B$14,Paramètres!$A$1:$I$89,3,0)*0.475*44/12</f>
        <v>10.109731003936314</v>
      </c>
      <c r="EC59" s="21">
        <f>EXP(-LN(2)/2)*EC58+(1-EXP(-LN(2)/2))/(LN(2)/2)*DW59*DZ59*VLOOKUP('Données projet'!$B$14,Paramètres!$A$1:$I$89,3,0)*0.475*44/12</f>
        <v>2.4646991581683477E-3</v>
      </c>
      <c r="ED59" s="22">
        <f t="shared" si="18"/>
        <v>14.267185385496827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2.625</v>
      </c>
      <c r="EJ59" s="12">
        <f>IF('Données projet'!$A$192&gt;35,EJ58+EI59-ER58,IF(A59&lt;'Données projet'!$A$192,$EG$205^A59,IF(A59='Données projet'!$A$192,'Données projet'!$B$192,EJ58+EI59-ER58)))</f>
        <v>300.25</v>
      </c>
      <c r="EK59" s="17">
        <f>EJ59*VLOOKUP('Données projet'!$B$15,Paramètres!$A$1:$I$89,3,0)*VLOOKUP('Données projet'!$B$15,Paramètres!$A$1:$I$89,5,0)</f>
        <v>179.54950000000002</v>
      </c>
      <c r="EL59" s="13">
        <f t="shared" si="45"/>
        <v>45.221943603548368</v>
      </c>
      <c r="EM59" s="20">
        <f t="shared" si="19"/>
        <v>391.47693094284676</v>
      </c>
      <c r="EN59" s="59">
        <f t="shared" si="20"/>
        <v>684.81026427618008</v>
      </c>
      <c r="EO59" s="59">
        <f ca="1">AVERAGE(OFFSET($EN$3,0,0,'Données projet'!$E$15+1,1))-AVERAGE(OFFSET($H$3,0,0,'Données projet'!$E$15+1,1))</f>
        <v>258.46015871559956</v>
      </c>
      <c r="EP59" s="59">
        <f t="shared" si="46"/>
        <v>280.26155987300996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3.7121681094639118</v>
      </c>
      <c r="EW59" s="21">
        <f>EXP(-LN(2)/25)*EW58+(1-EXP(-LN(2)/25))/(LN(2)/25)*Calculateur!ER59*Calculateur!ET59*VLOOKUP('Données projet'!$B$15,Paramètres!$A$1:$I$89,3,0)*0.475*44/12</f>
        <v>5.9968468141615787</v>
      </c>
      <c r="EX59" s="21">
        <f>EXP(-LN(2)/2)*EX58+(1-EXP(-LN(2)/2))/(LN(2)/2)*ER59*EU59*VLOOKUP('Données projet'!$B$15,Paramètres!$A$1:$I$89,3,0)*0.475*44/12</f>
        <v>6.6475736988209975E-4</v>
      </c>
      <c r="EY59" s="22">
        <f t="shared" si="21"/>
        <v>9.7096796809953734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6.3</v>
      </c>
      <c r="N60" s="13">
        <f>IF('Données projet'!$A$36&gt;35,N59+M60-V59,IF(A60&lt;'Données projet'!$A$36,$K$205^A60,IF(A60='Données projet'!$A$36,'Données projet'!$B$36,N59+M60-V59)))</f>
        <v>229.10000000000002</v>
      </c>
      <c r="O60" s="13">
        <f>N60*VLOOKUP('Données projet'!$B$9,Paramètres!$A$1:$I$89,3,0)*VLOOKUP('Données projet'!$B$9,Paramètres!$A$1:$I$89,5,0)</f>
        <v>200.14176000000003</v>
      </c>
      <c r="P60" s="13">
        <f t="shared" si="33"/>
        <v>49.775320997880847</v>
      </c>
      <c r="Q60" s="20">
        <f t="shared" si="53"/>
        <v>435.27224940464248</v>
      </c>
      <c r="R60" s="59">
        <f t="shared" si="0"/>
        <v>728.60558273797574</v>
      </c>
      <c r="S60" s="59">
        <f ca="1">AVERAGE(OFFSET($R$3,0,0,'Données projet'!$E$9+1,1))-AVERAGE(OFFSET($H$3,0,0,'Données projet'!$E$9+1,1))</f>
        <v>368.41876532159154</v>
      </c>
      <c r="T60" s="59">
        <f t="shared" si="34"/>
        <v>369.39570124551125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3.6077851422548508</v>
      </c>
      <c r="AA60" s="21">
        <f>EXP(-LN(2)/25)*AA59+(1-EXP(-LN(2)/25))/(LN(2)/25)*Calculateur!V60*Calculateur!X60*VLOOKUP('Données projet'!$B$9,Paramètres!$A$1:$I$89,3,0)*0.475*44/12</f>
        <v>7.6730008734384114</v>
      </c>
      <c r="AB60" s="21">
        <f>EXP(-LN(2)/2)*AB59+(1-EXP(-LN(2)/2))/(LN(2)/2)*V60*Y60*VLOOKUP('Données projet'!$B$9,Paramètres!$A$1:$I$89,3,0)*0.475*44/12</f>
        <v>1.5339038718372303E-3</v>
      </c>
      <c r="AC60" s="22">
        <f t="shared" si="3"/>
        <v>11.282319919565101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6.8</v>
      </c>
      <c r="AI60" s="13">
        <f>IF('Données projet'!$A$62&gt;35,AI59+AH60-AQ59,IF(A60&lt;'Données projet'!$A$62,$AF$205^A60,IF(A60='Données projet'!$A$62,'Données projet'!$B$62,AI59+AH60-AQ59)))</f>
        <v>289.59999999999991</v>
      </c>
      <c r="AJ60" s="13">
        <f>AI60*VLOOKUP('Données projet'!$B$10,Paramètres!$A$1:$I$89,3,0)*VLOOKUP('Données projet'!$B$10,Paramètres!$A$1:$I$89,5,0)</f>
        <v>252.99455999999995</v>
      </c>
      <c r="AK60" s="13">
        <f t="shared" si="35"/>
        <v>61.226735756470482</v>
      </c>
      <c r="AL60" s="20">
        <f t="shared" si="4"/>
        <v>547.26875677585269</v>
      </c>
      <c r="AM60" s="59">
        <f t="shared" si="5"/>
        <v>840.60209010918607</v>
      </c>
      <c r="AN60" s="59">
        <f ca="1">AVERAGE(OFFSET($AM$3,0,0,'Données projet'!$E$10+1,1))-AVERAGE(OFFSET($H$3,0,0,'Données projet'!$E$10+1,1))</f>
        <v>402.82278346470082</v>
      </c>
      <c r="AO60" s="59">
        <f t="shared" si="36"/>
        <v>440.17787299198977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2.0989906588998162</v>
      </c>
      <c r="AV60" s="21">
        <f>EXP(-LN(2)/25)*AV59+(1-EXP(-LN(2)/25))/(LN(2)/25)*Calculateur!AQ60*Calculateur!AS60*VLOOKUP('Données projet'!$B$10,Paramètres!$A$1:$I$89,3,0)*0.475*44/12</f>
        <v>10.657967800702671</v>
      </c>
      <c r="AW60" s="21">
        <f>EXP(-LN(2)/2)*AW59+(1-EXP(-LN(2)/2))/(LN(2)/2)*AQ60*AT60*VLOOKUP('Données projet'!$B$10,Paramètres!$A$1:$I$89,3,0)*0.475*44/12</f>
        <v>2.278399757450649E-3</v>
      </c>
      <c r="AX60" s="21">
        <f t="shared" si="6"/>
        <v>12.759236859359937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9.8000000000000007</v>
      </c>
      <c r="BD60" s="12">
        <f>IF('Données projet'!$A$88&gt;35,BD59+BC60-BL59,IF(A60&lt;'Données projet'!$A$88,$BA$205^A60,IF(A60='Données projet'!$A$88,'Données projet'!$B$88,BD59+BC60-BL59)))</f>
        <v>271.59999999999997</v>
      </c>
      <c r="BE60" s="13">
        <f>BD60*VLOOKUP('Données projet'!$B$11,Paramètres!$A$1:$I$89,3,0)*VLOOKUP('Données projet'!$B$11,Paramètres!$A$1:$I$89,5,0)</f>
        <v>245.74367999999996</v>
      </c>
      <c r="BF60" s="13">
        <f t="shared" si="37"/>
        <v>59.673605104126452</v>
      </c>
      <c r="BG60" s="20">
        <f t="shared" si="7"/>
        <v>531.93510488968684</v>
      </c>
      <c r="BH60" s="59">
        <f t="shared" si="8"/>
        <v>825.26843822302021</v>
      </c>
      <c r="BI60" s="59">
        <f ca="1">AVERAGE(OFFSET($BH$3,0,0,'Données projet'!$E$11+1,1))-AVERAGE(OFFSET($H$3,0,0,'Données projet'!$E$11+1,1))</f>
        <v>469.68830256438338</v>
      </c>
      <c r="BJ60" s="59">
        <f t="shared" si="38"/>
        <v>332.61387922152159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1.4110195965757797</v>
      </c>
      <c r="BQ60" s="21">
        <f>EXP(-LN(2)/25)*BQ59+(1-EXP(-LN(2)/25))/(LN(2)/25)*Calculateur!BL60*Calculateur!BN60*VLOOKUP('Données projet'!$B$11,Paramètres!$A$1:$I$89,3,0)*0.475*44/12</f>
        <v>5.3370983122092532</v>
      </c>
      <c r="BR60" s="21">
        <f>EXP(-LN(2)/2)*BR59+(1-EXP(-LN(2)/2))/(LN(2)/2)*BL60*BO60*VLOOKUP('Données projet'!$B$11,Paramètres!$A$1:$I$89,3,0)*0.475*44/12</f>
        <v>1.8604138904013889E-3</v>
      </c>
      <c r="BS60" s="22">
        <f t="shared" si="9"/>
        <v>6.7499783226754344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10.9</v>
      </c>
      <c r="BY60" s="12">
        <f>IF('Données projet'!$A$114&gt;35,BY59+BX60-CG59,IF(A60&lt;'Données projet'!$A$114,$BV$205^A60,IF(A60='Données projet'!$A$114,'Données projet'!$B$114,BY59+BX60-CG59)))</f>
        <v>265.30000000000007</v>
      </c>
      <c r="BZ60" s="13">
        <f>BY60*VLOOKUP('Données projet'!$B$12,Paramètres!$A$1:$I$89,3,0)*VLOOKUP('Données projet'!$B$12,Paramètres!$A$1:$I$89,5,0)</f>
        <v>252.45948000000004</v>
      </c>
      <c r="CA60" s="13">
        <f t="shared" si="39"/>
        <v>61.112301027366684</v>
      </c>
      <c r="CB60" s="20">
        <f t="shared" si="10"/>
        <v>546.13751862266372</v>
      </c>
      <c r="CC60" s="59">
        <f t="shared" si="11"/>
        <v>839.47085195599698</v>
      </c>
      <c r="CD60" s="59">
        <f ca="1">AVERAGE(OFFSET($CC$3,0,0,'Données projet'!$E$12+1,1))-AVERAGE(OFFSET($H$3,0,0,'Données projet'!$E$12+1,1))</f>
        <v>609.40025883662452</v>
      </c>
      <c r="CE60" s="59">
        <f t="shared" si="40"/>
        <v>294.48909834404577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1.8648860440124964</v>
      </c>
      <c r="CM60" s="21">
        <f>EXP(-LN(2)/2)*CM59+(1-EXP(-LN(2)/2))/(LN(2)/2)*CG60*CJ60*VLOOKUP('Données projet'!$B$12,Paramètres!$A$1:$I$89,3,0)*0.475*44/12</f>
        <v>6.7812825179063051E-4</v>
      </c>
      <c r="CN60" s="22">
        <f t="shared" si="12"/>
        <v>1.8655641722642871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13.499999999999996</v>
      </c>
      <c r="CT60" s="12">
        <f>IF('Données projet'!$A$140&gt;35,CT59+CS60-DB59,IF(A60&lt;'Données projet'!$A$140,$CQ$205^A60,IF(A60='Données projet'!$A$140,'Données projet'!$B$140,CT59+CS60-DB59)))</f>
        <v>334.29999999999984</v>
      </c>
      <c r="CU60" s="17">
        <f>CT60*VLOOKUP('Données projet'!$B$13,Paramètres!$A$1:$I$89,3,0)*VLOOKUP('Données projet'!$B$13,Paramètres!$A$1:$I$89,5,0)</f>
        <v>156.45239999999993</v>
      </c>
      <c r="CV60" s="13">
        <f t="shared" si="41"/>
        <v>40.041303130551007</v>
      </c>
      <c r="CW60" s="20">
        <f t="shared" si="13"/>
        <v>342.2265329523762</v>
      </c>
      <c r="CX60" s="59">
        <f t="shared" si="14"/>
        <v>635.55986628570952</v>
      </c>
      <c r="CY60" s="59">
        <f ca="1">AVERAGE(OFFSET($CX$3,0,0,'Données projet'!$E$13+1,1))-AVERAGE(OFFSET($H$3,0,0,'Données projet'!$E$13+1,1))</f>
        <v>346.16623654404509</v>
      </c>
      <c r="CZ60" s="59">
        <f t="shared" si="42"/>
        <v>281.80933156559087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1.8363541496162219</v>
      </c>
      <c r="DG60" s="21">
        <f>EXP(-LN(2)/25)*DG59+(1-EXP(-LN(2)/25))/(LN(2)/25)*Calculateur!DB60*Calculateur!DD60*VLOOKUP('Données projet'!$B$13,Paramètres!$A$1:$I$89,3,0)*0.475*44/12</f>
        <v>3.7158610603378186</v>
      </c>
      <c r="DH60" s="21">
        <f>EXP(-LN(2)/2)*DH59+(1-EXP(-LN(2)/2))/(LN(2)/2)*DB60*DE60*VLOOKUP('Données projet'!$B$13,Paramètres!$A$1:$I$89,3,0)*0.475*44/12</f>
        <v>8.4868147742189661E-4</v>
      </c>
      <c r="DI60" s="22">
        <f t="shared" si="15"/>
        <v>5.5530638914314618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8.8000000000000007</v>
      </c>
      <c r="DO60" s="12">
        <f>IF('Données projet'!$A$166&gt;35,DO59+DN60-DW59,IF(A60&lt;'Données projet'!$A$166,$DL$205^A60,IF(A60='Données projet'!$A$166,'Données projet'!$B$166,DO59+DN60-DW59)))</f>
        <v>324.60000000000025</v>
      </c>
      <c r="DP60" s="17">
        <f>DO60*VLOOKUP('Données projet'!$B$14,Paramètres!$A$1:$I$89,3,0)*VLOOKUP('Données projet'!$B$14,Paramètres!$A$1:$I$89,5,0)</f>
        <v>202.55040000000014</v>
      </c>
      <c r="DQ60" s="13">
        <f t="shared" si="43"/>
        <v>50.304254428465725</v>
      </c>
      <c r="DR60" s="20">
        <f t="shared" si="16"/>
        <v>440.38852312957806</v>
      </c>
      <c r="DS60" s="59">
        <f t="shared" si="17"/>
        <v>733.72185646291132</v>
      </c>
      <c r="DT60" s="59">
        <f ca="1">AVERAGE(OFFSET($DS$3,0,0,'Données projet'!$E$14+1,1))-AVERAGE(OFFSET($H$3,0,0,'Données projet'!$E$14+1,1))</f>
        <v>319.97171762304686</v>
      </c>
      <c r="DU60" s="59">
        <f t="shared" si="44"/>
        <v>337.89345858359621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4.0735128690239009</v>
      </c>
      <c r="EB60" s="21">
        <f>EXP(-LN(2)/25)*EB59+(1-EXP(-LN(2)/25))/(LN(2)/25)*Calculateur!DW60*Calculateur!DY60*VLOOKUP('Données projet'!$B$14,Paramètres!$A$1:$I$89,3,0)*0.475*44/12</f>
        <v>9.833279877986028</v>
      </c>
      <c r="EC60" s="21">
        <f>EXP(-LN(2)/2)*EC59+(1-EXP(-LN(2)/2))/(LN(2)/2)*DW60*DZ60*VLOOKUP('Données projet'!$B$14,Paramètres!$A$1:$I$89,3,0)*0.475*44/12</f>
        <v>1.7428054883256137E-3</v>
      </c>
      <c r="ED60" s="22">
        <f t="shared" si="18"/>
        <v>13.908535552498254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2.625</v>
      </c>
      <c r="EJ60" s="12">
        <f>IF('Données projet'!$A$192&gt;35,EJ59+EI60-ER59,IF(A60&lt;'Données projet'!$A$192,$EG$205^A60,IF(A60='Données projet'!$A$192,'Données projet'!$B$192,EJ59+EI60-ER59)))</f>
        <v>302.875</v>
      </c>
      <c r="EK60" s="17">
        <f>EJ60*VLOOKUP('Données projet'!$B$15,Paramètres!$A$1:$I$89,3,0)*VLOOKUP('Données projet'!$B$15,Paramètres!$A$1:$I$89,5,0)</f>
        <v>181.11925000000002</v>
      </c>
      <c r="EL60" s="13">
        <f t="shared" si="45"/>
        <v>45.571108763102352</v>
      </c>
      <c r="EM60" s="20">
        <f t="shared" si="19"/>
        <v>394.81904151240332</v>
      </c>
      <c r="EN60" s="59">
        <f t="shared" si="20"/>
        <v>688.15237484573663</v>
      </c>
      <c r="EO60" s="59">
        <f ca="1">AVERAGE(OFFSET($EN$3,0,0,'Données projet'!$E$15+1,1))-AVERAGE(OFFSET($H$3,0,0,'Données projet'!$E$15+1,1))</f>
        <v>258.46015871559956</v>
      </c>
      <c r="EP60" s="59">
        <f t="shared" si="46"/>
        <v>280.26155987300996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3.6393747570363004</v>
      </c>
      <c r="EW60" s="21">
        <f>EXP(-LN(2)/25)*EW59+(1-EXP(-LN(2)/25))/(LN(2)/25)*Calculateur!ER60*Calculateur!ET60*VLOOKUP('Données projet'!$B$15,Paramètres!$A$1:$I$89,3,0)*0.475*44/12</f>
        <v>5.832862722667862</v>
      </c>
      <c r="EX60" s="21">
        <f>EXP(-LN(2)/2)*EX59+(1-EXP(-LN(2)/2))/(LN(2)/2)*ER60*EU60*VLOOKUP('Données projet'!$B$15,Paramètres!$A$1:$I$89,3,0)*0.475*44/12</f>
        <v>4.7005444408736678E-4</v>
      </c>
      <c r="EY60" s="22">
        <f t="shared" si="21"/>
        <v>9.472707534148249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6.3</v>
      </c>
      <c r="N61" s="13">
        <f>IF('Données projet'!$A$36&gt;35,N60+M61-V60,IF(A61&lt;'Données projet'!$A$36,$K$205^A61,IF(A61='Données projet'!$A$36,'Données projet'!$B$36,N60+M61-V60)))</f>
        <v>235.40000000000003</v>
      </c>
      <c r="O61" s="13">
        <f>N61*VLOOKUP('Données projet'!$B$9,Paramètres!$A$1:$I$89,3,0)*VLOOKUP('Données projet'!$B$9,Paramètres!$A$1:$I$89,5,0)</f>
        <v>205.64544000000006</v>
      </c>
      <c r="P61" s="13">
        <f t="shared" si="33"/>
        <v>50.982847417614359</v>
      </c>
      <c r="Q61" s="20">
        <f t="shared" si="53"/>
        <v>446.96093391901178</v>
      </c>
      <c r="R61" s="59">
        <f t="shared" si="0"/>
        <v>740.29426725234509</v>
      </c>
      <c r="S61" s="59">
        <f ca="1">AVERAGE(OFFSET($R$3,0,0,'Données projet'!$E$9+1,1))-AVERAGE(OFFSET($H$3,0,0,'Données projet'!$E$9+1,1))</f>
        <v>368.41876532159154</v>
      </c>
      <c r="T61" s="59">
        <f t="shared" si="34"/>
        <v>369.39570124551125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3.5370386761468855</v>
      </c>
      <c r="AA61" s="21">
        <f>EXP(-LN(2)/25)*AA60+(1-EXP(-LN(2)/25))/(LN(2)/25)*Calculateur!V61*Calculateur!X61*VLOOKUP('Données projet'!$B$9,Paramètres!$A$1:$I$89,3,0)*0.475*44/12</f>
        <v>7.4631822610486589</v>
      </c>
      <c r="AB61" s="21">
        <f>EXP(-LN(2)/2)*AB60+(1-EXP(-LN(2)/2))/(LN(2)/2)*V61*Y61*VLOOKUP('Données projet'!$B$9,Paramètres!$A$1:$I$89,3,0)*0.475*44/12</f>
        <v>1.0846338294644064E-3</v>
      </c>
      <c r="AC61" s="22">
        <f t="shared" si="3"/>
        <v>11.001305571025009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6.8</v>
      </c>
      <c r="AI61" s="13">
        <f>IF('Données projet'!$A$62&gt;35,AI60+AH61-AQ60,IF(A61&lt;'Données projet'!$A$62,$AF$205^A61,IF(A61='Données projet'!$A$62,'Données projet'!$B$62,AI60+AH61-AQ60)))</f>
        <v>296.39999999999992</v>
      </c>
      <c r="AJ61" s="13">
        <f>AI61*VLOOKUP('Données projet'!$B$10,Paramètres!$A$1:$I$89,3,0)*VLOOKUP('Données projet'!$B$10,Paramètres!$A$1:$I$89,5,0)</f>
        <v>258.93503999999996</v>
      </c>
      <c r="AK61" s="13">
        <f t="shared" si="35"/>
        <v>62.495317322077135</v>
      </c>
      <c r="AL61" s="20">
        <f t="shared" si="4"/>
        <v>559.8245390026176</v>
      </c>
      <c r="AM61" s="59">
        <f t="shared" si="5"/>
        <v>853.15787233595097</v>
      </c>
      <c r="AN61" s="59">
        <f ca="1">AVERAGE(OFFSET($AM$3,0,0,'Données projet'!$E$10+1,1))-AVERAGE(OFFSET($H$3,0,0,'Données projet'!$E$10+1,1))</f>
        <v>402.82278346470082</v>
      </c>
      <c r="AO61" s="59">
        <f t="shared" si="36"/>
        <v>440.17787299198977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2.0578307323366776</v>
      </c>
      <c r="AV61" s="21">
        <f>EXP(-LN(2)/25)*AV60+(1-EXP(-LN(2)/25))/(LN(2)/25)*Calculateur!AQ61*Calculateur!AS61*VLOOKUP('Données projet'!$B$10,Paramètres!$A$1:$I$89,3,0)*0.475*44/12</f>
        <v>10.366525110714289</v>
      </c>
      <c r="AW61" s="21">
        <f>EXP(-LN(2)/2)*AW60+(1-EXP(-LN(2)/2))/(LN(2)/2)*AQ61*AT61*VLOOKUP('Données projet'!$B$10,Paramètres!$A$1:$I$89,3,0)*0.475*44/12</f>
        <v>1.6110719187471391E-3</v>
      </c>
      <c r="AX61" s="21">
        <f t="shared" si="6"/>
        <v>12.425966914969713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9.8000000000000007</v>
      </c>
      <c r="BD61" s="12">
        <f>IF('Données projet'!$A$88&gt;35,BD60+BC61-BL60,IF(A61&lt;'Données projet'!$A$88,$BA$205^A61,IF(A61='Données projet'!$A$88,'Données projet'!$B$88,BD60+BC61-BL60)))</f>
        <v>281.39999999999998</v>
      </c>
      <c r="BE61" s="13">
        <f>BD61*VLOOKUP('Données projet'!$B$11,Paramètres!$A$1:$I$89,3,0)*VLOOKUP('Données projet'!$B$11,Paramètres!$A$1:$I$89,5,0)</f>
        <v>254.61071999999999</v>
      </c>
      <c r="BF61" s="13">
        <f t="shared" si="37"/>
        <v>61.572204587965679</v>
      </c>
      <c r="BG61" s="20">
        <f t="shared" si="7"/>
        <v>550.68526032404009</v>
      </c>
      <c r="BH61" s="59">
        <f t="shared" si="8"/>
        <v>844.01859365737346</v>
      </c>
      <c r="BI61" s="59">
        <f ca="1">AVERAGE(OFFSET($BH$3,0,0,'Données projet'!$E$11+1,1))-AVERAGE(OFFSET($H$3,0,0,'Données projet'!$E$11+1,1))</f>
        <v>469.68830256438338</v>
      </c>
      <c r="BJ61" s="59">
        <f t="shared" si="38"/>
        <v>332.61387922152159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1.3833503629239017</v>
      </c>
      <c r="BQ61" s="21">
        <f>EXP(-LN(2)/25)*BQ60+(1-EXP(-LN(2)/25))/(LN(2)/25)*Calculateur!BL61*Calculateur!BN61*VLOOKUP('Données projet'!$B$11,Paramètres!$A$1:$I$89,3,0)*0.475*44/12</f>
        <v>5.1911550781960889</v>
      </c>
      <c r="BR61" s="21">
        <f>EXP(-LN(2)/2)*BR60+(1-EXP(-LN(2)/2))/(LN(2)/2)*BL61*BO61*VLOOKUP('Données projet'!$B$11,Paramètres!$A$1:$I$89,3,0)*0.475*44/12</f>
        <v>1.3155112777164686E-3</v>
      </c>
      <c r="BS61" s="22">
        <f t="shared" si="9"/>
        <v>6.5758209523977067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10.9</v>
      </c>
      <c r="BY61" s="12">
        <f>IF('Données projet'!$A$114&gt;35,BY60+BX61-CG60,IF(A61&lt;'Données projet'!$A$114,$BV$205^A61,IF(A61='Données projet'!$A$114,'Données projet'!$B$114,BY60+BX61-CG60)))</f>
        <v>276.20000000000005</v>
      </c>
      <c r="BZ61" s="13">
        <f>BY61*VLOOKUP('Données projet'!$B$12,Paramètres!$A$1:$I$89,3,0)*VLOOKUP('Données projet'!$B$12,Paramètres!$A$1:$I$89,5,0)</f>
        <v>262.83192000000003</v>
      </c>
      <c r="CA61" s="13">
        <f t="shared" si="39"/>
        <v>63.325647738844125</v>
      </c>
      <c r="CB61" s="20">
        <f t="shared" si="10"/>
        <v>568.05776381182022</v>
      </c>
      <c r="CC61" s="59">
        <f t="shared" si="11"/>
        <v>861.39109714515348</v>
      </c>
      <c r="CD61" s="59">
        <f ca="1">AVERAGE(OFFSET($CC$3,0,0,'Données projet'!$E$12+1,1))-AVERAGE(OFFSET($H$3,0,0,'Données projet'!$E$12+1,1))</f>
        <v>609.40025883662452</v>
      </c>
      <c r="CE61" s="59">
        <f t="shared" si="40"/>
        <v>294.48909834404577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1.8138906370688799</v>
      </c>
      <c r="CM61" s="21">
        <f>EXP(-LN(2)/2)*CM60+(1-EXP(-LN(2)/2))/(LN(2)/2)*CG61*CJ61*VLOOKUP('Données projet'!$B$12,Paramètres!$A$1:$I$89,3,0)*0.475*44/12</f>
        <v>4.795090853553334E-4</v>
      </c>
      <c r="CN61" s="22">
        <f t="shared" si="12"/>
        <v>1.8143701461542352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13.499999999999996</v>
      </c>
      <c r="CT61" s="12">
        <f>IF('Données projet'!$A$140&gt;35,CT60+CS61-DB60,IF(A61&lt;'Données projet'!$A$140,$CQ$205^A61,IF(A61='Données projet'!$A$140,'Données projet'!$B$140,CT60+CS61-DB60)))</f>
        <v>347.79999999999984</v>
      </c>
      <c r="CU61" s="17">
        <f>CT61*VLOOKUP('Données projet'!$B$13,Paramètres!$A$1:$I$89,3,0)*VLOOKUP('Données projet'!$B$13,Paramètres!$A$1:$I$89,5,0)</f>
        <v>162.77039999999994</v>
      </c>
      <c r="CV61" s="13">
        <f t="shared" si="41"/>
        <v>41.466761176934256</v>
      </c>
      <c r="CW61" s="20">
        <f t="shared" si="13"/>
        <v>355.71305571649367</v>
      </c>
      <c r="CX61" s="59">
        <f t="shared" si="14"/>
        <v>649.04638904982698</v>
      </c>
      <c r="CY61" s="59">
        <f ca="1">AVERAGE(OFFSET($CX$3,0,0,'Données projet'!$E$13+1,1))-AVERAGE(OFFSET($H$3,0,0,'Données projet'!$E$13+1,1))</f>
        <v>346.16623654404509</v>
      </c>
      <c r="CZ61" s="59">
        <f t="shared" si="42"/>
        <v>281.80933156559087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1.8003443648076818</v>
      </c>
      <c r="DG61" s="21">
        <f>EXP(-LN(2)/25)*DG60+(1-EXP(-LN(2)/25))/(LN(2)/25)*Calculateur!DB61*Calculateur!DD61*VLOOKUP('Données projet'!$B$13,Paramètres!$A$1:$I$89,3,0)*0.475*44/12</f>
        <v>3.6142506442342404</v>
      </c>
      <c r="DH61" s="21">
        <f>EXP(-LN(2)/2)*DH60+(1-EXP(-LN(2)/2))/(LN(2)/2)*DB61*DE61*VLOOKUP('Données projet'!$B$13,Paramètres!$A$1:$I$89,3,0)*0.475*44/12</f>
        <v>6.0010842775244091E-4</v>
      </c>
      <c r="DI61" s="22">
        <f t="shared" si="15"/>
        <v>5.4151951174696746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8.8000000000000007</v>
      </c>
      <c r="DO61" s="12">
        <f>IF('Données projet'!$A$166&gt;35,DO60+DN61-DW60,IF(A61&lt;'Données projet'!$A$166,$DL$205^A61,IF(A61='Données projet'!$A$166,'Données projet'!$B$166,DO60+DN61-DW60)))</f>
        <v>333.40000000000026</v>
      </c>
      <c r="DP61" s="17">
        <f>DO61*VLOOKUP('Données projet'!$B$14,Paramètres!$A$1:$I$89,3,0)*VLOOKUP('Données projet'!$B$14,Paramètres!$A$1:$I$89,5,0)</f>
        <v>208.04160000000016</v>
      </c>
      <c r="DQ61" s="13">
        <f t="shared" si="43"/>
        <v>51.507392937650074</v>
      </c>
      <c r="DR61" s="20">
        <f t="shared" si="16"/>
        <v>452.04782936640748</v>
      </c>
      <c r="DS61" s="59">
        <f t="shared" si="17"/>
        <v>745.3811626997408</v>
      </c>
      <c r="DT61" s="59">
        <f ca="1">AVERAGE(OFFSET($DS$3,0,0,'Données projet'!$E$14+1,1))-AVERAGE(OFFSET($H$3,0,0,'Données projet'!$E$14+1,1))</f>
        <v>319.97171762304686</v>
      </c>
      <c r="DU61" s="59">
        <f t="shared" si="44"/>
        <v>337.89345858359621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3.9936337662598587</v>
      </c>
      <c r="EB61" s="21">
        <f>EXP(-LN(2)/25)*EB60+(1-EXP(-LN(2)/25))/(LN(2)/25)*Calculateur!DW61*Calculateur!DY61*VLOOKUP('Données projet'!$B$14,Paramètres!$A$1:$I$89,3,0)*0.475*44/12</f>
        <v>9.5643883226127855</v>
      </c>
      <c r="EC61" s="21">
        <f>EXP(-LN(2)/2)*EC60+(1-EXP(-LN(2)/2))/(LN(2)/2)*DW61*DZ61*VLOOKUP('Données projet'!$B$14,Paramètres!$A$1:$I$89,3,0)*0.475*44/12</f>
        <v>1.2323495790841738E-3</v>
      </c>
      <c r="ED61" s="22">
        <f t="shared" si="18"/>
        <v>13.559254438451728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2.625</v>
      </c>
      <c r="EJ61" s="12">
        <f>IF('Données projet'!$A$192&gt;35,EJ60+EI61-ER60,IF(A61&lt;'Données projet'!$A$192,$EG$205^A61,IF(A61='Données projet'!$A$192,'Données projet'!$B$192,EJ60+EI61-ER60)))</f>
        <v>305.5</v>
      </c>
      <c r="EK61" s="17">
        <f>EJ61*VLOOKUP('Données projet'!$B$15,Paramètres!$A$1:$I$89,3,0)*VLOOKUP('Données projet'!$B$15,Paramètres!$A$1:$I$89,5,0)</f>
        <v>182.68900000000002</v>
      </c>
      <c r="EL61" s="13">
        <f t="shared" si="45"/>
        <v>45.919921846619154</v>
      </c>
      <c r="EM61" s="20">
        <f t="shared" si="19"/>
        <v>398.16053888286166</v>
      </c>
      <c r="EN61" s="59">
        <f t="shared" si="20"/>
        <v>691.49387221619497</v>
      </c>
      <c r="EO61" s="59">
        <f ca="1">AVERAGE(OFFSET($EN$3,0,0,'Données projet'!$E$15+1,1))-AVERAGE(OFFSET($H$3,0,0,'Données projet'!$E$15+1,1))</f>
        <v>258.46015871559956</v>
      </c>
      <c r="EP61" s="59">
        <f t="shared" si="46"/>
        <v>280.26155987300996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3.5680088378502335</v>
      </c>
      <c r="EW61" s="21">
        <f>EXP(-LN(2)/25)*EW60+(1-EXP(-LN(2)/25))/(LN(2)/25)*Calculateur!ER61*Calculateur!ET61*VLOOKUP('Données projet'!$B$15,Paramètres!$A$1:$I$89,3,0)*0.475*44/12</f>
        <v>5.6733627847795898</v>
      </c>
      <c r="EX61" s="21">
        <f>EXP(-LN(2)/2)*EX60+(1-EXP(-LN(2)/2))/(LN(2)/2)*ER61*EU61*VLOOKUP('Données projet'!$B$15,Paramètres!$A$1:$I$89,3,0)*0.475*44/12</f>
        <v>3.3237868494104993E-4</v>
      </c>
      <c r="EY61" s="22">
        <f t="shared" si="21"/>
        <v>9.2417040013147655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6.3</v>
      </c>
      <c r="N62" s="13">
        <f>IF('Données projet'!$A$36&gt;35,N61+M62-V61,IF(A62&lt;'Données projet'!$A$36,$K$205^A62,IF(A62='Données projet'!$A$36,'Données projet'!$B$36,N61+M62-V61)))</f>
        <v>241.70000000000005</v>
      </c>
      <c r="O62" s="13">
        <f>N62*VLOOKUP('Données projet'!$B$9,Paramètres!$A$1:$I$89,3,0)*VLOOKUP('Données projet'!$B$9,Paramètres!$A$1:$I$89,5,0)</f>
        <v>211.14912000000007</v>
      </c>
      <c r="P62" s="13">
        <f t="shared" si="33"/>
        <v>52.186617520494664</v>
      </c>
      <c r="Q62" s="20">
        <f t="shared" si="53"/>
        <v>458.64307618152822</v>
      </c>
      <c r="R62" s="59">
        <f t="shared" si="0"/>
        <v>751.97640951486153</v>
      </c>
      <c r="S62" s="59">
        <f ca="1">AVERAGE(OFFSET($R$3,0,0,'Données projet'!$E$9+1,1))-AVERAGE(OFFSET($H$3,0,0,'Données projet'!$E$9+1,1))</f>
        <v>368.41876532159154</v>
      </c>
      <c r="T62" s="59">
        <f t="shared" si="34"/>
        <v>369.39570124551125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3.4676795050882139</v>
      </c>
      <c r="AA62" s="21">
        <f>EXP(-LN(2)/25)*AA61+(1-EXP(-LN(2)/25))/(LN(2)/25)*Calculateur!V62*Calculateur!X62*VLOOKUP('Données projet'!$B$9,Paramètres!$A$1:$I$89,3,0)*0.475*44/12</f>
        <v>7.2591011496485853</v>
      </c>
      <c r="AB62" s="21">
        <f>EXP(-LN(2)/2)*AB61+(1-EXP(-LN(2)/2))/(LN(2)/2)*V62*Y62*VLOOKUP('Données projet'!$B$9,Paramètres!$A$1:$I$89,3,0)*0.475*44/12</f>
        <v>7.6695193591861516E-4</v>
      </c>
      <c r="AC62" s="22">
        <f t="shared" si="3"/>
        <v>10.727547606672719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6.8</v>
      </c>
      <c r="AI62" s="13">
        <f>IF('Données projet'!$A$62&gt;35,AI61+AH62-AQ61,IF(A62&lt;'Données projet'!$A$62,$AF$205^A62,IF(A62='Données projet'!$A$62,'Données projet'!$B$62,AI61+AH62-AQ61)))</f>
        <v>303.19999999999993</v>
      </c>
      <c r="AJ62" s="13">
        <f>AI62*VLOOKUP('Données projet'!$B$10,Paramètres!$A$1:$I$89,3,0)*VLOOKUP('Données projet'!$B$10,Paramètres!$A$1:$I$89,5,0)</f>
        <v>264.87551999999999</v>
      </c>
      <c r="AK62" s="13">
        <f t="shared" si="35"/>
        <v>63.760515415527543</v>
      </c>
      <c r="AL62" s="20">
        <f t="shared" si="4"/>
        <v>572.37442834871047</v>
      </c>
      <c r="AM62" s="59">
        <f t="shared" si="5"/>
        <v>865.70776168204384</v>
      </c>
      <c r="AN62" s="59">
        <f ca="1">AVERAGE(OFFSET($AM$3,0,0,'Données projet'!$E$10+1,1))-AVERAGE(OFFSET($H$3,0,0,'Données projet'!$E$10+1,1))</f>
        <v>402.82278346470082</v>
      </c>
      <c r="AO62" s="59">
        <f t="shared" si="36"/>
        <v>440.17787299198977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2.017477926828366</v>
      </c>
      <c r="AV62" s="21">
        <f>EXP(-LN(2)/25)*AV61+(1-EXP(-LN(2)/25))/(LN(2)/25)*Calculateur!AQ62*Calculateur!AS62*VLOOKUP('Données projet'!$B$10,Paramètres!$A$1:$I$89,3,0)*0.475*44/12</f>
        <v>10.083051936409944</v>
      </c>
      <c r="AW62" s="21">
        <f>EXP(-LN(2)/2)*AW61+(1-EXP(-LN(2)/2))/(LN(2)/2)*AQ62*AT62*VLOOKUP('Données projet'!$B$10,Paramètres!$A$1:$I$89,3,0)*0.475*44/12</f>
        <v>1.1391998787253245E-3</v>
      </c>
      <c r="AX62" s="21">
        <f t="shared" si="6"/>
        <v>12.101669063117036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9.8000000000000007</v>
      </c>
      <c r="BD62" s="12">
        <f>IF('Données projet'!$A$88&gt;35,BD61+BC62-BL61,IF(A62&lt;'Données projet'!$A$88,$BA$205^A62,IF(A62='Données projet'!$A$88,'Données projet'!$B$88,BD61+BC62-BL61)))</f>
        <v>291.2</v>
      </c>
      <c r="BE62" s="13">
        <f>BD62*VLOOKUP('Données projet'!$B$11,Paramètres!$A$1:$I$89,3,0)*VLOOKUP('Données projet'!$B$11,Paramètres!$A$1:$I$89,5,0)</f>
        <v>263.47775999999999</v>
      </c>
      <c r="BF62" s="13">
        <f t="shared" si="37"/>
        <v>63.46312159763346</v>
      </c>
      <c r="BG62" s="20">
        <f t="shared" si="7"/>
        <v>569.42203544921153</v>
      </c>
      <c r="BH62" s="59">
        <f t="shared" si="8"/>
        <v>862.75536878254479</v>
      </c>
      <c r="BI62" s="59">
        <f ca="1">AVERAGE(OFFSET($BH$3,0,0,'Données projet'!$E$11+1,1))-AVERAGE(OFFSET($H$3,0,0,'Données projet'!$E$11+1,1))</f>
        <v>469.68830256438338</v>
      </c>
      <c r="BJ62" s="59">
        <f t="shared" si="38"/>
        <v>332.61387922152159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1.356223706067371</v>
      </c>
      <c r="BQ62" s="21">
        <f>EXP(-LN(2)/25)*BQ61+(1-EXP(-LN(2)/25))/(LN(2)/25)*Calculateur!BL62*Calculateur!BN62*VLOOKUP('Données projet'!$B$11,Paramètres!$A$1:$I$89,3,0)*0.475*44/12</f>
        <v>5.0492026695918355</v>
      </c>
      <c r="BR62" s="21">
        <f>EXP(-LN(2)/2)*BR61+(1-EXP(-LN(2)/2))/(LN(2)/2)*BL62*BO62*VLOOKUP('Données projet'!$B$11,Paramètres!$A$1:$I$89,3,0)*0.475*44/12</f>
        <v>9.3020694520069456E-4</v>
      </c>
      <c r="BS62" s="22">
        <f t="shared" si="9"/>
        <v>6.4063565826044071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10.9</v>
      </c>
      <c r="BY62" s="12">
        <f>IF('Données projet'!$A$114&gt;35,BY61+BX62-CG61,IF(A62&lt;'Données projet'!$A$114,$BV$205^A62,IF(A62='Données projet'!$A$114,'Données projet'!$B$114,BY61+BX62-CG61)))</f>
        <v>287.10000000000002</v>
      </c>
      <c r="BZ62" s="13">
        <f>BY62*VLOOKUP('Données projet'!$B$12,Paramètres!$A$1:$I$89,3,0)*VLOOKUP('Données projet'!$B$12,Paramètres!$A$1:$I$89,5,0)</f>
        <v>273.20436000000001</v>
      </c>
      <c r="CA62" s="13">
        <f t="shared" si="39"/>
        <v>65.528847694248981</v>
      </c>
      <c r="CB62" s="20">
        <f t="shared" si="10"/>
        <v>589.96033673415036</v>
      </c>
      <c r="CC62" s="59">
        <f t="shared" si="11"/>
        <v>883.29367006748362</v>
      </c>
      <c r="CD62" s="59">
        <f ca="1">AVERAGE(OFFSET($CC$3,0,0,'Données projet'!$E$12+1,1))-AVERAGE(OFFSET($H$3,0,0,'Données projet'!$E$12+1,1))</f>
        <v>609.40025883662452</v>
      </c>
      <c r="CE62" s="59">
        <f t="shared" si="40"/>
        <v>294.48909834404577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1.7642897022098685</v>
      </c>
      <c r="CM62" s="21">
        <f>EXP(-LN(2)/2)*CM61+(1-EXP(-LN(2)/2))/(LN(2)/2)*CG62*CJ62*VLOOKUP('Données projet'!$B$12,Paramètres!$A$1:$I$89,3,0)*0.475*44/12</f>
        <v>3.3906412589531531E-4</v>
      </c>
      <c r="CN62" s="22">
        <f t="shared" si="12"/>
        <v>1.7646287663357638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13.499999999999996</v>
      </c>
      <c r="CT62" s="12">
        <f>IF('Données projet'!$A$140&gt;35,CT61+CS62-DB61,IF(A62&lt;'Données projet'!$A$140,$CQ$205^A62,IF(A62='Données projet'!$A$140,'Données projet'!$B$140,CT61+CS62-DB61)))</f>
        <v>361.29999999999984</v>
      </c>
      <c r="CU62" s="17">
        <f>CT62*VLOOKUP('Données projet'!$B$13,Paramètres!$A$1:$I$89,3,0)*VLOOKUP('Données projet'!$B$13,Paramètres!$A$1:$I$89,5,0)</f>
        <v>169.08839999999992</v>
      </c>
      <c r="CV62" s="13">
        <f t="shared" si="41"/>
        <v>42.885791664164614</v>
      </c>
      <c r="CW62" s="20">
        <f t="shared" si="13"/>
        <v>369.18838381508658</v>
      </c>
      <c r="CX62" s="59">
        <f t="shared" si="14"/>
        <v>662.52171714841984</v>
      </c>
      <c r="CY62" s="59">
        <f ca="1">AVERAGE(OFFSET($CX$3,0,0,'Données projet'!$E$13+1,1))-AVERAGE(OFFSET($H$3,0,0,'Données projet'!$E$13+1,1))</f>
        <v>346.16623654404509</v>
      </c>
      <c r="CZ62" s="59">
        <f t="shared" si="42"/>
        <v>281.80933156559087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1.765040709915437</v>
      </c>
      <c r="DG62" s="21">
        <f>EXP(-LN(2)/25)*DG61+(1-EXP(-LN(2)/25))/(LN(2)/25)*Calculateur!DB62*Calculateur!DD62*VLOOKUP('Données projet'!$B$13,Paramètres!$A$1:$I$89,3,0)*0.475*44/12</f>
        <v>3.5154187703024742</v>
      </c>
      <c r="DH62" s="21">
        <f>EXP(-LN(2)/2)*DH61+(1-EXP(-LN(2)/2))/(LN(2)/2)*DB62*DE62*VLOOKUP('Données projet'!$B$13,Paramètres!$A$1:$I$89,3,0)*0.475*44/12</f>
        <v>4.2434073871094831E-4</v>
      </c>
      <c r="DI62" s="22">
        <f t="shared" si="15"/>
        <v>5.280883820956622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8.8000000000000007</v>
      </c>
      <c r="DO62" s="12">
        <f>IF('Données projet'!$A$166&gt;35,DO61+DN62-DW61,IF(A62&lt;'Données projet'!$A$166,$DL$205^A62,IF(A62='Données projet'!$A$166,'Données projet'!$B$166,DO61+DN62-DW61)))</f>
        <v>342.20000000000027</v>
      </c>
      <c r="DP62" s="17">
        <f>DO62*VLOOKUP('Données projet'!$B$14,Paramètres!$A$1:$I$89,3,0)*VLOOKUP('Données projet'!$B$14,Paramètres!$A$1:$I$89,5,0)</f>
        <v>213.53280000000015</v>
      </c>
      <c r="DQ62" s="13">
        <f t="shared" si="43"/>
        <v>52.706840209271277</v>
      </c>
      <c r="DR62" s="20">
        <f t="shared" si="16"/>
        <v>463.70070669781438</v>
      </c>
      <c r="DS62" s="59">
        <f t="shared" si="17"/>
        <v>757.0340400311477</v>
      </c>
      <c r="DT62" s="59">
        <f ca="1">AVERAGE(OFFSET($DS$3,0,0,'Données projet'!$E$14+1,1))-AVERAGE(OFFSET($H$3,0,0,'Données projet'!$E$14+1,1))</f>
        <v>319.97171762304686</v>
      </c>
      <c r="DU62" s="59">
        <f t="shared" si="44"/>
        <v>337.89345858359621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3.9153210439795774</v>
      </c>
      <c r="EB62" s="21">
        <f>EXP(-LN(2)/25)*EB61+(1-EXP(-LN(2)/25))/(LN(2)/25)*Calculateur!DW62*Calculateur!DY62*VLOOKUP('Données projet'!$B$14,Paramètres!$A$1:$I$89,3,0)*0.475*44/12</f>
        <v>9.3028496209616165</v>
      </c>
      <c r="EC62" s="21">
        <f>EXP(-LN(2)/2)*EC61+(1-EXP(-LN(2)/2))/(LN(2)/2)*DW62*DZ62*VLOOKUP('Données projet'!$B$14,Paramètres!$A$1:$I$89,3,0)*0.475*44/12</f>
        <v>8.7140274416280686E-4</v>
      </c>
      <c r="ED62" s="22">
        <f t="shared" si="18"/>
        <v>13.219042067685358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2.625</v>
      </c>
      <c r="EJ62" s="12">
        <f>IF('Données projet'!$A$192&gt;35,EJ61+EI62-ER61,IF(A62&lt;'Données projet'!$A$192,$EG$205^A62,IF(A62='Données projet'!$A$192,'Données projet'!$B$192,EJ61+EI62-ER61)))</f>
        <v>308.125</v>
      </c>
      <c r="EK62" s="17">
        <f>EJ62*VLOOKUP('Données projet'!$B$15,Paramètres!$A$1:$I$89,3,0)*VLOOKUP('Données projet'!$B$15,Paramètres!$A$1:$I$89,5,0)</f>
        <v>184.25875000000002</v>
      </c>
      <c r="EL62" s="13">
        <f t="shared" si="45"/>
        <v>46.26838622983076</v>
      </c>
      <c r="EM62" s="20">
        <f t="shared" si="19"/>
        <v>401.50142893362187</v>
      </c>
      <c r="EN62" s="59">
        <f t="shared" si="20"/>
        <v>694.83476226695518</v>
      </c>
      <c r="EO62" s="59">
        <f ca="1">AVERAGE(OFFSET($EN$3,0,0,'Données projet'!$E$15+1,1))-AVERAGE(OFFSET($H$3,0,0,'Données projet'!$E$15+1,1))</f>
        <v>258.46015871559956</v>
      </c>
      <c r="EP62" s="59">
        <f t="shared" si="46"/>
        <v>280.26155987300996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3.4980423608104925</v>
      </c>
      <c r="EW62" s="21">
        <f>EXP(-LN(2)/25)*EW61+(1-EXP(-LN(2)/25))/(LN(2)/25)*Calculateur!ER62*Calculateur!ET62*VLOOKUP('Données projet'!$B$15,Paramètres!$A$1:$I$89,3,0)*0.475*44/12</f>
        <v>5.5182243810806098</v>
      </c>
      <c r="EX62" s="21">
        <f>EXP(-LN(2)/2)*EX61+(1-EXP(-LN(2)/2))/(LN(2)/2)*ER62*EU62*VLOOKUP('Données projet'!$B$15,Paramètres!$A$1:$I$89,3,0)*0.475*44/12</f>
        <v>2.3502722204368342E-4</v>
      </c>
      <c r="EY62" s="22">
        <f t="shared" si="21"/>
        <v>9.0165017691131446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248</v>
      </c>
      <c r="L63" s="12">
        <f>VLOOKUP(A63,'Données projet'!$A$35:$I$55,9,0)</f>
        <v>6.3</v>
      </c>
      <c r="M63" s="12">
        <f t="array" ref="M63">INDEX(L:L,MIN(IF(ISNUMBER(L63:L259),ROW(L63:L259),"")))</f>
        <v>6.3</v>
      </c>
      <c r="N63" s="13">
        <f>IF('Données projet'!$A$36&gt;35,N62+M63-V62,IF(A63&lt;'Données projet'!$A$36,$K$205^A63,IF(A63='Données projet'!$A$36,'Données projet'!$B$36,N62+M63-V62)))</f>
        <v>248.00000000000006</v>
      </c>
      <c r="O63" s="13">
        <f>N63*VLOOKUP('Données projet'!$B$9,Paramètres!$A$1:$I$89,3,0)*VLOOKUP('Données projet'!$B$9,Paramètres!$A$1:$I$89,5,0)</f>
        <v>216.6528000000001</v>
      </c>
      <c r="P63" s="13">
        <f t="shared" si="33"/>
        <v>53.38674047237987</v>
      </c>
      <c r="Q63" s="20">
        <f t="shared" si="53"/>
        <v>470.31886632272835</v>
      </c>
      <c r="R63" s="59">
        <f t="shared" si="0"/>
        <v>763.65219965606161</v>
      </c>
      <c r="S63" s="59">
        <f ca="1">AVERAGE(OFFSET($R$3,0,0,'Données projet'!$E$9+1,1))-AVERAGE(OFFSET($H$3,0,0,'Données projet'!$E$9+1,1))</f>
        <v>368.41876532159154</v>
      </c>
      <c r="T63" s="59">
        <f t="shared" si="34"/>
        <v>369.39570124551125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44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3.3996804250690857</v>
      </c>
      <c r="AA63" s="21">
        <f>EXP(-LN(2)/25)*AA62+(1-EXP(-LN(2)/25))/(LN(2)/25)*Calculateur!V63*Calculateur!X63*VLOOKUP('Données projet'!$B$9,Paramètres!$A$1:$I$89,3,0)*0.475*44/12</f>
        <v>7.0606006469719063</v>
      </c>
      <c r="AB63" s="21">
        <f>EXP(-LN(2)/2)*AB62+(1-EXP(-LN(2)/2))/(LN(2)/2)*V63*Y63*VLOOKUP('Données projet'!$B$9,Paramètres!$A$1:$I$89,3,0)*0.475*44/12</f>
        <v>5.4231691473220322E-4</v>
      </c>
      <c r="AC63" s="22">
        <f t="shared" si="3"/>
        <v>10.460823388955724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310</v>
      </c>
      <c r="AG63" s="12">
        <f>VLOOKUP(A63,'Données projet'!$A$61:$I$81,9,0)</f>
        <v>6.8</v>
      </c>
      <c r="AH63" s="12">
        <f t="array" ref="AH63">INDEX(AG:AG,MIN(IF(ISNUMBER(AG63:AG259),ROW(AG63:AG259),"")))</f>
        <v>6.8</v>
      </c>
      <c r="AI63" s="13">
        <f>IF('Données projet'!$A$62&gt;35,AI62+AH63-AQ62,IF(A63&lt;'Données projet'!$A$62,$AF$205^A63,IF(A63='Données projet'!$A$62,'Données projet'!$B$62,AI62+AH63-AQ62)))</f>
        <v>309.99999999999994</v>
      </c>
      <c r="AJ63" s="13">
        <f>AI63*VLOOKUP('Données projet'!$B$10,Paramètres!$A$1:$I$89,3,0)*VLOOKUP('Données projet'!$B$10,Paramètres!$A$1:$I$89,5,0)</f>
        <v>270.81599999999997</v>
      </c>
      <c r="AK63" s="13">
        <f t="shared" si="35"/>
        <v>65.022414656032311</v>
      </c>
      <c r="AL63" s="20">
        <f t="shared" si="4"/>
        <v>584.91857219258952</v>
      </c>
      <c r="AM63" s="59">
        <f t="shared" si="5"/>
        <v>878.25190552592289</v>
      </c>
      <c r="AN63" s="59">
        <f ca="1">AVERAGE(OFFSET($AM$3,0,0,'Données projet'!$E$10+1,1))-AVERAGE(OFFSET($H$3,0,0,'Données projet'!$E$10+1,1))</f>
        <v>402.82278346470082</v>
      </c>
      <c r="AO63" s="59">
        <f t="shared" si="36"/>
        <v>440.17787299198977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30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1.9779164152232913</v>
      </c>
      <c r="AV63" s="21">
        <f>EXP(-LN(2)/25)*AV62+(1-EXP(-LN(2)/25))/(LN(2)/25)*Calculateur!AQ63*Calculateur!AS63*VLOOKUP('Données projet'!$B$10,Paramètres!$A$1:$I$89,3,0)*0.475*44/12</f>
        <v>9.8073303509641576</v>
      </c>
      <c r="AW63" s="21">
        <f>EXP(-LN(2)/2)*AW62+(1-EXP(-LN(2)/2))/(LN(2)/2)*AQ63*AT63*VLOOKUP('Données projet'!$B$10,Paramètres!$A$1:$I$89,3,0)*0.475*44/12</f>
        <v>8.0553595937356954E-4</v>
      </c>
      <c r="AX63" s="21">
        <f t="shared" si="6"/>
        <v>11.786052302146823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301</v>
      </c>
      <c r="BB63" s="12">
        <f>VLOOKUP(A63,'Données projet'!$A$87:$I$107,9,0)</f>
        <v>9.8000000000000007</v>
      </c>
      <c r="BC63" s="12">
        <f t="array" ref="BC63">INDEX(BB:BB,MIN(IF(ISNUMBER(BB63:BB259),ROW(BB63:BB259),"")))</f>
        <v>9.8000000000000007</v>
      </c>
      <c r="BD63" s="12">
        <f>IF('Données projet'!$A$88&gt;35,BD62+BC63-BL62,IF(A63&lt;'Données projet'!$A$88,$BA$205^A63,IF(A63='Données projet'!$A$88,'Données projet'!$B$88,BD62+BC63-BL62)))</f>
        <v>301</v>
      </c>
      <c r="BE63" s="13">
        <f>BD63*VLOOKUP('Données projet'!$B$11,Paramètres!$A$1:$I$89,3,0)*VLOOKUP('Données projet'!$B$11,Paramètres!$A$1:$I$89,5,0)</f>
        <v>272.34479999999996</v>
      </c>
      <c r="BF63" s="13">
        <f t="shared" si="37"/>
        <v>65.346644318451652</v>
      </c>
      <c r="BG63" s="20">
        <f t="shared" si="7"/>
        <v>588.14593218796983</v>
      </c>
      <c r="BH63" s="59">
        <f t="shared" si="8"/>
        <v>881.4792655213032</v>
      </c>
      <c r="BI63" s="59">
        <f ca="1">AVERAGE(OFFSET($BH$3,0,0,'Données projet'!$E$11+1,1))-AVERAGE(OFFSET($H$3,0,0,'Données projet'!$E$11+1,1))</f>
        <v>469.68830256438338</v>
      </c>
      <c r="BJ63" s="59">
        <f t="shared" si="38"/>
        <v>332.61387922152159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56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1.3296289864061699</v>
      </c>
      <c r="BQ63" s="21">
        <f>EXP(-LN(2)/25)*BQ62+(1-EXP(-LN(2)/25))/(LN(2)/25)*Calculateur!BL63*Calculateur!BN63*VLOOKUP('Données projet'!$B$11,Paramètres!$A$1:$I$89,3,0)*0.475*44/12</f>
        <v>4.9111319570658187</v>
      </c>
      <c r="BR63" s="21">
        <f>EXP(-LN(2)/2)*BR62+(1-EXP(-LN(2)/2))/(LN(2)/2)*BL63*BO63*VLOOKUP('Données projet'!$B$11,Paramètres!$A$1:$I$89,3,0)*0.475*44/12</f>
        <v>6.5775563885823443E-4</v>
      </c>
      <c r="BS63" s="22">
        <f t="shared" si="9"/>
        <v>6.2414186991108469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298</v>
      </c>
      <c r="BW63" s="12">
        <f>VLOOKUP(A63,'Données projet'!$A$113:$I$133,9,0)</f>
        <v>10.9</v>
      </c>
      <c r="BX63" s="12">
        <f t="array" ref="BX63">INDEX(BW:BW,MIN(IF(ISNUMBER(BW63:BW259),ROW(BW63:BW259),"")))</f>
        <v>10.9</v>
      </c>
      <c r="BY63" s="12">
        <f>IF('Données projet'!$A$114&gt;35,BY62+BX63-CG62,IF(A63&lt;'Données projet'!$A$114,$BV$205^A63,IF(A63='Données projet'!$A$114,'Données projet'!$B$114,BY62+BX63-CG62)))</f>
        <v>298</v>
      </c>
      <c r="BZ63" s="13">
        <f>BY63*VLOOKUP('Données projet'!$B$12,Paramètres!$A$1:$I$89,3,0)*VLOOKUP('Données projet'!$B$12,Paramètres!$A$1:$I$89,5,0)</f>
        <v>283.57679999999999</v>
      </c>
      <c r="CA63" s="13">
        <f t="shared" si="39"/>
        <v>67.722330225853455</v>
      </c>
      <c r="CB63" s="20">
        <f t="shared" si="10"/>
        <v>611.84598514336142</v>
      </c>
      <c r="CC63" s="59">
        <f t="shared" si="11"/>
        <v>905.17931847669479</v>
      </c>
      <c r="CD63" s="59">
        <f ca="1">AVERAGE(OFFSET($CC$3,0,0,'Données projet'!$E$12+1,1))-AVERAGE(OFFSET($H$3,0,0,'Données projet'!$E$12+1,1))</f>
        <v>609.40025883662452</v>
      </c>
      <c r="CE63" s="59">
        <f t="shared" si="40"/>
        <v>294.48909834404577</v>
      </c>
      <c r="CF63" s="15">
        <f>IF(ISNA(VLOOKUP(A63,'Données projet'!$A$113:$I$133,3,0)),0,VLOOKUP(A63,'Données projet'!$A$113:$I$133,3,0))</f>
        <v>4</v>
      </c>
      <c r="CG63" s="15">
        <f>IF(ISNA(VLOOKUP(A63,'Données projet'!$A$113:$I$133,4,0)),0,VLOOKUP(A63,'Données projet'!$A$113:$I$133,4,0))</f>
        <v>56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1.7160451075229766</v>
      </c>
      <c r="CM63" s="21">
        <f>EXP(-LN(2)/2)*CM62+(1-EXP(-LN(2)/2))/(LN(2)/2)*CG63*CJ63*VLOOKUP('Données projet'!$B$12,Paramètres!$A$1:$I$89,3,0)*0.475*44/12</f>
        <v>2.3975454267766673E-4</v>
      </c>
      <c r="CN63" s="22">
        <f t="shared" si="12"/>
        <v>1.7162848620656543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374.79999999999995</v>
      </c>
      <c r="CR63" s="12">
        <f>VLOOKUP(A63,'Données projet'!$A$139:$I$159,9,0)</f>
        <v>13.499999999999996</v>
      </c>
      <c r="CS63" s="12">
        <f t="array" ref="CS63">INDEX(CR:CR,MIN(IF(ISNUMBER(CR63:CR259),ROW(CR63:CR259),"")))</f>
        <v>13.499999999999996</v>
      </c>
      <c r="CT63" s="12">
        <f>IF('Données projet'!$A$140&gt;35,CT62+CS63-DB62,IF(A63&lt;'Données projet'!$A$140,$CQ$205^A63,IF(A63='Données projet'!$A$140,'Données projet'!$B$140,CT62+CS63-DB62)))</f>
        <v>374.79999999999984</v>
      </c>
      <c r="CU63" s="17">
        <f>CT63*VLOOKUP('Données projet'!$B$13,Paramètres!$A$1:$I$89,3,0)*VLOOKUP('Données projet'!$B$13,Paramètres!$A$1:$I$89,5,0)</f>
        <v>175.40639999999993</v>
      </c>
      <c r="CV63" s="13">
        <f t="shared" si="41"/>
        <v>44.298662258322672</v>
      </c>
      <c r="CW63" s="20">
        <f t="shared" si="13"/>
        <v>382.65298343324525</v>
      </c>
      <c r="CX63" s="59">
        <f t="shared" si="14"/>
        <v>675.98631676657851</v>
      </c>
      <c r="CY63" s="59">
        <f ca="1">AVERAGE(OFFSET($CX$3,0,0,'Données projet'!$E$13+1,1))-AVERAGE(OFFSET($H$3,0,0,'Données projet'!$E$13+1,1))</f>
        <v>346.16623654404509</v>
      </c>
      <c r="CZ63" s="59">
        <f t="shared" si="42"/>
        <v>281.80933156559087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83.4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1.730429338162526</v>
      </c>
      <c r="DG63" s="21">
        <f>EXP(-LN(2)/25)*DG62+(1-EXP(-LN(2)/25))/(LN(2)/25)*Calculateur!DB63*Calculateur!DD63*VLOOKUP('Données projet'!$B$13,Paramètres!$A$1:$I$89,3,0)*0.475*44/12</f>
        <v>3.4192894591607144</v>
      </c>
      <c r="DH63" s="21">
        <f>EXP(-LN(2)/2)*DH62+(1-EXP(-LN(2)/2))/(LN(2)/2)*DB63*DE63*VLOOKUP('Données projet'!$B$13,Paramètres!$A$1:$I$89,3,0)*0.475*44/12</f>
        <v>3.0005421387622046E-4</v>
      </c>
      <c r="DI63" s="22">
        <f t="shared" si="15"/>
        <v>5.1500188515371166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351</v>
      </c>
      <c r="DM63" s="12">
        <f>VLOOKUP(A63,'Données projet'!$A$165:$I$185,9,0)</f>
        <v>8.8000000000000007</v>
      </c>
      <c r="DN63" s="12">
        <f t="array" ref="DN63">INDEX(DM:DM,MIN(IF(ISNUMBER(DM63:DM259),ROW(DM63:DM259),"")))</f>
        <v>8.8000000000000007</v>
      </c>
      <c r="DO63" s="12">
        <f>IF('Données projet'!$A$166&gt;35,DO62+DN63-DW62,IF(A63&lt;'Données projet'!$A$166,$DL$205^A63,IF(A63='Données projet'!$A$166,'Données projet'!$B$166,DO62+DN63-DW62)))</f>
        <v>351.00000000000028</v>
      </c>
      <c r="DP63" s="17">
        <f>DO63*VLOOKUP('Données projet'!$B$14,Paramètres!$A$1:$I$89,3,0)*VLOOKUP('Données projet'!$B$14,Paramètres!$A$1:$I$89,5,0)</f>
        <v>219.02400000000017</v>
      </c>
      <c r="DQ63" s="13">
        <f t="shared" si="43"/>
        <v>53.902702081308355</v>
      </c>
      <c r="DR63" s="20">
        <f t="shared" si="16"/>
        <v>475.34733945827901</v>
      </c>
      <c r="DS63" s="59">
        <f t="shared" si="17"/>
        <v>768.68067279161232</v>
      </c>
      <c r="DT63" s="59">
        <f ca="1">AVERAGE(OFFSET($DS$3,0,0,'Données projet'!$E$14+1,1))-AVERAGE(OFFSET($H$3,0,0,'Données projet'!$E$14+1,1))</f>
        <v>319.97171762304686</v>
      </c>
      <c r="DU63" s="59">
        <f t="shared" si="44"/>
        <v>337.89345858359621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47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3.8385439864171684</v>
      </c>
      <c r="EB63" s="21">
        <f>EXP(-LN(2)/25)*EB62+(1-EXP(-LN(2)/25))/(LN(2)/25)*Calculateur!DW63*Calculateur!DY63*VLOOKUP('Données projet'!$B$14,Paramètres!$A$1:$I$89,3,0)*0.475*44/12</f>
        <v>9.0484627088608214</v>
      </c>
      <c r="EC63" s="21">
        <f>EXP(-LN(2)/2)*EC62+(1-EXP(-LN(2)/2))/(LN(2)/2)*DW63*DZ63*VLOOKUP('Données projet'!$B$14,Paramètres!$A$1:$I$89,3,0)*0.475*44/12</f>
        <v>6.1617478954208691E-4</v>
      </c>
      <c r="ED63" s="22">
        <f t="shared" si="18"/>
        <v>12.887622870067531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2.625</v>
      </c>
      <c r="EJ63" s="12">
        <f>IF('Données projet'!$A$192&gt;35,EJ62+EI63-ER62,IF(A63&lt;'Données projet'!$A$192,$EG$205^A63,IF(A63='Données projet'!$A$192,'Données projet'!$B$192,EJ62+EI63-ER62)))</f>
        <v>310.75</v>
      </c>
      <c r="EK63" s="17">
        <f>EJ63*VLOOKUP('Données projet'!$B$15,Paramètres!$A$1:$I$89,3,0)*VLOOKUP('Données projet'!$B$15,Paramètres!$A$1:$I$89,5,0)</f>
        <v>185.82849999999999</v>
      </c>
      <c r="EL63" s="13">
        <f t="shared" si="45"/>
        <v>46.616505227631926</v>
      </c>
      <c r="EM63" s="20">
        <f t="shared" si="19"/>
        <v>404.84171743812561</v>
      </c>
      <c r="EN63" s="59">
        <f t="shared" si="20"/>
        <v>698.17505077145893</v>
      </c>
      <c r="EO63" s="59">
        <f ca="1">AVERAGE(OFFSET($EN$3,0,0,'Données projet'!$E$15+1,1))-AVERAGE(OFFSET($H$3,0,0,'Données projet'!$E$15+1,1))</f>
        <v>258.46015871559956</v>
      </c>
      <c r="EP63" s="59">
        <f t="shared" si="46"/>
        <v>280.26155987300996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3.4294478837101638</v>
      </c>
      <c r="EW63" s="21">
        <f>EXP(-LN(2)/25)*EW62+(1-EXP(-LN(2)/25))/(LN(2)/25)*Calculateur!ER63*Calculateur!ET63*VLOOKUP('Données projet'!$B$15,Paramètres!$A$1:$I$89,3,0)*0.475*44/12</f>
        <v>5.3673282451891522</v>
      </c>
      <c r="EX63" s="21">
        <f>EXP(-LN(2)/2)*EX62+(1-EXP(-LN(2)/2))/(LN(2)/2)*ER63*EU63*VLOOKUP('Données projet'!$B$15,Paramètres!$A$1:$I$89,3,0)*0.475*44/12</f>
        <v>1.6618934247052499E-4</v>
      </c>
      <c r="EY63" s="22">
        <f t="shared" si="21"/>
        <v>8.7969423182417863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5.3</v>
      </c>
      <c r="N64" s="13">
        <f>IF('Données projet'!$A$36&gt;35,N63+M64-V63,IF(A64&lt;'Données projet'!$A$36,$K$205^A64,IF(A64='Données projet'!$A$36,'Données projet'!$B$36,N63+M64-V63)))</f>
        <v>209.30000000000007</v>
      </c>
      <c r="O64" s="13">
        <f>N64*VLOOKUP('Données projet'!$B$9,Paramètres!$A$1:$I$89,3,0)*VLOOKUP('Données projet'!$B$9,Paramètres!$A$1:$I$89,5,0)</f>
        <v>182.84448000000009</v>
      </c>
      <c r="P64" s="13">
        <f t="shared" si="33"/>
        <v>45.954451917964079</v>
      </c>
      <c r="Q64" s="20">
        <f t="shared" si="53"/>
        <v>398.49147309045429</v>
      </c>
      <c r="R64" s="59">
        <f t="shared" si="0"/>
        <v>691.82480642378755</v>
      </c>
      <c r="S64" s="59">
        <f ca="1">AVERAGE(OFFSET($R$3,0,0,'Données projet'!$E$9+1,1))-AVERAGE(OFFSET($H$3,0,0,'Données projet'!$E$9+1,1))</f>
        <v>368.41876532159154</v>
      </c>
      <c r="T64" s="59">
        <f t="shared" si="34"/>
        <v>369.39570124551125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3.3330147655337892</v>
      </c>
      <c r="AA64" s="21">
        <f>EXP(-LN(2)/25)*AA63+(1-EXP(-LN(2)/25))/(LN(2)/25)*Calculateur!V64*Calculateur!X64*VLOOKUP('Données projet'!$B$9,Paramètres!$A$1:$I$89,3,0)*0.475*44/12</f>
        <v>6.8675281509796084</v>
      </c>
      <c r="AB64" s="21">
        <f>EXP(-LN(2)/2)*AB63+(1-EXP(-LN(2)/2))/(LN(2)/2)*V64*Y64*VLOOKUP('Données projet'!$B$9,Paramètres!$A$1:$I$89,3,0)*0.475*44/12</f>
        <v>3.8347596795930758E-4</v>
      </c>
      <c r="AC64" s="22">
        <f t="shared" si="3"/>
        <v>10.200926392481357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4.9000000000000004</v>
      </c>
      <c r="AI64" s="13">
        <f>IF('Données projet'!$A$62&gt;35,AI63+AH64-AQ63,IF(A64&lt;'Données projet'!$A$62,$AF$205^A64,IF(A64='Données projet'!$A$62,'Données projet'!$B$62,AI63+AH64-AQ63)))</f>
        <v>284.89999999999992</v>
      </c>
      <c r="AJ64" s="13">
        <f>AI64*VLOOKUP('Données projet'!$B$10,Paramètres!$A$1:$I$89,3,0)*VLOOKUP('Données projet'!$B$10,Paramètres!$A$1:$I$89,5,0)</f>
        <v>248.88863999999998</v>
      </c>
      <c r="AK64" s="13">
        <f t="shared" si="35"/>
        <v>60.347898161393559</v>
      </c>
      <c r="AL64" s="20">
        <f t="shared" si="4"/>
        <v>538.58697063109378</v>
      </c>
      <c r="AM64" s="59">
        <f t="shared" si="5"/>
        <v>831.92030396442715</v>
      </c>
      <c r="AN64" s="59">
        <f ca="1">AVERAGE(OFFSET($AM$3,0,0,'Données projet'!$E$10+1,1))-AVERAGE(OFFSET($H$3,0,0,'Données projet'!$E$10+1,1))</f>
        <v>402.82278346470082</v>
      </c>
      <c r="AO64" s="59">
        <f t="shared" si="36"/>
        <v>440.17787299198977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1.9391306807306528</v>
      </c>
      <c r="AV64" s="21">
        <f>EXP(-LN(2)/25)*AV63+(1-EXP(-LN(2)/25))/(LN(2)/25)*Calculateur!AQ64*Calculateur!AS64*VLOOKUP('Données projet'!$B$10,Paramètres!$A$1:$I$89,3,0)*0.475*44/12</f>
        <v>9.539148386771954</v>
      </c>
      <c r="AW64" s="21">
        <f>EXP(-LN(2)/2)*AW63+(1-EXP(-LN(2)/2))/(LN(2)/2)*AQ64*AT64*VLOOKUP('Données projet'!$B$10,Paramètres!$A$1:$I$89,3,0)*0.475*44/12</f>
        <v>5.6959993936266226E-4</v>
      </c>
      <c r="AX64" s="21">
        <f t="shared" si="6"/>
        <v>11.478848667441969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</v>
      </c>
      <c r="BD64" s="12">
        <f>IF('Données projet'!$A$88&gt;35,BD63+BC64-BL63,IF(A64&lt;'Données projet'!$A$88,$BA$205^A64,IF(A64='Données projet'!$A$88,'Données projet'!$B$88,BD63+BC64-BL63)))</f>
        <v>253.5</v>
      </c>
      <c r="BE64" s="13">
        <f>BD64*VLOOKUP('Données projet'!$B$11,Paramètres!$A$1:$I$89,3,0)*VLOOKUP('Données projet'!$B$11,Paramètres!$A$1:$I$89,5,0)</f>
        <v>229.36680000000001</v>
      </c>
      <c r="BF64" s="13">
        <f t="shared" si="37"/>
        <v>56.14574692729505</v>
      </c>
      <c r="BG64" s="20">
        <f t="shared" si="7"/>
        <v>497.26768589837212</v>
      </c>
      <c r="BH64" s="59">
        <f t="shared" si="8"/>
        <v>790.60101923170544</v>
      </c>
      <c r="BI64" s="59">
        <f ca="1">AVERAGE(OFFSET($BH$3,0,0,'Données projet'!$E$11+1,1))-AVERAGE(OFFSET($H$3,0,0,'Données projet'!$E$11+1,1))</f>
        <v>469.68830256438338</v>
      </c>
      <c r="BJ64" s="59">
        <f t="shared" si="38"/>
        <v>332.61387922152159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1.3035557729763476</v>
      </c>
      <c r="BQ64" s="21">
        <f>EXP(-LN(2)/25)*BQ63+(1-EXP(-LN(2)/25))/(LN(2)/25)*Calculateur!BL64*Calculateur!BN64*VLOOKUP('Données projet'!$B$11,Paramètres!$A$1:$I$89,3,0)*0.475*44/12</f>
        <v>4.7768367954346491</v>
      </c>
      <c r="BR64" s="21">
        <f>EXP(-LN(2)/2)*BR63+(1-EXP(-LN(2)/2))/(LN(2)/2)*BL64*BO64*VLOOKUP('Données projet'!$B$11,Paramètres!$A$1:$I$89,3,0)*0.475*44/12</f>
        <v>4.6510347260034739E-4</v>
      </c>
      <c r="BS64" s="22">
        <f t="shared" si="9"/>
        <v>6.0808576718835967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10.199999999999999</v>
      </c>
      <c r="BY64" s="12">
        <f>IF('Données projet'!$A$114&gt;35,BY63+BX64-CG63,IF(A64&lt;'Données projet'!$A$114,$BV$205^A64,IF(A64='Données projet'!$A$114,'Données projet'!$B$114,BY63+BX64-CG63)))</f>
        <v>252.2</v>
      </c>
      <c r="BZ64" s="13">
        <f>BY64*VLOOKUP('Données projet'!$B$12,Paramètres!$A$1:$I$89,3,0)*VLOOKUP('Données projet'!$B$12,Paramètres!$A$1:$I$89,5,0)</f>
        <v>239.99351999999999</v>
      </c>
      <c r="CA64" s="13">
        <f t="shared" si="39"/>
        <v>58.438136276457023</v>
      </c>
      <c r="CB64" s="20">
        <f t="shared" si="10"/>
        <v>519.76846801482941</v>
      </c>
      <c r="CC64" s="59">
        <f t="shared" si="11"/>
        <v>813.10180134816278</v>
      </c>
      <c r="CD64" s="59">
        <f ca="1">AVERAGE(OFFSET($CC$3,0,0,'Données projet'!$E$12+1,1))-AVERAGE(OFFSET($H$3,0,0,'Données projet'!$E$12+1,1))</f>
        <v>609.40025883662452</v>
      </c>
      <c r="CE64" s="59">
        <f t="shared" si="40"/>
        <v>294.48909834404577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1.6691197638148707</v>
      </c>
      <c r="CM64" s="21">
        <f>EXP(-LN(2)/2)*CM63+(1-EXP(-LN(2)/2))/(LN(2)/2)*CG64*CJ64*VLOOKUP('Données projet'!$B$12,Paramètres!$A$1:$I$89,3,0)*0.475*44/12</f>
        <v>1.6953206294765768E-4</v>
      </c>
      <c r="CN64" s="22">
        <f t="shared" si="12"/>
        <v>1.6692892958778183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15.5</v>
      </c>
      <c r="CT64" s="12">
        <f>IF('Données projet'!$A$140&gt;35,CT63+CS64-DB63,IF(A64&lt;'Données projet'!$A$140,$CQ$205^A64,IF(A64='Données projet'!$A$140,'Données projet'!$B$140,CT63+CS64-DB63)))</f>
        <v>306.89999999999986</v>
      </c>
      <c r="CU64" s="17">
        <f>CT64*VLOOKUP('Données projet'!$B$13,Paramètres!$A$1:$I$89,3,0)*VLOOKUP('Données projet'!$B$13,Paramètres!$A$1:$I$89,5,0)</f>
        <v>143.62919999999994</v>
      </c>
      <c r="CV64" s="13">
        <f t="shared" si="41"/>
        <v>37.127161849234348</v>
      </c>
      <c r="CW64" s="20">
        <f t="shared" si="13"/>
        <v>314.81733022074968</v>
      </c>
      <c r="CX64" s="59">
        <f t="shared" si="14"/>
        <v>608.15066355408294</v>
      </c>
      <c r="CY64" s="59">
        <f ca="1">AVERAGE(OFFSET($CX$3,0,0,'Données projet'!$E$13+1,1))-AVERAGE(OFFSET($H$3,0,0,'Données projet'!$E$13+1,1))</f>
        <v>346.16623654404509</v>
      </c>
      <c r="CZ64" s="59">
        <f t="shared" si="42"/>
        <v>281.80933156559087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1.6964966742988374</v>
      </c>
      <c r="DG64" s="21">
        <f>EXP(-LN(2)/25)*DG63+(1-EXP(-LN(2)/25))/(LN(2)/25)*Calculateur!DB64*Calculateur!DD64*VLOOKUP('Données projet'!$B$13,Paramètres!$A$1:$I$89,3,0)*0.475*44/12</f>
        <v>3.3257888090873466</v>
      </c>
      <c r="DH64" s="21">
        <f>EXP(-LN(2)/2)*DH63+(1-EXP(-LN(2)/2))/(LN(2)/2)*DB64*DE64*VLOOKUP('Données projet'!$B$13,Paramètres!$A$1:$I$89,3,0)*0.475*44/12</f>
        <v>2.1217036935547415E-4</v>
      </c>
      <c r="DI64" s="22">
        <f t="shared" si="15"/>
        <v>5.0224976537555399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6.8</v>
      </c>
      <c r="DO64" s="12">
        <f>IF('Données projet'!$A$166&gt;35,DO63+DN64-DW63,IF(A64&lt;'Données projet'!$A$166,$DL$205^A64,IF(A64='Données projet'!$A$166,'Données projet'!$B$166,DO63+DN64-DW63)))</f>
        <v>310.8000000000003</v>
      </c>
      <c r="DP64" s="17">
        <f>DO64*VLOOKUP('Données projet'!$B$14,Paramètres!$A$1:$I$89,3,0)*VLOOKUP('Données projet'!$B$14,Paramètres!$A$1:$I$89,5,0)</f>
        <v>193.9392000000002</v>
      </c>
      <c r="DQ64" s="13">
        <f t="shared" si="43"/>
        <v>48.409811198069427</v>
      </c>
      <c r="DR64" s="20">
        <f t="shared" si="16"/>
        <v>422.09119450330462</v>
      </c>
      <c r="DS64" s="59">
        <f t="shared" si="17"/>
        <v>715.42452783663794</v>
      </c>
      <c r="DT64" s="59">
        <f ca="1">AVERAGE(OFFSET($DS$3,0,0,'Données projet'!$E$14+1,1))-AVERAGE(OFFSET($H$3,0,0,'Données projet'!$E$14+1,1))</f>
        <v>319.97171762304686</v>
      </c>
      <c r="DU64" s="59">
        <f t="shared" si="44"/>
        <v>337.89345858359621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3.763272480124177</v>
      </c>
      <c r="EB64" s="21">
        <f>EXP(-LN(2)/25)*EB63+(1-EXP(-LN(2)/25))/(LN(2)/25)*Calculateur!DW64*Calculateur!DY64*VLOOKUP('Données projet'!$B$14,Paramètres!$A$1:$I$89,3,0)*0.475*44/12</f>
        <v>8.8010320202490497</v>
      </c>
      <c r="EC64" s="21">
        <f>EXP(-LN(2)/2)*EC63+(1-EXP(-LN(2)/2))/(LN(2)/2)*DW64*DZ64*VLOOKUP('Données projet'!$B$14,Paramètres!$A$1:$I$89,3,0)*0.475*44/12</f>
        <v>4.3570137208140343E-4</v>
      </c>
      <c r="ED64" s="22">
        <f t="shared" si="18"/>
        <v>12.564740201745309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2.625</v>
      </c>
      <c r="EJ64" s="12">
        <f>IF('Données projet'!$A$192&gt;35,EJ63+EI64-ER63,IF(A64&lt;'Données projet'!$A$192,$EG$205^A64,IF(A64='Données projet'!$A$192,'Données projet'!$B$192,EJ63+EI64-ER63)))</f>
        <v>313.375</v>
      </c>
      <c r="EK64" s="17">
        <f>EJ64*VLOOKUP('Données projet'!$B$15,Paramètres!$A$1:$I$89,3,0)*VLOOKUP('Données projet'!$B$15,Paramètres!$A$1:$I$89,5,0)</f>
        <v>187.39825000000002</v>
      </c>
      <c r="EL64" s="13">
        <f t="shared" si="45"/>
        <v>46.964282095681376</v>
      </c>
      <c r="EM64" s="20">
        <f t="shared" si="19"/>
        <v>408.18141006664501</v>
      </c>
      <c r="EN64" s="59">
        <f t="shared" si="20"/>
        <v>701.51474339997833</v>
      </c>
      <c r="EO64" s="59">
        <f ca="1">AVERAGE(OFFSET($EN$3,0,0,'Données projet'!$E$15+1,1))-AVERAGE(OFFSET($H$3,0,0,'Données projet'!$E$15+1,1))</f>
        <v>258.46015871559956</v>
      </c>
      <c r="EP64" s="59">
        <f t="shared" si="46"/>
        <v>280.26155987300996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3.3621985024672729</v>
      </c>
      <c r="EW64" s="21">
        <f>EXP(-LN(2)/25)*EW63+(1-EXP(-LN(2)/25))/(LN(2)/25)*Calculateur!ER64*Calculateur!ET64*VLOOKUP('Données projet'!$B$15,Paramètres!$A$1:$I$89,3,0)*0.475*44/12</f>
        <v>5.2205583720689299</v>
      </c>
      <c r="EX64" s="21">
        <f>EXP(-LN(2)/2)*EX63+(1-EXP(-LN(2)/2))/(LN(2)/2)*ER64*EU64*VLOOKUP('Données projet'!$B$15,Paramètres!$A$1:$I$89,3,0)*0.475*44/12</f>
        <v>1.1751361102184174E-4</v>
      </c>
      <c r="EY64" s="22">
        <f t="shared" si="21"/>
        <v>8.5828743881472249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5.3</v>
      </c>
      <c r="N65" s="13">
        <f>IF('Données projet'!$A$36&gt;35,N64+M65-V64,IF(A65&lt;'Données projet'!$A$36,$K$205^A65,IF(A65='Données projet'!$A$36,'Données projet'!$B$36,N64+M65-V64)))</f>
        <v>214.60000000000008</v>
      </c>
      <c r="O65" s="13">
        <f>N65*VLOOKUP('Données projet'!$B$9,Paramètres!$A$1:$I$89,3,0)*VLOOKUP('Données projet'!$B$9,Paramètres!$A$1:$I$89,5,0)</f>
        <v>187.47456000000011</v>
      </c>
      <c r="P65" s="13">
        <f t="shared" si="33"/>
        <v>46.981179851370143</v>
      </c>
      <c r="Q65" s="20">
        <f t="shared" si="53"/>
        <v>408.34374690780311</v>
      </c>
      <c r="R65" s="59">
        <f t="shared" si="0"/>
        <v>701.67708024113642</v>
      </c>
      <c r="S65" s="59">
        <f ca="1">AVERAGE(OFFSET($R$3,0,0,'Données projet'!$E$9+1,1))-AVERAGE(OFFSET($H$3,0,0,'Données projet'!$E$9+1,1))</f>
        <v>368.41876532159154</v>
      </c>
      <c r="T65" s="59">
        <f t="shared" si="34"/>
        <v>369.39570124551125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3.2676563789199427</v>
      </c>
      <c r="AA65" s="21">
        <f>EXP(-LN(2)/25)*AA64+(1-EXP(-LN(2)/25))/(LN(2)/25)*Calculateur!V65*Calculateur!X65*VLOOKUP('Données projet'!$B$9,Paramètres!$A$1:$I$89,3,0)*0.475*44/12</f>
        <v>6.6797352325434618</v>
      </c>
      <c r="AB65" s="21">
        <f>EXP(-LN(2)/2)*AB64+(1-EXP(-LN(2)/2))/(LN(2)/2)*V65*Y65*VLOOKUP('Données projet'!$B$9,Paramètres!$A$1:$I$89,3,0)*0.475*44/12</f>
        <v>2.7115845736610161E-4</v>
      </c>
      <c r="AC65" s="22">
        <f t="shared" si="3"/>
        <v>9.94766276992077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4.9000000000000004</v>
      </c>
      <c r="AI65" s="13">
        <f>IF('Données projet'!$A$62&gt;35,AI64+AH65-AQ64,IF(A65&lt;'Données projet'!$A$62,$AF$205^A65,IF(A65='Données projet'!$A$62,'Données projet'!$B$62,AI64+AH65-AQ64)))</f>
        <v>289.7999999999999</v>
      </c>
      <c r="AJ65" s="13">
        <f>AI65*VLOOKUP('Données projet'!$B$10,Paramètres!$A$1:$I$89,3,0)*VLOOKUP('Données projet'!$B$10,Paramètres!$A$1:$I$89,5,0)</f>
        <v>253.16927999999993</v>
      </c>
      <c r="AK65" s="13">
        <f t="shared" si="35"/>
        <v>61.264096094739799</v>
      </c>
      <c r="AL65" s="20">
        <f t="shared" si="4"/>
        <v>547.63813003167172</v>
      </c>
      <c r="AM65" s="59">
        <f t="shared" si="5"/>
        <v>840.97146336500509</v>
      </c>
      <c r="AN65" s="59">
        <f ca="1">AVERAGE(OFFSET($AM$3,0,0,'Données projet'!$E$10+1,1))-AVERAGE(OFFSET($H$3,0,0,'Données projet'!$E$10+1,1))</f>
        <v>402.82278346470082</v>
      </c>
      <c r="AO65" s="59">
        <f t="shared" si="36"/>
        <v>440.17787299198977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1.9011055108344528</v>
      </c>
      <c r="AV65" s="21">
        <f>EXP(-LN(2)/25)*AV64+(1-EXP(-LN(2)/25))/(LN(2)/25)*Calculateur!AQ65*Calculateur!AS65*VLOOKUP('Données projet'!$B$10,Paramètres!$A$1:$I$89,3,0)*0.475*44/12</f>
        <v>9.2782998724936636</v>
      </c>
      <c r="AW65" s="21">
        <f>EXP(-LN(2)/2)*AW64+(1-EXP(-LN(2)/2))/(LN(2)/2)*AQ65*AT65*VLOOKUP('Données projet'!$B$10,Paramètres!$A$1:$I$89,3,0)*0.475*44/12</f>
        <v>4.0276797968678477E-4</v>
      </c>
      <c r="AX65" s="21">
        <f t="shared" si="6"/>
        <v>11.179808151307803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</v>
      </c>
      <c r="BD65" s="12">
        <f>IF('Données projet'!$A$88&gt;35,BD64+BC65-BL64,IF(A65&lt;'Données projet'!$A$88,$BA$205^A65,IF(A65='Données projet'!$A$88,'Données projet'!$B$88,BD64+BC65-BL64)))</f>
        <v>262</v>
      </c>
      <c r="BE65" s="13">
        <f>BD65*VLOOKUP('Données projet'!$B$11,Paramètres!$A$1:$I$89,3,0)*VLOOKUP('Données projet'!$B$11,Paramètres!$A$1:$I$89,5,0)</f>
        <v>237.05759999999998</v>
      </c>
      <c r="BF65" s="13">
        <f t="shared" si="37"/>
        <v>57.806004997354641</v>
      </c>
      <c r="BG65" s="20">
        <f t="shared" si="7"/>
        <v>513.55411203705933</v>
      </c>
      <c r="BH65" s="59">
        <f t="shared" si="8"/>
        <v>806.8874453703927</v>
      </c>
      <c r="BI65" s="59">
        <f ca="1">AVERAGE(OFFSET($BH$3,0,0,'Données projet'!$E$11+1,1))-AVERAGE(OFFSET($H$3,0,0,'Données projet'!$E$11+1,1))</f>
        <v>469.68830256438338</v>
      </c>
      <c r="BJ65" s="59">
        <f t="shared" si="38"/>
        <v>332.61387922152159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1.2779938393587942</v>
      </c>
      <c r="BQ65" s="21">
        <f>EXP(-LN(2)/25)*BQ64+(1-EXP(-LN(2)/25))/(LN(2)/25)*Calculateur!BL65*Calculateur!BN65*VLOOKUP('Données projet'!$B$11,Paramètres!$A$1:$I$89,3,0)*0.475*44/12</f>
        <v>4.6462139420605588</v>
      </c>
      <c r="BR65" s="21">
        <f>EXP(-LN(2)/2)*BR64+(1-EXP(-LN(2)/2))/(LN(2)/2)*BL65*BO65*VLOOKUP('Données projet'!$B$11,Paramètres!$A$1:$I$89,3,0)*0.475*44/12</f>
        <v>3.2887781942911727E-4</v>
      </c>
      <c r="BS65" s="22">
        <f t="shared" si="9"/>
        <v>5.9245366592387825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10.199999999999999</v>
      </c>
      <c r="BY65" s="12">
        <f>IF('Données projet'!$A$114&gt;35,BY64+BX65-CG64,IF(A65&lt;'Données projet'!$A$114,$BV$205^A65,IF(A65='Données projet'!$A$114,'Données projet'!$B$114,BY64+BX65-CG64)))</f>
        <v>262.39999999999998</v>
      </c>
      <c r="BZ65" s="13">
        <f>BY65*VLOOKUP('Données projet'!$B$12,Paramètres!$A$1:$I$89,3,0)*VLOOKUP('Données projet'!$B$12,Paramètres!$A$1:$I$89,5,0)</f>
        <v>249.69983999999999</v>
      </c>
      <c r="CA65" s="13">
        <f t="shared" si="39"/>
        <v>60.521661612597903</v>
      </c>
      <c r="CB65" s="20">
        <f t="shared" si="10"/>
        <v>540.30244864194128</v>
      </c>
      <c r="CC65" s="59">
        <f t="shared" si="11"/>
        <v>833.63578197527454</v>
      </c>
      <c r="CD65" s="59">
        <f ca="1">AVERAGE(OFFSET($CC$3,0,0,'Données projet'!$E$12+1,1))-AVERAGE(OFFSET($H$3,0,0,'Données projet'!$E$12+1,1))</f>
        <v>609.40025883662452</v>
      </c>
      <c r="CE65" s="59">
        <f t="shared" si="40"/>
        <v>294.48909834404577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1.6234775960981596</v>
      </c>
      <c r="CM65" s="21">
        <f>EXP(-LN(2)/2)*CM64+(1-EXP(-LN(2)/2))/(LN(2)/2)*CG65*CJ65*VLOOKUP('Données projet'!$B$12,Paramètres!$A$1:$I$89,3,0)*0.475*44/12</f>
        <v>1.1987727133883339E-4</v>
      </c>
      <c r="CN65" s="22">
        <f t="shared" si="12"/>
        <v>1.6235974733694984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15.5</v>
      </c>
      <c r="CT65" s="12">
        <f>IF('Données projet'!$A$140&gt;35,CT64+CS65-DB64,IF(A65&lt;'Données projet'!$A$140,$CQ$205^A65,IF(A65='Données projet'!$A$140,'Données projet'!$B$140,CT64+CS65-DB64)))</f>
        <v>322.39999999999986</v>
      </c>
      <c r="CU65" s="17">
        <f>CT65*VLOOKUP('Données projet'!$B$13,Paramètres!$A$1:$I$89,3,0)*VLOOKUP('Données projet'!$B$13,Paramètres!$A$1:$I$89,5,0)</f>
        <v>150.88319999999993</v>
      </c>
      <c r="CV65" s="13">
        <f t="shared" si="41"/>
        <v>38.779227360583164</v>
      </c>
      <c r="CW65" s="20">
        <f t="shared" si="13"/>
        <v>330.32872765301551</v>
      </c>
      <c r="CX65" s="59">
        <f t="shared" si="14"/>
        <v>623.66206098634882</v>
      </c>
      <c r="CY65" s="59">
        <f ca="1">AVERAGE(OFFSET($CX$3,0,0,'Données projet'!$E$13+1,1))-AVERAGE(OFFSET($H$3,0,0,'Données projet'!$E$13+1,1))</f>
        <v>346.16623654404509</v>
      </c>
      <c r="CZ65" s="59">
        <f t="shared" si="42"/>
        <v>281.80933156559087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1.6632294092766344</v>
      </c>
      <c r="DG65" s="21">
        <f>EXP(-LN(2)/25)*DG64+(1-EXP(-LN(2)/25))/(LN(2)/25)*Calculateur!DB65*Calculateur!DD65*VLOOKUP('Données projet'!$B$13,Paramètres!$A$1:$I$89,3,0)*0.475*44/12</f>
        <v>3.2348449392072207</v>
      </c>
      <c r="DH65" s="21">
        <f>EXP(-LN(2)/2)*DH64+(1-EXP(-LN(2)/2))/(LN(2)/2)*DB65*DE65*VLOOKUP('Données projet'!$B$13,Paramètres!$A$1:$I$89,3,0)*0.475*44/12</f>
        <v>1.5002710693811023E-4</v>
      </c>
      <c r="DI65" s="22">
        <f t="shared" si="15"/>
        <v>4.898224375590793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6.8</v>
      </c>
      <c r="DO65" s="12">
        <f>IF('Données projet'!$A$166&gt;35,DO64+DN65-DW64,IF(A65&lt;'Données projet'!$A$166,$DL$205^A65,IF(A65='Données projet'!$A$166,'Données projet'!$B$166,DO64+DN65-DW64)))</f>
        <v>317.60000000000031</v>
      </c>
      <c r="DP65" s="17">
        <f>DO65*VLOOKUP('Données projet'!$B$14,Paramètres!$A$1:$I$89,3,0)*VLOOKUP('Données projet'!$B$14,Paramètres!$A$1:$I$89,5,0)</f>
        <v>198.1824000000002</v>
      </c>
      <c r="DQ65" s="13">
        <f t="shared" si="43"/>
        <v>49.344502261104303</v>
      </c>
      <c r="DR65" s="20">
        <f t="shared" si="16"/>
        <v>431.10935477142363</v>
      </c>
      <c r="DS65" s="59">
        <f t="shared" si="17"/>
        <v>724.44268810475694</v>
      </c>
      <c r="DT65" s="59">
        <f ca="1">AVERAGE(OFFSET($DS$3,0,0,'Données projet'!$E$14+1,1))-AVERAGE(OFFSET($H$3,0,0,'Données projet'!$E$14+1,1))</f>
        <v>319.97171762304686</v>
      </c>
      <c r="DU65" s="59">
        <f t="shared" si="44"/>
        <v>337.89345858359621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3.6894770021585059</v>
      </c>
      <c r="EB65" s="21">
        <f>EXP(-LN(2)/25)*EB64+(1-EXP(-LN(2)/25))/(LN(2)/25)*Calculateur!DW65*Calculateur!DY65*VLOOKUP('Données projet'!$B$14,Paramètres!$A$1:$I$89,3,0)*0.475*44/12</f>
        <v>8.5603673368291808</v>
      </c>
      <c r="EC65" s="21">
        <f>EXP(-LN(2)/2)*EC64+(1-EXP(-LN(2)/2))/(LN(2)/2)*DW65*DZ65*VLOOKUP('Données projet'!$B$14,Paramètres!$A$1:$I$89,3,0)*0.475*44/12</f>
        <v>3.0808739477104346E-4</v>
      </c>
      <c r="ED65" s="22">
        <f t="shared" si="18"/>
        <v>12.250152426382458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>
        <f>VLOOKUP(A65,'Données projet'!$A$191:$I$211,2,0)</f>
        <v>316</v>
      </c>
      <c r="EH65" s="12">
        <f>VLOOKUP(A65,'Données projet'!$A$191:$I$211,9,0)</f>
        <v>2.625</v>
      </c>
      <c r="EI65" s="12">
        <f t="array" ref="EI65">INDEX(EH:EH,MIN(IF(ISNUMBER(EH65:EH261),ROW(EH65:EH261),"")))</f>
        <v>2.625</v>
      </c>
      <c r="EJ65" s="12">
        <f>IF('Données projet'!$A$192&gt;35,EJ64+EI65-ER64,IF(A65&lt;'Données projet'!$A$192,$EG$205^A65,IF(A65='Données projet'!$A$192,'Données projet'!$B$192,EJ64+EI65-ER64)))</f>
        <v>316</v>
      </c>
      <c r="EK65" s="17">
        <f>EJ65*VLOOKUP('Données projet'!$B$15,Paramètres!$A$1:$I$89,3,0)*VLOOKUP('Données projet'!$B$15,Paramètres!$A$1:$I$89,5,0)</f>
        <v>188.96800000000002</v>
      </c>
      <c r="EL65" s="13">
        <f t="shared" si="45"/>
        <v>47.311720031947068</v>
      </c>
      <c r="EM65" s="20">
        <f t="shared" si="19"/>
        <v>411.52051238897451</v>
      </c>
      <c r="EN65" s="59">
        <f t="shared" si="20"/>
        <v>704.85384572230782</v>
      </c>
      <c r="EO65" s="59">
        <f ca="1">AVERAGE(OFFSET($EN$3,0,0,'Données projet'!$E$15+1,1))-AVERAGE(OFFSET($H$3,0,0,'Données projet'!$E$15+1,1))</f>
        <v>258.46015871559956</v>
      </c>
      <c r="EP65" s="59">
        <f t="shared" si="46"/>
        <v>280.26155987300996</v>
      </c>
      <c r="EQ65" s="15">
        <f>IF(ISNA(VLOOKUP(A65,'Données projet'!$A$191:$I$211,3,0)),0,VLOOKUP(A65,'Données projet'!$A$191:$I$211,3,0))</f>
        <v>9</v>
      </c>
      <c r="ER65" s="15">
        <f>IF(ISNA(VLOOKUP(A65,'Données projet'!$A$191:$I$211,4,0)),0,VLOOKUP(A65,'Données projet'!$A$191:$I$211,4,0))</f>
        <v>316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3.2962678405724826</v>
      </c>
      <c r="EW65" s="21">
        <f>EXP(-LN(2)/25)*EW64+(1-EXP(-LN(2)/25))/(LN(2)/25)*Calculateur!ER65*Calculateur!ET65*VLOOKUP('Données projet'!$B$15,Paramètres!$A$1:$I$89,3,0)*0.475*44/12</f>
        <v>5.0778019288474718</v>
      </c>
      <c r="EX65" s="21">
        <f>EXP(-LN(2)/2)*EX64+(1-EXP(-LN(2)/2))/(LN(2)/2)*ER65*EU65*VLOOKUP('Données projet'!$B$15,Paramètres!$A$1:$I$89,3,0)*0.475*44/12</f>
        <v>8.309467123526251E-5</v>
      </c>
      <c r="EY65" s="22">
        <f t="shared" si="21"/>
        <v>8.3741528640911884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5.3</v>
      </c>
      <c r="N66" s="13">
        <f>IF('Données projet'!$A$36&gt;35,N65+M66-V65,IF(A66&lt;'Données projet'!$A$36,$K$205^A66,IF(A66='Données projet'!$A$36,'Données projet'!$B$36,N65+M66-V65)))</f>
        <v>219.90000000000009</v>
      </c>
      <c r="O66" s="13">
        <f>N66*VLOOKUP('Données projet'!$B$9,Paramètres!$A$1:$I$89,3,0)*VLOOKUP('Données projet'!$B$9,Paramètres!$A$1:$I$89,5,0)</f>
        <v>192.1046400000001</v>
      </c>
      <c r="P66" s="13">
        <f t="shared" si="33"/>
        <v>48.004960126879965</v>
      </c>
      <c r="Q66" s="20">
        <f t="shared" si="53"/>
        <v>418.19088688764947</v>
      </c>
      <c r="R66" s="59">
        <f t="shared" si="0"/>
        <v>711.52422022098278</v>
      </c>
      <c r="S66" s="59">
        <f ca="1">AVERAGE(OFFSET($R$3,0,0,'Données projet'!$E$9+1,1))-AVERAGE(OFFSET($H$3,0,0,'Données projet'!$E$9+1,1))</f>
        <v>368.41876532159154</v>
      </c>
      <c r="T66" s="59">
        <f t="shared" si="34"/>
        <v>369.39570124551125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3.2035796304029138</v>
      </c>
      <c r="AA66" s="21">
        <f>EXP(-LN(2)/25)*AA65+(1-EXP(-LN(2)/25))/(LN(2)/25)*Calculateur!V66*Calculateur!X66*VLOOKUP('Données projet'!$B$9,Paramètres!$A$1:$I$89,3,0)*0.475*44/12</f>
        <v>6.4970775213375518</v>
      </c>
      <c r="AB66" s="21">
        <f>EXP(-LN(2)/2)*AB65+(1-EXP(-LN(2)/2))/(LN(2)/2)*V66*Y66*VLOOKUP('Données projet'!$B$9,Paramètres!$A$1:$I$89,3,0)*0.475*44/12</f>
        <v>1.9173798397965379E-4</v>
      </c>
      <c r="AC66" s="22">
        <f t="shared" si="3"/>
        <v>9.700848889724444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4.9000000000000004</v>
      </c>
      <c r="AI66" s="13">
        <f>IF('Données projet'!$A$62&gt;35,AI65+AH66-AQ65,IF(A66&lt;'Données projet'!$A$62,$AF$205^A66,IF(A66='Données projet'!$A$62,'Données projet'!$B$62,AI65+AH66-AQ65)))</f>
        <v>294.69999999999987</v>
      </c>
      <c r="AJ66" s="13">
        <f>AI66*VLOOKUP('Données projet'!$B$10,Paramètres!$A$1:$I$89,3,0)*VLOOKUP('Données projet'!$B$10,Paramètres!$A$1:$I$89,5,0)</f>
        <v>257.44991999999996</v>
      </c>
      <c r="AK66" s="13">
        <f t="shared" si="35"/>
        <v>62.178492526850754</v>
      </c>
      <c r="AL66" s="20">
        <f t="shared" si="4"/>
        <v>556.68615181759833</v>
      </c>
      <c r="AM66" s="59">
        <f t="shared" si="5"/>
        <v>850.01948515093159</v>
      </c>
      <c r="AN66" s="59">
        <f ca="1">AVERAGE(OFFSET($AM$3,0,0,'Données projet'!$E$10+1,1))-AVERAGE(OFFSET($H$3,0,0,'Données projet'!$E$10+1,1))</f>
        <v>402.82278346470082</v>
      </c>
      <c r="AO66" s="59">
        <f t="shared" si="36"/>
        <v>440.17787299198977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1.8638259913268538</v>
      </c>
      <c r="AV66" s="21">
        <f>EXP(-LN(2)/25)*AV65+(1-EXP(-LN(2)/25))/(LN(2)/25)*Calculateur!AQ66*Calculateur!AS66*VLOOKUP('Données projet'!$B$10,Paramètres!$A$1:$I$89,3,0)*0.475*44/12</f>
        <v>9.0245842745557407</v>
      </c>
      <c r="AW66" s="21">
        <f>EXP(-LN(2)/2)*AW65+(1-EXP(-LN(2)/2))/(LN(2)/2)*AQ66*AT66*VLOOKUP('Données projet'!$B$10,Paramètres!$A$1:$I$89,3,0)*0.475*44/12</f>
        <v>2.8479996968133113E-4</v>
      </c>
      <c r="AX66" s="21">
        <f t="shared" si="6"/>
        <v>10.888695065852275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</v>
      </c>
      <c r="BD66" s="12">
        <f>IF('Données projet'!$A$88&gt;35,BD65+BC66-BL65,IF(A66&lt;'Données projet'!$A$88,$BA$205^A66,IF(A66='Données projet'!$A$88,'Données projet'!$B$88,BD65+BC66-BL65)))</f>
        <v>270.5</v>
      </c>
      <c r="BE66" s="13">
        <f>BD66*VLOOKUP('Données projet'!$B$11,Paramètres!$A$1:$I$89,3,0)*VLOOKUP('Données projet'!$B$11,Paramètres!$A$1:$I$89,5,0)</f>
        <v>244.74839999999998</v>
      </c>
      <c r="BF66" s="13">
        <f t="shared" si="37"/>
        <v>59.460004038665112</v>
      </c>
      <c r="BG66" s="20">
        <f t="shared" si="7"/>
        <v>529.82963703400833</v>
      </c>
      <c r="BH66" s="59">
        <f t="shared" si="8"/>
        <v>823.16297036734159</v>
      </c>
      <c r="BI66" s="59">
        <f ca="1">AVERAGE(OFFSET($BH$3,0,0,'Données projet'!$E$11+1,1))-AVERAGE(OFFSET($H$3,0,0,'Données projet'!$E$11+1,1))</f>
        <v>469.68830256438338</v>
      </c>
      <c r="BJ66" s="59">
        <f t="shared" si="38"/>
        <v>332.61387922152159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1.2529331596682411</v>
      </c>
      <c r="BQ66" s="21">
        <f>EXP(-LN(2)/25)*BQ65+(1-EXP(-LN(2)/25))/(LN(2)/25)*Calculateur!BL66*Calculateur!BN66*VLOOKUP('Données projet'!$B$11,Paramètres!$A$1:$I$89,3,0)*0.475*44/12</f>
        <v>4.519162977481141</v>
      </c>
      <c r="BR66" s="21">
        <f>EXP(-LN(2)/2)*BR65+(1-EXP(-LN(2)/2))/(LN(2)/2)*BL66*BO66*VLOOKUP('Données projet'!$B$11,Paramètres!$A$1:$I$89,3,0)*0.475*44/12</f>
        <v>2.3255173630017372E-4</v>
      </c>
      <c r="BS66" s="22">
        <f t="shared" si="9"/>
        <v>5.7723286888856817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10.199999999999999</v>
      </c>
      <c r="BY66" s="12">
        <f>IF('Données projet'!$A$114&gt;35,BY65+BX66-CG65,IF(A66&lt;'Données projet'!$A$114,$BV$205^A66,IF(A66='Données projet'!$A$114,'Données projet'!$B$114,BY65+BX66-CG65)))</f>
        <v>272.59999999999997</v>
      </c>
      <c r="BZ66" s="13">
        <f>BY66*VLOOKUP('Données projet'!$B$12,Paramètres!$A$1:$I$89,3,0)*VLOOKUP('Données projet'!$B$12,Paramètres!$A$1:$I$89,5,0)</f>
        <v>259.40615999999994</v>
      </c>
      <c r="CA66" s="13">
        <f t="shared" si="39"/>
        <v>62.595778424976366</v>
      </c>
      <c r="CB66" s="20">
        <f t="shared" si="10"/>
        <v>560.82004275683369</v>
      </c>
      <c r="CC66" s="59">
        <f t="shared" si="11"/>
        <v>854.15337609016706</v>
      </c>
      <c r="CD66" s="59">
        <f ca="1">AVERAGE(OFFSET($CC$3,0,0,'Données projet'!$E$12+1,1))-AVERAGE(OFFSET($H$3,0,0,'Données projet'!$E$12+1,1))</f>
        <v>609.40025883662452</v>
      </c>
      <c r="CE66" s="59">
        <f t="shared" si="40"/>
        <v>294.48909834404577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1.5790835158578791</v>
      </c>
      <c r="CM66" s="21">
        <f>EXP(-LN(2)/2)*CM65+(1-EXP(-LN(2)/2))/(LN(2)/2)*CG66*CJ66*VLOOKUP('Données projet'!$B$12,Paramètres!$A$1:$I$89,3,0)*0.475*44/12</f>
        <v>8.4766031473828854E-5</v>
      </c>
      <c r="CN66" s="22">
        <f t="shared" si="12"/>
        <v>1.5791682818893529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15.5</v>
      </c>
      <c r="CT66" s="12">
        <f>IF('Données projet'!$A$140&gt;35,CT65+CS66-DB65,IF(A66&lt;'Données projet'!$A$140,$CQ$205^A66,IF(A66='Données projet'!$A$140,'Données projet'!$B$140,CT65+CS66-DB65)))</f>
        <v>337.89999999999986</v>
      </c>
      <c r="CU66" s="17">
        <f>CT66*VLOOKUP('Données projet'!$B$13,Paramètres!$A$1:$I$89,3,0)*VLOOKUP('Données projet'!$B$13,Paramètres!$A$1:$I$89,5,0)</f>
        <v>158.13719999999995</v>
      </c>
      <c r="CV66" s="13">
        <f t="shared" si="41"/>
        <v>40.422069728367696</v>
      </c>
      <c r="CW66" s="20">
        <f t="shared" si="13"/>
        <v>345.82406144357361</v>
      </c>
      <c r="CX66" s="59">
        <f t="shared" si="14"/>
        <v>639.15739477690693</v>
      </c>
      <c r="CY66" s="59">
        <f ca="1">AVERAGE(OFFSET($CX$3,0,0,'Données projet'!$E$13+1,1))-AVERAGE(OFFSET($H$3,0,0,'Données projet'!$E$13+1,1))</f>
        <v>346.16623654404509</v>
      </c>
      <c r="CZ66" s="59">
        <f t="shared" si="42"/>
        <v>281.80933156559087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1.6306144950304886</v>
      </c>
      <c r="DG66" s="21">
        <f>EXP(-LN(2)/25)*DG65+(1-EXP(-LN(2)/25))/(LN(2)/25)*Calculateur!DB66*Calculateur!DD66*VLOOKUP('Données projet'!$B$13,Paramètres!$A$1:$I$89,3,0)*0.475*44/12</f>
        <v>3.1463879342314973</v>
      </c>
      <c r="DH66" s="21">
        <f>EXP(-LN(2)/2)*DH65+(1-EXP(-LN(2)/2))/(LN(2)/2)*DB66*DE66*VLOOKUP('Données projet'!$B$13,Paramètres!$A$1:$I$89,3,0)*0.475*44/12</f>
        <v>1.0608518467773708E-4</v>
      </c>
      <c r="DI66" s="22">
        <f t="shared" si="15"/>
        <v>4.7771085144466632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6.8</v>
      </c>
      <c r="DO66" s="12">
        <f>IF('Données projet'!$A$166&gt;35,DO65+DN66-DW65,IF(A66&lt;'Données projet'!$A$166,$DL$205^A66,IF(A66='Données projet'!$A$166,'Données projet'!$B$166,DO65+DN66-DW65)))</f>
        <v>324.40000000000032</v>
      </c>
      <c r="DP66" s="17">
        <f>DO66*VLOOKUP('Données projet'!$B$14,Paramètres!$A$1:$I$89,3,0)*VLOOKUP('Données projet'!$B$14,Paramètres!$A$1:$I$89,5,0)</f>
        <v>202.4256000000002</v>
      </c>
      <c r="DQ66" s="13">
        <f t="shared" si="43"/>
        <v>50.276866607459766</v>
      </c>
      <c r="DR66" s="20">
        <f t="shared" si="16"/>
        <v>440.12346267465938</v>
      </c>
      <c r="DS66" s="59">
        <f t="shared" si="17"/>
        <v>733.45679600799269</v>
      </c>
      <c r="DT66" s="59">
        <f ca="1">AVERAGE(OFFSET($DS$3,0,0,'Données projet'!$E$14+1,1))-AVERAGE(OFFSET($H$3,0,0,'Données projet'!$E$14+1,1))</f>
        <v>319.97171762304686</v>
      </c>
      <c r="DU66" s="59">
        <f t="shared" si="44"/>
        <v>337.89345858359621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3.6171286085049443</v>
      </c>
      <c r="EB66" s="21">
        <f>EXP(-LN(2)/25)*EB65+(1-EXP(-LN(2)/25))/(LN(2)/25)*Calculateur!DW66*Calculateur!DY66*VLOOKUP('Données projet'!$B$14,Paramètres!$A$1:$I$89,3,0)*0.475*44/12</f>
        <v>8.3262836418334345</v>
      </c>
      <c r="EC66" s="21">
        <f>EXP(-LN(2)/2)*EC65+(1-EXP(-LN(2)/2))/(LN(2)/2)*DW66*DZ66*VLOOKUP('Données projet'!$B$14,Paramètres!$A$1:$I$89,3,0)*0.475*44/12</f>
        <v>2.1785068604070171E-4</v>
      </c>
      <c r="ED66" s="22">
        <f t="shared" si="18"/>
        <v>11.94363010102442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>
        <f>EJ66*VLOOKUP('Données projet'!$B$15,Paramètres!$A$1:$I$89,3,0)*VLOOKUP('Données projet'!$B$15,Paramètres!$A$1:$I$89,5,0)</f>
        <v>0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258.46015871559956</v>
      </c>
      <c r="EP66" s="59">
        <f t="shared" si="46"/>
        <v>280.26155987300996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3.2316300387437162</v>
      </c>
      <c r="EW66" s="21">
        <f>EXP(-LN(2)/25)*EW65+(1-EXP(-LN(2)/25))/(LN(2)/25)*Calculateur!ER66*Calculateur!ET66*VLOOKUP('Données projet'!$B$15,Paramètres!$A$1:$I$89,3,0)*0.475*44/12</f>
        <v>4.9389491680731394</v>
      </c>
      <c r="EX66" s="21">
        <f>EXP(-LN(2)/2)*EX65+(1-EXP(-LN(2)/2))/(LN(2)/2)*ER66*EU66*VLOOKUP('Données projet'!$B$15,Paramètres!$A$1:$I$89,3,0)*0.475*44/12</f>
        <v>5.8756805510920875E-5</v>
      </c>
      <c r="EY66" s="22">
        <f t="shared" si="21"/>
        <v>8.1706379636223669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5.3</v>
      </c>
      <c r="N67" s="13">
        <f>IF('Données projet'!$A$36&gt;35,N66+M67-V66,IF(A67&lt;'Données projet'!$A$36,$K$205^A67,IF(A67='Données projet'!$A$36,'Données projet'!$B$36,N66+M67-V66)))</f>
        <v>225.2000000000001</v>
      </c>
      <c r="O67" s="13">
        <f>N67*VLOOKUP('Données projet'!$B$9,Paramètres!$A$1:$I$89,3,0)*VLOOKUP('Données projet'!$B$9,Paramètres!$A$1:$I$89,5,0)</f>
        <v>196.7347200000001</v>
      </c>
      <c r="P67" s="13">
        <f t="shared" si="33"/>
        <v>49.025871962429896</v>
      </c>
      <c r="Q67" s="20">
        <f t="shared" ref="Q67:Q98" si="54">(O67+P67)*0.475*44/12</f>
        <v>428.03303100123225</v>
      </c>
      <c r="R67" s="59">
        <f t="shared" ref="R67:R130" si="55">Q67+(I67+J67)*44/12</f>
        <v>721.36636433456556</v>
      </c>
      <c r="S67" s="59">
        <f ca="1">AVERAGE(OFFSET($R$3,0,0,'Données projet'!$E$9+1,1))-AVERAGE(OFFSET($H$3,0,0,'Données projet'!$E$9+1,1))</f>
        <v>368.41876532159154</v>
      </c>
      <c r="T67" s="59">
        <f t="shared" si="34"/>
        <v>369.39570124551125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3.1407593878413467</v>
      </c>
      <c r="AA67" s="21">
        <f>EXP(-LN(2)/25)*AA66+(1-EXP(-LN(2)/25))/(LN(2)/25)*Calculateur!V67*Calculateur!X67*VLOOKUP('Données projet'!$B$9,Paramètres!$A$1:$I$89,3,0)*0.475*44/12</f>
        <v>6.3194145948501186</v>
      </c>
      <c r="AB67" s="21">
        <f>EXP(-LN(2)/2)*AB66+(1-EXP(-LN(2)/2))/(LN(2)/2)*V67*Y67*VLOOKUP('Données projet'!$B$9,Paramètres!$A$1:$I$89,3,0)*0.475*44/12</f>
        <v>1.3557922868305081E-4</v>
      </c>
      <c r="AC67" s="22">
        <f t="shared" si="3"/>
        <v>9.4603095619201483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4.9000000000000004</v>
      </c>
      <c r="AI67" s="13">
        <f>IF('Données projet'!$A$62&gt;35,AI66+AH67-AQ66,IF(A67&lt;'Données projet'!$A$62,$AF$205^A67,IF(A67='Données projet'!$A$62,'Données projet'!$B$62,AI66+AH67-AQ66)))</f>
        <v>299.59999999999985</v>
      </c>
      <c r="AJ67" s="13">
        <f>AI67*VLOOKUP('Données projet'!$B$10,Paramètres!$A$1:$I$89,3,0)*VLOOKUP('Données projet'!$B$10,Paramètres!$A$1:$I$89,5,0)</f>
        <v>261.73055999999991</v>
      </c>
      <c r="AK67" s="13">
        <f t="shared" si="35"/>
        <v>63.091120868802435</v>
      </c>
      <c r="AL67" s="20">
        <f t="shared" si="4"/>
        <v>565.73109417983062</v>
      </c>
      <c r="AM67" s="59">
        <f t="shared" si="5"/>
        <v>859.06442751316399</v>
      </c>
      <c r="AN67" s="59">
        <f ca="1">AVERAGE(OFFSET($AM$3,0,0,'Données projet'!$E$10+1,1))-AVERAGE(OFFSET($H$3,0,0,'Données projet'!$E$10+1,1))</f>
        <v>402.82278346470082</v>
      </c>
      <c r="AO67" s="59">
        <f t="shared" si="36"/>
        <v>440.17787299198977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1.8272775004585371</v>
      </c>
      <c r="AV67" s="21">
        <f>EXP(-LN(2)/25)*AV66+(1-EXP(-LN(2)/25))/(LN(2)/25)*Calculateur!AQ67*Calculateur!AS67*VLOOKUP('Données projet'!$B$10,Paramètres!$A$1:$I$89,3,0)*0.475*44/12</f>
        <v>8.7778065429857524</v>
      </c>
      <c r="AW67" s="21">
        <f>EXP(-LN(2)/2)*AW66+(1-EXP(-LN(2)/2))/(LN(2)/2)*AQ67*AT67*VLOOKUP('Données projet'!$B$10,Paramètres!$A$1:$I$89,3,0)*0.475*44/12</f>
        <v>2.0138398984339238E-4</v>
      </c>
      <c r="AX67" s="21">
        <f t="shared" si="6"/>
        <v>10.605285427434133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</v>
      </c>
      <c r="BD67" s="12">
        <f>IF('Données projet'!$A$88&gt;35,BD66+BC67-BL66,IF(A67&lt;'Données projet'!$A$88,$BA$205^A67,IF(A67='Données projet'!$A$88,'Données projet'!$B$88,BD66+BC67-BL66)))</f>
        <v>279</v>
      </c>
      <c r="BE67" s="13">
        <f>BD67*VLOOKUP('Données projet'!$B$11,Paramètres!$A$1:$I$89,3,0)*VLOOKUP('Données projet'!$B$11,Paramètres!$A$1:$I$89,5,0)</f>
        <v>252.4392</v>
      </c>
      <c r="BF67" s="13">
        <f t="shared" si="37"/>
        <v>61.107963296116218</v>
      </c>
      <c r="BG67" s="20">
        <f t="shared" si="7"/>
        <v>546.09464274073571</v>
      </c>
      <c r="BH67" s="59">
        <f t="shared" si="8"/>
        <v>839.42797607406897</v>
      </c>
      <c r="BI67" s="59">
        <f ca="1">AVERAGE(OFFSET($BH$3,0,0,'Données projet'!$E$11+1,1))-AVERAGE(OFFSET($H$3,0,0,'Données projet'!$E$11+1,1))</f>
        <v>469.68830256438338</v>
      </c>
      <c r="BJ67" s="59">
        <f t="shared" si="38"/>
        <v>332.61387922152159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1.2283639046209145</v>
      </c>
      <c r="BQ67" s="21">
        <f>EXP(-LN(2)/25)*BQ66+(1-EXP(-LN(2)/25))/(LN(2)/25)*Calculateur!BL67*Calculateur!BN67*VLOOKUP('Données projet'!$B$11,Paramètres!$A$1:$I$89,3,0)*0.475*44/12</f>
        <v>4.3955862282094671</v>
      </c>
      <c r="BR67" s="21">
        <f>EXP(-LN(2)/2)*BR66+(1-EXP(-LN(2)/2))/(LN(2)/2)*BL67*BO67*VLOOKUP('Données projet'!$B$11,Paramètres!$A$1:$I$89,3,0)*0.475*44/12</f>
        <v>1.6443890971455866E-4</v>
      </c>
      <c r="BS67" s="22">
        <f t="shared" si="9"/>
        <v>5.6241145717400967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10.199999999999999</v>
      </c>
      <c r="BY67" s="12">
        <f>IF('Données projet'!$A$114&gt;35,BY66+BX67-CG66,IF(A67&lt;'Données projet'!$A$114,$BV$205^A67,IF(A67='Données projet'!$A$114,'Données projet'!$B$114,BY66+BX67-CG66)))</f>
        <v>282.79999999999995</v>
      </c>
      <c r="BZ67" s="13">
        <f>BY67*VLOOKUP('Données projet'!$B$12,Paramètres!$A$1:$I$89,3,0)*VLOOKUP('Données projet'!$B$12,Paramètres!$A$1:$I$89,5,0)</f>
        <v>269.11248000000001</v>
      </c>
      <c r="CA67" s="13">
        <f t="shared" si="39"/>
        <v>64.660879066175738</v>
      </c>
      <c r="CB67" s="20">
        <f t="shared" si="10"/>
        <v>581.32193370692278</v>
      </c>
      <c r="CC67" s="59">
        <f t="shared" si="11"/>
        <v>874.65526704025615</v>
      </c>
      <c r="CD67" s="59">
        <f ca="1">AVERAGE(OFFSET($CC$3,0,0,'Données projet'!$E$12+1,1))-AVERAGE(OFFSET($H$3,0,0,'Données projet'!$E$12+1,1))</f>
        <v>609.40025883662452</v>
      </c>
      <c r="CE67" s="59">
        <f t="shared" si="40"/>
        <v>294.48909834404577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1.5359033940763522</v>
      </c>
      <c r="CM67" s="21">
        <f>EXP(-LN(2)/2)*CM66+(1-EXP(-LN(2)/2))/(LN(2)/2)*CG67*CJ67*VLOOKUP('Données projet'!$B$12,Paramètres!$A$1:$I$89,3,0)*0.475*44/12</f>
        <v>5.9938635669416702E-5</v>
      </c>
      <c r="CN67" s="22">
        <f t="shared" si="12"/>
        <v>1.5359633327120217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15.5</v>
      </c>
      <c r="CT67" s="12">
        <f>IF('Données projet'!$A$140&gt;35,CT66+CS67-DB66,IF(A67&lt;'Données projet'!$A$140,$CQ$205^A67,IF(A67='Données projet'!$A$140,'Données projet'!$B$140,CT66+CS67-DB66)))</f>
        <v>353.39999999999986</v>
      </c>
      <c r="CU67" s="17">
        <f>CT67*VLOOKUP('Données projet'!$B$13,Paramètres!$A$1:$I$89,3,0)*VLOOKUP('Données projet'!$B$13,Paramètres!$A$1:$I$89,5,0)</f>
        <v>165.39119999999994</v>
      </c>
      <c r="CV67" s="13">
        <f t="shared" si="41"/>
        <v>42.056160358234834</v>
      </c>
      <c r="CW67" s="20">
        <f t="shared" si="13"/>
        <v>361.30415262392557</v>
      </c>
      <c r="CX67" s="59">
        <f t="shared" si="14"/>
        <v>654.63748595725883</v>
      </c>
      <c r="CY67" s="59">
        <f ca="1">AVERAGE(OFFSET($CX$3,0,0,'Données projet'!$E$13+1,1))-AVERAGE(OFFSET($H$3,0,0,'Données projet'!$E$13+1,1))</f>
        <v>346.16623654404509</v>
      </c>
      <c r="CZ67" s="59">
        <f t="shared" si="42"/>
        <v>281.80933156559087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1.5986391393595765</v>
      </c>
      <c r="DG67" s="21">
        <f>EXP(-LN(2)/25)*DG66+(1-EXP(-LN(2)/25))/(LN(2)/25)*Calculateur!DB67*Calculateur!DD67*VLOOKUP('Données projet'!$B$13,Paramètres!$A$1:$I$89,3,0)*0.475*44/12</f>
        <v>3.0603497907085866</v>
      </c>
      <c r="DH67" s="21">
        <f>EXP(-LN(2)/2)*DH66+(1-EXP(-LN(2)/2))/(LN(2)/2)*DB67*DE67*VLOOKUP('Données projet'!$B$13,Paramètres!$A$1:$I$89,3,0)*0.475*44/12</f>
        <v>7.5013553469055114E-5</v>
      </c>
      <c r="DI67" s="22">
        <f t="shared" si="15"/>
        <v>4.6590639436216321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6.8</v>
      </c>
      <c r="DO67" s="12">
        <f>IF('Données projet'!$A$166&gt;35,DO66+DN67-DW66,IF(A67&lt;'Données projet'!$A$166,$DL$205^A67,IF(A67='Données projet'!$A$166,'Données projet'!$B$166,DO66+DN67-DW66)))</f>
        <v>331.20000000000033</v>
      </c>
      <c r="DP67" s="17">
        <f>DO67*VLOOKUP('Données projet'!$B$14,Paramètres!$A$1:$I$89,3,0)*VLOOKUP('Données projet'!$B$14,Paramètres!$A$1:$I$89,5,0)</f>
        <v>206.6688000000002</v>
      </c>
      <c r="DQ67" s="13">
        <f t="shared" si="43"/>
        <v>51.206958627992798</v>
      </c>
      <c r="DR67" s="20">
        <f t="shared" si="16"/>
        <v>449.13361294375437</v>
      </c>
      <c r="DS67" s="59">
        <f t="shared" si="17"/>
        <v>742.46694627708769</v>
      </c>
      <c r="DT67" s="59">
        <f ca="1">AVERAGE(OFFSET($DS$3,0,0,'Données projet'!$E$14+1,1))-AVERAGE(OFFSET($H$3,0,0,'Données projet'!$E$14+1,1))</f>
        <v>319.97171762304686</v>
      </c>
      <c r="DU67" s="59">
        <f t="shared" si="44"/>
        <v>337.89345858359621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3.5461989227227666</v>
      </c>
      <c r="EB67" s="21">
        <f>EXP(-LN(2)/25)*EB66+(1-EXP(-LN(2)/25))/(LN(2)/25)*Calculateur!DW67*Calculateur!DY67*VLOOKUP('Données projet'!$B$14,Paramètres!$A$1:$I$89,3,0)*0.475*44/12</f>
        <v>8.0986009777872727</v>
      </c>
      <c r="EC67" s="21">
        <f>EXP(-LN(2)/2)*EC66+(1-EXP(-LN(2)/2))/(LN(2)/2)*DW67*DZ67*VLOOKUP('Données projet'!$B$14,Paramètres!$A$1:$I$89,3,0)*0.475*44/12</f>
        <v>1.5404369738552173E-4</v>
      </c>
      <c r="ED67" s="22">
        <f t="shared" si="18"/>
        <v>11.644953944207424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>
        <f>EJ67*VLOOKUP('Données projet'!$B$15,Paramètres!$A$1:$I$89,3,0)*VLOOKUP('Données projet'!$B$15,Paramètres!$A$1:$I$89,5,0)</f>
        <v>0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258.46015871559956</v>
      </c>
      <c r="EP67" s="59">
        <f t="shared" si="46"/>
        <v>280.26155987300996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3.1682597447836458</v>
      </c>
      <c r="EW67" s="21">
        <f>EXP(-LN(2)/25)*EW66+(1-EXP(-LN(2)/25))/(LN(2)/25)*Calculateur!ER67*Calculateur!ET67*VLOOKUP('Données projet'!$B$15,Paramètres!$A$1:$I$89,3,0)*0.475*44/12</f>
        <v>4.8038933433441304</v>
      </c>
      <c r="EX67" s="21">
        <f>EXP(-LN(2)/2)*EX66+(1-EXP(-LN(2)/2))/(LN(2)/2)*ER67*EU67*VLOOKUP('Données projet'!$B$15,Paramètres!$A$1:$I$89,3,0)*0.475*44/12</f>
        <v>4.1547335617631262E-5</v>
      </c>
      <c r="EY67" s="22">
        <f t="shared" si="21"/>
        <v>7.972194635463393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5.3</v>
      </c>
      <c r="N68" s="13">
        <f>IF('Données projet'!$A$36&gt;35,N67+M68-V67,IF(A68&lt;'Données projet'!$A$36,$K$205^A68,IF(A68='Données projet'!$A$36,'Données projet'!$B$36,N67+M68-V67)))</f>
        <v>230.50000000000011</v>
      </c>
      <c r="O68" s="13">
        <f>N68*VLOOKUP('Données projet'!$B$9,Paramètres!$A$1:$I$89,3,0)*VLOOKUP('Données projet'!$B$9,Paramètres!$A$1:$I$89,5,0)</f>
        <v>201.36480000000012</v>
      </c>
      <c r="P68" s="13">
        <f t="shared" si="33"/>
        <v>50.04399063451806</v>
      </c>
      <c r="Q68" s="20">
        <f t="shared" si="54"/>
        <v>437.8703103551191</v>
      </c>
      <c r="R68" s="59">
        <f t="shared" si="55"/>
        <v>731.20364368845242</v>
      </c>
      <c r="S68" s="59">
        <f ca="1">AVERAGE(OFFSET($R$3,0,0,'Données projet'!$E$9+1,1))-AVERAGE(OFFSET($H$3,0,0,'Données projet'!$E$9+1,1))</f>
        <v>368.41876532159154</v>
      </c>
      <c r="T68" s="59">
        <f t="shared" si="34"/>
        <v>369.39570124551125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3.0791710119198474</v>
      </c>
      <c r="AA68" s="21">
        <f>EXP(-LN(2)/25)*AA67+(1-EXP(-LN(2)/25))/(LN(2)/25)*Calculateur!V68*Calculateur!X68*VLOOKUP('Données projet'!$B$9,Paramètres!$A$1:$I$89,3,0)*0.475*44/12</f>
        <v>6.146609870430372</v>
      </c>
      <c r="AB68" s="21">
        <f>EXP(-LN(2)/2)*AB67+(1-EXP(-LN(2)/2))/(LN(2)/2)*V68*Y68*VLOOKUP('Données projet'!$B$9,Paramètres!$A$1:$I$89,3,0)*0.475*44/12</f>
        <v>9.5868991989826895E-5</v>
      </c>
      <c r="AC68" s="22">
        <f t="shared" ref="AC68:AC131" si="57">SUM(Z68:AB68)</f>
        <v>9.2258767513422093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4.9000000000000004</v>
      </c>
      <c r="AI68" s="13">
        <f>IF('Données projet'!$A$62&gt;35,AI67+AH68-AQ67,IF(A68&lt;'Données projet'!$A$62,$AF$205^A68,IF(A68='Données projet'!$A$62,'Données projet'!$B$62,AI67+AH68-AQ67)))</f>
        <v>304.49999999999983</v>
      </c>
      <c r="AJ68" s="13">
        <f>AI68*VLOOKUP('Données projet'!$B$10,Paramètres!$A$1:$I$89,3,0)*VLOOKUP('Données projet'!$B$10,Paramètres!$A$1:$I$89,5,0)</f>
        <v>266.01119999999992</v>
      </c>
      <c r="AK68" s="13">
        <f t="shared" si="35"/>
        <v>64.00201337612566</v>
      </c>
      <c r="AL68" s="20">
        <f t="shared" ref="AL68:AL131" si="58">(AJ68+AK68)*0.475*44/12</f>
        <v>574.77301329675208</v>
      </c>
      <c r="AM68" s="59">
        <f t="shared" ref="AM68:AM131" si="59">AL68+(AD68+AE68)*44/12</f>
        <v>868.10634663008545</v>
      </c>
      <c r="AN68" s="59">
        <f ca="1">AVERAGE(OFFSET($AM$3,0,0,'Données projet'!$E$10+1,1))-AVERAGE(OFFSET($H$3,0,0,'Données projet'!$E$10+1,1))</f>
        <v>402.82278346470082</v>
      </c>
      <c r="AO68" s="59">
        <f t="shared" si="36"/>
        <v>440.17787299198977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1.7914457032037698</v>
      </c>
      <c r="AV68" s="21">
        <f>EXP(-LN(2)/25)*AV67+(1-EXP(-LN(2)/25))/(LN(2)/25)*Calculateur!AQ68*Calculateur!AS68*VLOOKUP('Données projet'!$B$10,Paramètres!$A$1:$I$89,3,0)*0.475*44/12</f>
        <v>8.5377769614630221</v>
      </c>
      <c r="AW68" s="21">
        <f>EXP(-LN(2)/2)*AW67+(1-EXP(-LN(2)/2))/(LN(2)/2)*AQ68*AT68*VLOOKUP('Données projet'!$B$10,Paramètres!$A$1:$I$89,3,0)*0.475*44/12</f>
        <v>1.4239998484066557E-4</v>
      </c>
      <c r="AX68" s="21">
        <f t="shared" ref="AX68:AX131" si="60">SUM(AU68:AW68)</f>
        <v>10.329365064651633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</v>
      </c>
      <c r="BD68" s="12">
        <f>IF('Données projet'!$A$88&gt;35,BD67+BC68-BL67,IF(A68&lt;'Données projet'!$A$88,$BA$205^A68,IF(A68='Données projet'!$A$88,'Données projet'!$B$88,BD67+BC68-BL67)))</f>
        <v>287.5</v>
      </c>
      <c r="BE68" s="13">
        <f>BD68*VLOOKUP('Données projet'!$B$11,Paramètres!$A$1:$I$89,3,0)*VLOOKUP('Données projet'!$B$11,Paramètres!$A$1:$I$89,5,0)</f>
        <v>260.13</v>
      </c>
      <c r="BF68" s="13">
        <f t="shared" si="37"/>
        <v>62.750087896510983</v>
      </c>
      <c r="BG68" s="20">
        <f t="shared" ref="BG68:BG131" si="61">(BE68+BF68)*0.475*44/12</f>
        <v>562.34948641975654</v>
      </c>
      <c r="BH68" s="59">
        <f t="shared" ref="BH68:BH131" si="62">BG68+(AY68+AZ68)*44/12</f>
        <v>855.68281975308992</v>
      </c>
      <c r="BI68" s="59">
        <f ca="1">AVERAGE(OFFSET($BH$3,0,0,'Données projet'!$E$11+1,1))-AVERAGE(OFFSET($H$3,0,0,'Données projet'!$E$11+1,1))</f>
        <v>469.68830256438338</v>
      </c>
      <c r="BJ68" s="59">
        <f t="shared" si="38"/>
        <v>332.61387922152159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1.2042764376793</v>
      </c>
      <c r="BQ68" s="21">
        <f>EXP(-LN(2)/25)*BQ67+(1-EXP(-LN(2)/25))/(LN(2)/25)*Calculateur!BL68*Calculateur!BN68*VLOOKUP('Données projet'!$B$11,Paramètres!$A$1:$I$89,3,0)*0.475*44/12</f>
        <v>4.2753886916452455</v>
      </c>
      <c r="BR68" s="21">
        <f>EXP(-LN(2)/2)*BR67+(1-EXP(-LN(2)/2))/(LN(2)/2)*BL68*BO68*VLOOKUP('Données projet'!$B$11,Paramètres!$A$1:$I$89,3,0)*0.475*44/12</f>
        <v>1.1627586815008689E-4</v>
      </c>
      <c r="BS68" s="22">
        <f t="shared" ref="BS68:BS131" si="63">SUM(BP68:BR68)</f>
        <v>5.4797814051926954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10.199999999999999</v>
      </c>
      <c r="BY68" s="12">
        <f>IF('Données projet'!$A$114&gt;35,BY67+BX68-CG67,IF(A68&lt;'Données projet'!$A$114,$BV$205^A68,IF(A68='Données projet'!$A$114,'Données projet'!$B$114,BY67+BX68-CG67)))</f>
        <v>292.99999999999994</v>
      </c>
      <c r="BZ68" s="13">
        <f>BY68*VLOOKUP('Données projet'!$B$12,Paramètres!$A$1:$I$89,3,0)*VLOOKUP('Données projet'!$B$12,Paramètres!$A$1:$I$89,5,0)</f>
        <v>278.81879999999995</v>
      </c>
      <c r="CA68" s="13">
        <f t="shared" si="39"/>
        <v>66.717325981909937</v>
      </c>
      <c r="CB68" s="20">
        <f t="shared" ref="CB68:CB131" si="64">(BZ68+CA68)*0.475*44/12</f>
        <v>601.80875275182643</v>
      </c>
      <c r="CC68" s="59">
        <f t="shared" ref="CC68:CC131" si="65">CB68+(BT68+BU68)*44/12</f>
        <v>895.14208608515969</v>
      </c>
      <c r="CD68" s="59">
        <f ca="1">AVERAGE(OFFSET($CC$3,0,0,'Données projet'!$E$12+1,1))-AVERAGE(OFFSET($H$3,0,0,'Données projet'!$E$12+1,1))</f>
        <v>609.40025883662452</v>
      </c>
      <c r="CE68" s="59">
        <f t="shared" si="40"/>
        <v>294.48909834404577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1.4939040349956851</v>
      </c>
      <c r="CM68" s="21">
        <f>EXP(-LN(2)/2)*CM67+(1-EXP(-LN(2)/2))/(LN(2)/2)*CG68*CJ68*VLOOKUP('Données projet'!$B$12,Paramètres!$A$1:$I$89,3,0)*0.475*44/12</f>
        <v>4.2383015736914434E-5</v>
      </c>
      <c r="CN68" s="22">
        <f t="shared" ref="CN68:CN131" si="66">SUM(CK68:CM68)</f>
        <v>1.4939464180114221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15.5</v>
      </c>
      <c r="CT68" s="12">
        <f>IF('Données projet'!$A$140&gt;35,CT67+CS68-DB67,IF(A68&lt;'Données projet'!$A$140,$CQ$205^A68,IF(A68='Données projet'!$A$140,'Données projet'!$B$140,CT67+CS68-DB67)))</f>
        <v>368.89999999999986</v>
      </c>
      <c r="CU68" s="17">
        <f>CT68*VLOOKUP('Données projet'!$B$13,Paramètres!$A$1:$I$89,3,0)*VLOOKUP('Données projet'!$B$13,Paramètres!$A$1:$I$89,5,0)</f>
        <v>172.64519999999993</v>
      </c>
      <c r="CV68" s="13">
        <f t="shared" si="41"/>
        <v>43.681926966241704</v>
      </c>
      <c r="CW68" s="20">
        <f t="shared" ref="CW68:CW131" si="67">(CU68+CV68)*0.475*44/12</f>
        <v>376.76974613287081</v>
      </c>
      <c r="CX68" s="59">
        <f t="shared" ref="CX68:CX131" si="68">CW68+(CO68+CP68)*44/12</f>
        <v>670.10307946620412</v>
      </c>
      <c r="CY68" s="59">
        <f ca="1">AVERAGE(OFFSET($CX$3,0,0,'Données projet'!$E$13+1,1))-AVERAGE(OFFSET($H$3,0,0,'Données projet'!$E$13+1,1))</f>
        <v>346.16623654404509</v>
      </c>
      <c r="CZ68" s="59">
        <f t="shared" si="42"/>
        <v>281.80933156559087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1.5672908009103297</v>
      </c>
      <c r="DG68" s="21">
        <f>EXP(-LN(2)/25)*DG67+(1-EXP(-LN(2)/25))/(LN(2)/25)*Calculateur!DB68*Calculateur!DD68*VLOOKUP('Données projet'!$B$13,Paramètres!$A$1:$I$89,3,0)*0.475*44/12</f>
        <v>2.9766643647448592</v>
      </c>
      <c r="DH68" s="21">
        <f>EXP(-LN(2)/2)*DH67+(1-EXP(-LN(2)/2))/(LN(2)/2)*DB68*DE68*VLOOKUP('Données projet'!$B$13,Paramètres!$A$1:$I$89,3,0)*0.475*44/12</f>
        <v>5.3042592338868538E-5</v>
      </c>
      <c r="DI68" s="22">
        <f t="shared" ref="DI68:DI131" si="69">SUM(DF68:DH68)</f>
        <v>4.5440082082475275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6.8</v>
      </c>
      <c r="DO68" s="12">
        <f>IF('Données projet'!$A$166&gt;35,DO67+DN68-DW67,IF(A68&lt;'Données projet'!$A$166,$DL$205^A68,IF(A68='Données projet'!$A$166,'Données projet'!$B$166,DO67+DN68-DW67)))</f>
        <v>338.00000000000034</v>
      </c>
      <c r="DP68" s="17">
        <f>DO68*VLOOKUP('Données projet'!$B$14,Paramètres!$A$1:$I$89,3,0)*VLOOKUP('Données projet'!$B$14,Paramètres!$A$1:$I$89,5,0)</f>
        <v>210.91200000000021</v>
      </c>
      <c r="DQ68" s="13">
        <f t="shared" si="43"/>
        <v>52.134830352456831</v>
      </c>
      <c r="DR68" s="20">
        <f t="shared" ref="DR68:DR131" si="70">(DP68+DQ68)*0.475*44/12</f>
        <v>458.13989619719604</v>
      </c>
      <c r="DS68" s="59">
        <f t="shared" ref="DS68:DS131" si="71">DR68+(DJ68+DK68)*44/12</f>
        <v>751.47322953052935</v>
      </c>
      <c r="DT68" s="59">
        <f ca="1">AVERAGE(OFFSET($DS$3,0,0,'Données projet'!$E$14+1,1))-AVERAGE(OFFSET($H$3,0,0,'Données projet'!$E$14+1,1))</f>
        <v>319.97171762304686</v>
      </c>
      <c r="DU68" s="59">
        <f t="shared" si="44"/>
        <v>337.89345858359621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3.4766601248159406</v>
      </c>
      <c r="EB68" s="21">
        <f>EXP(-LN(2)/25)*EB67+(1-EXP(-LN(2)/25))/(LN(2)/25)*Calculateur!DW68*Calculateur!DY68*VLOOKUP('Données projet'!$B$14,Paramètres!$A$1:$I$89,3,0)*0.475*44/12</f>
        <v>7.8771443081627641</v>
      </c>
      <c r="EC68" s="21">
        <f>EXP(-LN(2)/2)*EC67+(1-EXP(-LN(2)/2))/(LN(2)/2)*DW68*DZ68*VLOOKUP('Données projet'!$B$14,Paramètres!$A$1:$I$89,3,0)*0.475*44/12</f>
        <v>1.0892534302035086E-4</v>
      </c>
      <c r="ED68" s="22">
        <f t="shared" ref="ED68:ED131" si="72">SUM(EA68:EC68)</f>
        <v>11.353913358321726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>
        <f>EJ68*VLOOKUP('Données projet'!$B$15,Paramètres!$A$1:$I$89,3,0)*VLOOKUP('Données projet'!$B$15,Paramètres!$A$1:$I$89,5,0)</f>
        <v>0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258.46015871559956</v>
      </c>
      <c r="EP68" s="59">
        <f t="shared" si="46"/>
        <v>280.26155987300996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3.1061321036360696</v>
      </c>
      <c r="EW68" s="21">
        <f>EXP(-LN(2)/25)*EW67+(1-EXP(-LN(2)/25))/(LN(2)/25)*Calculateur!ER68*Calculateur!ET68*VLOOKUP('Données projet'!$B$15,Paramètres!$A$1:$I$89,3,0)*0.475*44/12</f>
        <v>4.6725306272446137</v>
      </c>
      <c r="EX68" s="21">
        <f>EXP(-LN(2)/2)*EX67+(1-EXP(-LN(2)/2))/(LN(2)/2)*ER68*EU68*VLOOKUP('Données projet'!$B$15,Paramètres!$A$1:$I$89,3,0)*0.475*44/12</f>
        <v>2.9378402755460444E-5</v>
      </c>
      <c r="EY68" s="22">
        <f t="shared" ref="EY68:EY131" si="75">SUM(EV68:EX68)</f>
        <v>7.7786921092834387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5.3</v>
      </c>
      <c r="N69" s="13">
        <f>IF('Données projet'!$A$36&gt;35,N68+M69-V68,IF(A69&lt;'Données projet'!$A$36,$K$205^A69,IF(A69='Données projet'!$A$36,'Données projet'!$B$36,N68+M69-V68)))</f>
        <v>235.80000000000013</v>
      </c>
      <c r="O69" s="13">
        <f>N69*VLOOKUP('Données projet'!$B$9,Paramètres!$A$1:$I$89,3,0)*VLOOKUP('Données projet'!$B$9,Paramètres!$A$1:$I$89,5,0)</f>
        <v>205.99488000000014</v>
      </c>
      <c r="P69" s="13">
        <f t="shared" ref="P69:P132" si="87">EXP(-1.0587+0.8836*LN(O69)+0.284)</f>
        <v>51.0593877603579</v>
      </c>
      <c r="Q69" s="20">
        <f t="shared" si="54"/>
        <v>447.70284968262354</v>
      </c>
      <c r="R69" s="59">
        <f t="shared" si="55"/>
        <v>741.03618301595679</v>
      </c>
      <c r="S69" s="59">
        <f ca="1">AVERAGE(OFFSET($R$3,0,0,'Données projet'!$E$9+1,1))-AVERAGE(OFFSET($H$3,0,0,'Données projet'!$E$9+1,1))</f>
        <v>368.41876532159154</v>
      </c>
      <c r="T69" s="59">
        <f t="shared" ref="T69:T132" si="88">$T$3</f>
        <v>369.39570124551125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3.0187903464849688</v>
      </c>
      <c r="AA69" s="21">
        <f>EXP(-LN(2)/25)*AA68+(1-EXP(-LN(2)/25))/(LN(2)/25)*Calculateur!V69*Calculateur!X69*VLOOKUP('Données projet'!$B$9,Paramètres!$A$1:$I$89,3,0)*0.475*44/12</f>
        <v>5.9785305002872891</v>
      </c>
      <c r="AB69" s="21">
        <f>EXP(-LN(2)/2)*AB68+(1-EXP(-LN(2)/2))/(LN(2)/2)*V69*Y69*VLOOKUP('Données projet'!$B$9,Paramètres!$A$1:$I$89,3,0)*0.475*44/12</f>
        <v>6.7789614341525403E-5</v>
      </c>
      <c r="AC69" s="22">
        <f t="shared" si="57"/>
        <v>8.9973886363865994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4.9000000000000004</v>
      </c>
      <c r="AI69" s="13">
        <f>IF('Données projet'!$A$62&gt;35,AI68+AH69-AQ68,IF(A69&lt;'Données projet'!$A$62,$AF$205^A69,IF(A69='Données projet'!$A$62,'Données projet'!$B$62,AI68+AH69-AQ68)))</f>
        <v>309.39999999999981</v>
      </c>
      <c r="AJ69" s="13">
        <f>AI69*VLOOKUP('Données projet'!$B$10,Paramètres!$A$1:$I$89,3,0)*VLOOKUP('Données projet'!$B$10,Paramètres!$A$1:$I$89,5,0)</f>
        <v>270.29183999999987</v>
      </c>
      <c r="AK69" s="13">
        <f t="shared" ref="AK69:AK132" si="89">EXP(-1.0587+0.8836*LN(AJ69)+0.284)</f>
        <v>64.911201206710686</v>
      </c>
      <c r="AL69" s="20">
        <f t="shared" si="58"/>
        <v>583.81196343502086</v>
      </c>
      <c r="AM69" s="59">
        <f t="shared" si="59"/>
        <v>877.14529676835423</v>
      </c>
      <c r="AN69" s="59">
        <f ca="1">AVERAGE(OFFSET($AM$3,0,0,'Données projet'!$E$10+1,1))-AVERAGE(OFFSET($H$3,0,0,'Données projet'!$E$10+1,1))</f>
        <v>402.82278346470082</v>
      </c>
      <c r="AO69" s="59">
        <f t="shared" ref="AO69:AO132" si="90">$AO$3</f>
        <v>440.17787299198977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1.7563165456379302</v>
      </c>
      <c r="AV69" s="21">
        <f>EXP(-LN(2)/25)*AV68+(1-EXP(-LN(2)/25))/(LN(2)/25)*Calculateur!AQ69*Calculateur!AS69*VLOOKUP('Données projet'!$B$10,Paramètres!$A$1:$I$89,3,0)*0.475*44/12</f>
        <v>8.3043110014696389</v>
      </c>
      <c r="AW69" s="21">
        <f>EXP(-LN(2)/2)*AW68+(1-EXP(-LN(2)/2))/(LN(2)/2)*AQ69*AT69*VLOOKUP('Données projet'!$B$10,Paramètres!$A$1:$I$89,3,0)*0.475*44/12</f>
        <v>1.0069199492169619E-4</v>
      </c>
      <c r="AX69" s="21">
        <f t="shared" si="60"/>
        <v>10.06072823910249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</v>
      </c>
      <c r="BD69" s="12">
        <f>IF('Données projet'!$A$88&gt;35,BD68+BC69-BL68,IF(A69&lt;'Données projet'!$A$88,$BA$205^A69,IF(A69='Données projet'!$A$88,'Données projet'!$B$88,BD68+BC69-BL68)))</f>
        <v>296</v>
      </c>
      <c r="BE69" s="13">
        <f>BD69*VLOOKUP('Données projet'!$B$11,Paramètres!$A$1:$I$89,3,0)*VLOOKUP('Données projet'!$B$11,Paramètres!$A$1:$I$89,5,0)</f>
        <v>267.82079999999996</v>
      </c>
      <c r="BF69" s="13">
        <f t="shared" ref="BF69:BF132" si="91">EXP(-1.0587+0.8836*LN(BE69)+0.284)</f>
        <v>64.386570147897302</v>
      </c>
      <c r="BG69" s="20">
        <f t="shared" si="61"/>
        <v>578.59450300758772</v>
      </c>
      <c r="BH69" s="59">
        <f t="shared" si="62"/>
        <v>871.92783634092098</v>
      </c>
      <c r="BI69" s="59">
        <f ca="1">AVERAGE(OFFSET($BH$3,0,0,'Données projet'!$E$11+1,1))-AVERAGE(OFFSET($H$3,0,0,'Données projet'!$E$11+1,1))</f>
        <v>469.68830256438338</v>
      </c>
      <c r="BJ69" s="59">
        <f t="shared" ref="BJ69:BJ132" si="92">$BJ$3</f>
        <v>332.61387922152159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1.1806613112725066</v>
      </c>
      <c r="BQ69" s="21">
        <f>EXP(-LN(2)/25)*BQ68+(1-EXP(-LN(2)/25))/(LN(2)/25)*Calculateur!BL69*Calculateur!BN69*VLOOKUP('Données projet'!$B$11,Paramètres!$A$1:$I$89,3,0)*0.475*44/12</f>
        <v>4.1584779630392861</v>
      </c>
      <c r="BR69" s="21">
        <f>EXP(-LN(2)/2)*BR68+(1-EXP(-LN(2)/2))/(LN(2)/2)*BL69*BO69*VLOOKUP('Données projet'!$B$11,Paramètres!$A$1:$I$89,3,0)*0.475*44/12</f>
        <v>8.2219454857279344E-5</v>
      </c>
      <c r="BS69" s="22">
        <f t="shared" si="63"/>
        <v>5.3392214937666491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10.199999999999999</v>
      </c>
      <c r="BY69" s="12">
        <f>IF('Données projet'!$A$114&gt;35,BY68+BX69-CG68,IF(A69&lt;'Données projet'!$A$114,$BV$205^A69,IF(A69='Données projet'!$A$114,'Données projet'!$B$114,BY68+BX69-CG68)))</f>
        <v>303.19999999999993</v>
      </c>
      <c r="BZ69" s="13">
        <f>BY69*VLOOKUP('Données projet'!$B$12,Paramètres!$A$1:$I$89,3,0)*VLOOKUP('Données projet'!$B$12,Paramètres!$A$1:$I$89,5,0)</f>
        <v>288.5251199999999</v>
      </c>
      <c r="CA69" s="13">
        <f t="shared" ref="CA69:CA132" si="93">EXP(-1.0587+0.8836*LN(BZ69)+0.284)</f>
        <v>68.765454951707554</v>
      </c>
      <c r="CB69" s="20">
        <f t="shared" si="64"/>
        <v>622.28108470755717</v>
      </c>
      <c r="CC69" s="59">
        <f t="shared" si="65"/>
        <v>915.61441804089054</v>
      </c>
      <c r="CD69" s="59">
        <f ca="1">AVERAGE(OFFSET($CC$3,0,0,'Données projet'!$E$12+1,1))-AVERAGE(OFFSET($H$3,0,0,'Données projet'!$E$12+1,1))</f>
        <v>609.40025883662452</v>
      </c>
      <c r="CE69" s="59">
        <f t="shared" ref="CE69:CE132" si="94">$CE$3</f>
        <v>294.48909834404577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1.4530531505977293</v>
      </c>
      <c r="CM69" s="21">
        <f>EXP(-LN(2)/2)*CM68+(1-EXP(-LN(2)/2))/(LN(2)/2)*CG69*CJ69*VLOOKUP('Données projet'!$B$12,Paramètres!$A$1:$I$89,3,0)*0.475*44/12</f>
        <v>2.9969317834708358E-5</v>
      </c>
      <c r="CN69" s="22">
        <f t="shared" si="66"/>
        <v>1.453083119915564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15.5</v>
      </c>
      <c r="CT69" s="12">
        <f>IF('Données projet'!$A$140&gt;35,CT68+CS69-DB68,IF(A69&lt;'Données projet'!$A$140,$CQ$205^A69,IF(A69='Données projet'!$A$140,'Données projet'!$B$140,CT68+CS69-DB68)))</f>
        <v>384.39999999999986</v>
      </c>
      <c r="CU69" s="17">
        <f>CT69*VLOOKUP('Données projet'!$B$13,Paramètres!$A$1:$I$89,3,0)*VLOOKUP('Données projet'!$B$13,Paramètres!$A$1:$I$89,5,0)</f>
        <v>179.89919999999995</v>
      </c>
      <c r="CV69" s="13">
        <f t="shared" ref="CV69:CV132" si="95">EXP(-1.0587+0.8836*LN(CU69)+0.284)</f>
        <v>45.299759292628586</v>
      </c>
      <c r="CW69" s="20">
        <f t="shared" si="67"/>
        <v>392.22152076799466</v>
      </c>
      <c r="CX69" s="59">
        <f t="shared" si="68"/>
        <v>685.55485410132792</v>
      </c>
      <c r="CY69" s="59">
        <f ca="1">AVERAGE(OFFSET($CX$3,0,0,'Données projet'!$E$13+1,1))-AVERAGE(OFFSET($H$3,0,0,'Données projet'!$E$13+1,1))</f>
        <v>346.16623654404509</v>
      </c>
      <c r="CZ69" s="59">
        <f t="shared" ref="CZ69:CZ132" si="96">$CZ$3</f>
        <v>281.80933156559087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1.5365571842574741</v>
      </c>
      <c r="DG69" s="21">
        <f>EXP(-LN(2)/25)*DG68+(1-EXP(-LN(2)/25))/(LN(2)/25)*Calculateur!DB69*Calculateur!DD69*VLOOKUP('Données projet'!$B$13,Paramètres!$A$1:$I$89,3,0)*0.475*44/12</f>
        <v>2.8952673211549351</v>
      </c>
      <c r="DH69" s="21">
        <f>EXP(-LN(2)/2)*DH68+(1-EXP(-LN(2)/2))/(LN(2)/2)*DB69*DE69*VLOOKUP('Données projet'!$B$13,Paramètres!$A$1:$I$89,3,0)*0.475*44/12</f>
        <v>3.7506776734527557E-5</v>
      </c>
      <c r="DI69" s="22">
        <f t="shared" si="69"/>
        <v>4.4318620121891437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6.8</v>
      </c>
      <c r="DO69" s="12">
        <f>IF('Données projet'!$A$166&gt;35,DO68+DN69-DW68,IF(A69&lt;'Données projet'!$A$166,$DL$205^A69,IF(A69='Données projet'!$A$166,'Données projet'!$B$166,DO68+DN69-DW68)))</f>
        <v>344.80000000000035</v>
      </c>
      <c r="DP69" s="17">
        <f>DO69*VLOOKUP('Données projet'!$B$14,Paramètres!$A$1:$I$89,3,0)*VLOOKUP('Données projet'!$B$14,Paramètres!$A$1:$I$89,5,0)</f>
        <v>215.15520000000021</v>
      </c>
      <c r="DQ69" s="13">
        <f t="shared" ref="DQ69:DQ132" si="97">EXP(-1.0587+0.8836*LN(DP69)+0.284)</f>
        <v>53.060531597402857</v>
      </c>
      <c r="DR69" s="20">
        <f t="shared" si="70"/>
        <v>467.14239919881032</v>
      </c>
      <c r="DS69" s="59">
        <f t="shared" si="71"/>
        <v>760.47573253214364</v>
      </c>
      <c r="DT69" s="59">
        <f ca="1">AVERAGE(OFFSET($DS$3,0,0,'Données projet'!$E$14+1,1))-AVERAGE(OFFSET($H$3,0,0,'Données projet'!$E$14+1,1))</f>
        <v>319.97171762304686</v>
      </c>
      <c r="DU69" s="59">
        <f t="shared" ref="DU69:DU132" si="98">$DU$3</f>
        <v>337.89345858359621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3.4084849403215887</v>
      </c>
      <c r="EB69" s="21">
        <f>EXP(-LN(2)/25)*EB68+(1-EXP(-LN(2)/25))/(LN(2)/25)*Calculateur!DW69*Calculateur!DY69*VLOOKUP('Données projet'!$B$14,Paramètres!$A$1:$I$89,3,0)*0.475*44/12</f>
        <v>7.6617433828150379</v>
      </c>
      <c r="EC69" s="21">
        <f>EXP(-LN(2)/2)*EC68+(1-EXP(-LN(2)/2))/(LN(2)/2)*DW69*DZ69*VLOOKUP('Données projet'!$B$14,Paramètres!$A$1:$I$89,3,0)*0.475*44/12</f>
        <v>7.7021848692760864E-5</v>
      </c>
      <c r="ED69" s="22">
        <f t="shared" si="72"/>
        <v>11.07030534498532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>
        <f>EJ69*VLOOKUP('Données projet'!$B$15,Paramètres!$A$1:$I$89,3,0)*VLOOKUP('Données projet'!$B$15,Paramètres!$A$1:$I$89,5,0)</f>
        <v>0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258.46015871559956</v>
      </c>
      <c r="EP69" s="59">
        <f t="shared" ref="EP69:EP132" si="100">$EP$3</f>
        <v>280.26155987300996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3.0452227476372777</v>
      </c>
      <c r="EW69" s="21">
        <f>EXP(-LN(2)/25)*EW68+(1-EXP(-LN(2)/25))/(LN(2)/25)*Calculateur!ER69*Calculateur!ET69*VLOOKUP('Données projet'!$B$15,Paramètres!$A$1:$I$89,3,0)*0.475*44/12</f>
        <v>4.5447600315249028</v>
      </c>
      <c r="EX69" s="21">
        <f>EXP(-LN(2)/2)*EX68+(1-EXP(-LN(2)/2))/(LN(2)/2)*ER69*EU69*VLOOKUP('Données projet'!$B$15,Paramètres!$A$1:$I$89,3,0)*0.475*44/12</f>
        <v>2.0773667808815634E-5</v>
      </c>
      <c r="EY69" s="22">
        <f t="shared" si="75"/>
        <v>7.5900035528299901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5.3</v>
      </c>
      <c r="N70" s="13">
        <f>IF('Données projet'!$A$36&gt;35,N69+M70-V69,IF(A70&lt;'Données projet'!$A$36,$K$205^A70,IF(A70='Données projet'!$A$36,'Données projet'!$B$36,N69+M70-V69)))</f>
        <v>241.10000000000014</v>
      </c>
      <c r="O70" s="13">
        <f>N70*VLOOKUP('Données projet'!$B$9,Paramètres!$A$1:$I$89,3,0)*VLOOKUP('Données projet'!$B$9,Paramètres!$A$1:$I$89,5,0)</f>
        <v>210.62496000000013</v>
      </c>
      <c r="P70" s="13">
        <f t="shared" si="87"/>
        <v>52.07213155394907</v>
      </c>
      <c r="Q70" s="20">
        <f t="shared" si="54"/>
        <v>457.53076778979477</v>
      </c>
      <c r="R70" s="59">
        <f t="shared" si="55"/>
        <v>750.86410112312808</v>
      </c>
      <c r="S70" s="59">
        <f ca="1">AVERAGE(OFFSET($R$3,0,0,'Données projet'!$E$9+1,1))-AVERAGE(OFFSET($H$3,0,0,'Données projet'!$E$9+1,1))</f>
        <v>368.41876532159154</v>
      </c>
      <c r="T70" s="59">
        <f t="shared" si="88"/>
        <v>369.39570124551125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2.9595937090706985</v>
      </c>
      <c r="AA70" s="21">
        <f>EXP(-LN(2)/25)*AA69+(1-EXP(-LN(2)/25))/(LN(2)/25)*Calculateur!V70*Calculateur!X70*VLOOKUP('Données projet'!$B$9,Paramètres!$A$1:$I$89,3,0)*0.475*44/12</f>
        <v>5.8150472693596784</v>
      </c>
      <c r="AB70" s="21">
        <f>EXP(-LN(2)/2)*AB69+(1-EXP(-LN(2)/2))/(LN(2)/2)*V70*Y70*VLOOKUP('Données projet'!$B$9,Paramètres!$A$1:$I$89,3,0)*0.475*44/12</f>
        <v>4.7934495994913448E-5</v>
      </c>
      <c r="AC70" s="22">
        <f t="shared" si="57"/>
        <v>8.7746889129263721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4.9000000000000004</v>
      </c>
      <c r="AI70" s="13">
        <f>IF('Données projet'!$A$62&gt;35,AI69+AH70-AQ69,IF(A70&lt;'Données projet'!$A$62,$AF$205^A70,IF(A70='Données projet'!$A$62,'Données projet'!$B$62,AI69+AH70-AQ69)))</f>
        <v>314.29999999999978</v>
      </c>
      <c r="AJ70" s="13">
        <f>AI70*VLOOKUP('Données projet'!$B$10,Paramètres!$A$1:$I$89,3,0)*VLOOKUP('Données projet'!$B$10,Paramètres!$A$1:$I$89,5,0)</f>
        <v>274.57247999999987</v>
      </c>
      <c r="AK70" s="13">
        <f t="shared" si="89"/>
        <v>65.818714474940549</v>
      </c>
      <c r="AL70" s="20">
        <f t="shared" si="58"/>
        <v>592.84799704385466</v>
      </c>
      <c r="AM70" s="59">
        <f t="shared" si="59"/>
        <v>886.18133037718803</v>
      </c>
      <c r="AN70" s="59">
        <f ca="1">AVERAGE(OFFSET($AM$3,0,0,'Données projet'!$E$10+1,1))-AVERAGE(OFFSET($H$3,0,0,'Données projet'!$E$10+1,1))</f>
        <v>402.82278346470082</v>
      </c>
      <c r="AO70" s="59">
        <f t="shared" si="90"/>
        <v>440.17787299198977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1.7218762494252864</v>
      </c>
      <c r="AV70" s="21">
        <f>EXP(-LN(2)/25)*AV69+(1-EXP(-LN(2)/25))/(LN(2)/25)*Calculateur!AQ70*Calculateur!AS70*VLOOKUP('Données projet'!$B$10,Paramètres!$A$1:$I$89,3,0)*0.475*44/12</f>
        <v>8.0772291804297165</v>
      </c>
      <c r="AW70" s="21">
        <f>EXP(-LN(2)/2)*AW69+(1-EXP(-LN(2)/2))/(LN(2)/2)*AQ70*AT70*VLOOKUP('Données projet'!$B$10,Paramètres!$A$1:$I$89,3,0)*0.475*44/12</f>
        <v>7.1199992420332783E-5</v>
      </c>
      <c r="AX70" s="21">
        <f t="shared" si="60"/>
        <v>9.7991766298474232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8.5</v>
      </c>
      <c r="BD70" s="12">
        <f>IF('Données projet'!$A$88&gt;35,BD69+BC70-BL69,IF(A70&lt;'Données projet'!$A$88,$BA$205^A70,IF(A70='Données projet'!$A$88,'Données projet'!$B$88,BD69+BC70-BL69)))</f>
        <v>304.5</v>
      </c>
      <c r="BE70" s="13">
        <f>BD70*VLOOKUP('Données projet'!$B$11,Paramètres!$A$1:$I$89,3,0)*VLOOKUP('Données projet'!$B$11,Paramètres!$A$1:$I$89,5,0)</f>
        <v>275.51159999999999</v>
      </c>
      <c r="BF70" s="13">
        <f t="shared" si="91"/>
        <v>66.017590685458188</v>
      </c>
      <c r="BG70" s="20">
        <f t="shared" si="61"/>
        <v>594.83000711050624</v>
      </c>
      <c r="BH70" s="59">
        <f t="shared" si="62"/>
        <v>888.16334044383962</v>
      </c>
      <c r="BI70" s="59">
        <f ca="1">AVERAGE(OFFSET($BH$3,0,0,'Données projet'!$E$11+1,1))-AVERAGE(OFFSET($H$3,0,0,'Données projet'!$E$11+1,1))</f>
        <v>469.68830256438338</v>
      </c>
      <c r="BJ70" s="59">
        <f t="shared" si="92"/>
        <v>332.61387922152159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1.1575092630907455</v>
      </c>
      <c r="BQ70" s="21">
        <f>EXP(-LN(2)/25)*BQ69+(1-EXP(-LN(2)/25))/(LN(2)/25)*Calculateur!BL70*Calculateur!BN70*VLOOKUP('Données projet'!$B$11,Paramètres!$A$1:$I$89,3,0)*0.475*44/12</f>
        <v>4.0447641644551249</v>
      </c>
      <c r="BR70" s="21">
        <f>EXP(-LN(2)/2)*BR69+(1-EXP(-LN(2)/2))/(LN(2)/2)*BL70*BO70*VLOOKUP('Données projet'!$B$11,Paramètres!$A$1:$I$89,3,0)*0.475*44/12</f>
        <v>5.8137934075043451E-5</v>
      </c>
      <c r="BS70" s="22">
        <f t="shared" si="63"/>
        <v>5.2023315654799456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10.199999999999999</v>
      </c>
      <c r="BY70" s="12">
        <f>IF('Données projet'!$A$114&gt;35,BY69+BX70-CG69,IF(A70&lt;'Données projet'!$A$114,$BV$205^A70,IF(A70='Données projet'!$A$114,'Données projet'!$B$114,BY69+BX70-CG69)))</f>
        <v>313.39999999999992</v>
      </c>
      <c r="BZ70" s="13">
        <f>BY70*VLOOKUP('Données projet'!$B$12,Paramètres!$A$1:$I$89,3,0)*VLOOKUP('Données projet'!$B$12,Paramètres!$A$1:$I$89,5,0)</f>
        <v>298.23143999999991</v>
      </c>
      <c r="CA70" s="13">
        <f t="shared" si="93"/>
        <v>70.805577881264298</v>
      </c>
      <c r="CB70" s="20">
        <f t="shared" si="64"/>
        <v>642.73947280986852</v>
      </c>
      <c r="CC70" s="59">
        <f t="shared" si="65"/>
        <v>936.07280614320189</v>
      </c>
      <c r="CD70" s="59">
        <f ca="1">AVERAGE(OFFSET($CC$3,0,0,'Données projet'!$E$12+1,1))-AVERAGE(OFFSET($H$3,0,0,'Données projet'!$E$12+1,1))</f>
        <v>609.40025883662452</v>
      </c>
      <c r="CE70" s="59">
        <f t="shared" si="94"/>
        <v>294.48909834404577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1.4133193357818903</v>
      </c>
      <c r="CM70" s="21">
        <f>EXP(-LN(2)/2)*CM69+(1-EXP(-LN(2)/2))/(LN(2)/2)*CG70*CJ70*VLOOKUP('Données projet'!$B$12,Paramètres!$A$1:$I$89,3,0)*0.475*44/12</f>
        <v>2.119150786845722E-5</v>
      </c>
      <c r="CN70" s="22">
        <f t="shared" si="66"/>
        <v>1.4133405272897588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15.5</v>
      </c>
      <c r="CT70" s="12">
        <f>IF('Données projet'!$A$140&gt;35,CT69+CS70-DB69,IF(A70&lt;'Données projet'!$A$140,$CQ$205^A70,IF(A70='Données projet'!$A$140,'Données projet'!$B$140,CT69+CS70-DB69)))</f>
        <v>399.89999999999986</v>
      </c>
      <c r="CU70" s="17">
        <f>CT70*VLOOKUP('Données projet'!$B$13,Paramètres!$A$1:$I$89,3,0)*VLOOKUP('Données projet'!$B$13,Paramètres!$A$1:$I$89,5,0)</f>
        <v>187.15319999999994</v>
      </c>
      <c r="CV70" s="13">
        <f t="shared" si="95"/>
        <v>46.9100138680691</v>
      </c>
      <c r="CW70" s="20">
        <f t="shared" si="67"/>
        <v>407.66009748688685</v>
      </c>
      <c r="CX70" s="59">
        <f t="shared" si="68"/>
        <v>700.99343082022017</v>
      </c>
      <c r="CY70" s="59">
        <f ca="1">AVERAGE(OFFSET($CX$3,0,0,'Données projet'!$E$13+1,1))-AVERAGE(OFFSET($H$3,0,0,'Données projet'!$E$13+1,1))</f>
        <v>346.16623654404509</v>
      </c>
      <c r="CZ70" s="59">
        <f t="shared" si="96"/>
        <v>281.80933156559087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1.5064262350815258</v>
      </c>
      <c r="DG70" s="21">
        <f>EXP(-LN(2)/25)*DG69+(1-EXP(-LN(2)/25))/(LN(2)/25)*Calculateur!DB70*Calculateur!DD70*VLOOKUP('Données projet'!$B$13,Paramètres!$A$1:$I$89,3,0)*0.475*44/12</f>
        <v>2.8160960840024623</v>
      </c>
      <c r="DH70" s="21">
        <f>EXP(-LN(2)/2)*DH69+(1-EXP(-LN(2)/2))/(LN(2)/2)*DB70*DE70*VLOOKUP('Données projet'!$B$13,Paramètres!$A$1:$I$89,3,0)*0.475*44/12</f>
        <v>2.6521296169434269E-5</v>
      </c>
      <c r="DI70" s="22">
        <f t="shared" si="69"/>
        <v>4.3225488403801577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6.8</v>
      </c>
      <c r="DO70" s="12">
        <f>IF('Données projet'!$A$166&gt;35,DO69+DN70-DW69,IF(A70&lt;'Données projet'!$A$166,$DL$205^A70,IF(A70='Données projet'!$A$166,'Données projet'!$B$166,DO69+DN70-DW69)))</f>
        <v>351.60000000000036</v>
      </c>
      <c r="DP70" s="17">
        <f>DO70*VLOOKUP('Données projet'!$B$14,Paramètres!$A$1:$I$89,3,0)*VLOOKUP('Données projet'!$B$14,Paramètres!$A$1:$I$89,5,0)</f>
        <v>219.39840000000024</v>
      </c>
      <c r="DQ70" s="13">
        <f t="shared" si="97"/>
        <v>53.984110102082091</v>
      </c>
      <c r="DR70" s="20">
        <f t="shared" si="70"/>
        <v>476.14120509446002</v>
      </c>
      <c r="DS70" s="59">
        <f t="shared" si="71"/>
        <v>769.47453842779328</v>
      </c>
      <c r="DT70" s="59">
        <f ca="1">AVERAGE(OFFSET($DS$3,0,0,'Données projet'!$E$14+1,1))-AVERAGE(OFFSET($H$3,0,0,'Données projet'!$E$14+1,1))</f>
        <v>319.97171762304686</v>
      </c>
      <c r="DU70" s="59">
        <f t="shared" si="98"/>
        <v>337.89345858359621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3.3416466296124145</v>
      </c>
      <c r="EB70" s="21">
        <f>EXP(-LN(2)/25)*EB69+(1-EXP(-LN(2)/25))/(LN(2)/25)*Calculateur!DW70*Calculateur!DY70*VLOOKUP('Données projet'!$B$14,Paramètres!$A$1:$I$89,3,0)*0.475*44/12</f>
        <v>7.4522326070983871</v>
      </c>
      <c r="EC70" s="21">
        <f>EXP(-LN(2)/2)*EC69+(1-EXP(-LN(2)/2))/(LN(2)/2)*DW70*DZ70*VLOOKUP('Données projet'!$B$14,Paramètres!$A$1:$I$89,3,0)*0.475*44/12</f>
        <v>5.4462671510175429E-5</v>
      </c>
      <c r="ED70" s="22">
        <f t="shared" si="72"/>
        <v>10.793933699382311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>
        <f>EJ70*VLOOKUP('Données projet'!$B$15,Paramètres!$A$1:$I$89,3,0)*VLOOKUP('Données projet'!$B$15,Paramètres!$A$1:$I$89,5,0)</f>
        <v>0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258.46015871559956</v>
      </c>
      <c r="EP70" s="59">
        <f t="shared" si="100"/>
        <v>280.26155987300996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2.9855077869585833</v>
      </c>
      <c r="EW70" s="21">
        <f>EXP(-LN(2)/25)*EW69+(1-EXP(-LN(2)/25))/(LN(2)/25)*Calculateur!ER70*Calculateur!ET70*VLOOKUP('Données projet'!$B$15,Paramètres!$A$1:$I$89,3,0)*0.475*44/12</f>
        <v>4.4204833294643118</v>
      </c>
      <c r="EX70" s="21">
        <f>EXP(-LN(2)/2)*EX69+(1-EXP(-LN(2)/2))/(LN(2)/2)*ER70*EU70*VLOOKUP('Données projet'!$B$15,Paramètres!$A$1:$I$89,3,0)*0.475*44/12</f>
        <v>1.4689201377730224E-5</v>
      </c>
      <c r="EY70" s="22">
        <f t="shared" si="75"/>
        <v>7.4060058056242726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5.3</v>
      </c>
      <c r="N71" s="13">
        <f>IF('Données projet'!$A$36&gt;35,N70+M71-V70,IF(A71&lt;'Données projet'!$A$36,$K$205^A71,IF(A71='Données projet'!$A$36,'Données projet'!$B$36,N70+M71-V70)))</f>
        <v>246.40000000000015</v>
      </c>
      <c r="O71" s="13">
        <f>N71*VLOOKUP('Données projet'!$B$9,Paramètres!$A$1:$I$89,3,0)*VLOOKUP('Données projet'!$B$9,Paramètres!$A$1:$I$89,5,0)</f>
        <v>215.25504000000015</v>
      </c>
      <c r="P71" s="13">
        <f t="shared" si="87"/>
        <v>53.082287058997267</v>
      </c>
      <c r="Q71" s="20">
        <f t="shared" si="54"/>
        <v>467.35417796108709</v>
      </c>
      <c r="R71" s="59">
        <f t="shared" si="55"/>
        <v>760.68751129442035</v>
      </c>
      <c r="S71" s="59">
        <f ca="1">AVERAGE(OFFSET($R$3,0,0,'Données projet'!$E$9+1,1))-AVERAGE(OFFSET($H$3,0,0,'Données projet'!$E$9+1,1))</f>
        <v>368.41876532159154</v>
      </c>
      <c r="T71" s="59">
        <f t="shared" si="88"/>
        <v>369.39570124551125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2.9015578816097385</v>
      </c>
      <c r="AA71" s="21">
        <f>EXP(-LN(2)/25)*AA70+(1-EXP(-LN(2)/25))/(LN(2)/25)*Calculateur!V71*Calculateur!X71*VLOOKUP('Données projet'!$B$9,Paramètres!$A$1:$I$89,3,0)*0.475*44/12</f>
        <v>5.656034495978993</v>
      </c>
      <c r="AB71" s="21">
        <f>EXP(-LN(2)/2)*AB70+(1-EXP(-LN(2)/2))/(LN(2)/2)*V71*Y71*VLOOKUP('Données projet'!$B$9,Paramètres!$A$1:$I$89,3,0)*0.475*44/12</f>
        <v>3.3894807170762701E-5</v>
      </c>
      <c r="AC71" s="22">
        <f t="shared" si="57"/>
        <v>8.5576262723959022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4.9000000000000004</v>
      </c>
      <c r="AI71" s="13">
        <f>IF('Données projet'!$A$62&gt;35,AI70+AH71-AQ70,IF(A71&lt;'Données projet'!$A$62,$AF$205^A71,IF(A71='Données projet'!$A$62,'Données projet'!$B$62,AI70+AH71-AQ70)))</f>
        <v>319.19999999999976</v>
      </c>
      <c r="AJ71" s="13">
        <f>AI71*VLOOKUP('Données projet'!$B$10,Paramètres!$A$1:$I$89,3,0)*VLOOKUP('Données projet'!$B$10,Paramètres!$A$1:$I$89,5,0)</f>
        <v>278.85311999999982</v>
      </c>
      <c r="AK71" s="13">
        <f t="shared" si="89"/>
        <v>66.724582302351848</v>
      </c>
      <c r="AL71" s="20">
        <f t="shared" si="58"/>
        <v>601.88116484326247</v>
      </c>
      <c r="AM71" s="59">
        <f t="shared" si="59"/>
        <v>895.21449817659573</v>
      </c>
      <c r="AN71" s="59">
        <f ca="1">AVERAGE(OFFSET($AM$3,0,0,'Données projet'!$E$10+1,1))-AVERAGE(OFFSET($H$3,0,0,'Données projet'!$E$10+1,1))</f>
        <v>402.82278346470082</v>
      </c>
      <c r="AO71" s="59">
        <f t="shared" si="90"/>
        <v>440.17787299198977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1.6881113064148661</v>
      </c>
      <c r="AV71" s="21">
        <f>EXP(-LN(2)/25)*AV70+(1-EXP(-LN(2)/25))/(LN(2)/25)*Calculateur!AQ71*Calculateur!AS71*VLOOKUP('Données projet'!$B$10,Paramètres!$A$1:$I$89,3,0)*0.475*44/12</f>
        <v>7.8563569237278443</v>
      </c>
      <c r="AW71" s="21">
        <f>EXP(-LN(2)/2)*AW70+(1-EXP(-LN(2)/2))/(LN(2)/2)*AQ71*AT71*VLOOKUP('Données projet'!$B$10,Paramètres!$A$1:$I$89,3,0)*0.475*44/12</f>
        <v>5.0345997460848096E-5</v>
      </c>
      <c r="AX71" s="21">
        <f t="shared" si="60"/>
        <v>9.5445185761401721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8.5</v>
      </c>
      <c r="BD71" s="12">
        <f>IF('Données projet'!$A$88&gt;35,BD70+BC71-BL70,IF(A71&lt;'Données projet'!$A$88,$BA$205^A71,IF(A71='Données projet'!$A$88,'Données projet'!$B$88,BD70+BC71-BL70)))</f>
        <v>313</v>
      </c>
      <c r="BE71" s="13">
        <f>BD71*VLOOKUP('Données projet'!$B$11,Paramètres!$A$1:$I$89,3,0)*VLOOKUP('Données projet'!$B$11,Paramètres!$A$1:$I$89,5,0)</f>
        <v>283.20240000000001</v>
      </c>
      <c r="BF71" s="13">
        <f t="shared" si="91"/>
        <v>67.643319485855841</v>
      </c>
      <c r="BG71" s="20">
        <f t="shared" si="61"/>
        <v>611.05629477119896</v>
      </c>
      <c r="BH71" s="59">
        <f t="shared" si="62"/>
        <v>904.38962810453222</v>
      </c>
      <c r="BI71" s="59">
        <f ca="1">AVERAGE(OFFSET($BH$3,0,0,'Données projet'!$E$11+1,1))-AVERAGE(OFFSET($H$3,0,0,'Données projet'!$E$11+1,1))</f>
        <v>469.68830256438338</v>
      </c>
      <c r="BJ71" s="59">
        <f t="shared" si="92"/>
        <v>332.61387922152159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1.1348112124524736</v>
      </c>
      <c r="BQ71" s="21">
        <f>EXP(-LN(2)/25)*BQ70+(1-EXP(-LN(2)/25))/(LN(2)/25)*Calculateur!BL71*Calculateur!BN71*VLOOKUP('Données projet'!$B$11,Paramètres!$A$1:$I$89,3,0)*0.475*44/12</f>
        <v>3.9341598756731964</v>
      </c>
      <c r="BR71" s="21">
        <f>EXP(-LN(2)/2)*BR70+(1-EXP(-LN(2)/2))/(LN(2)/2)*BL71*BO71*VLOOKUP('Données projet'!$B$11,Paramètres!$A$1:$I$89,3,0)*0.475*44/12</f>
        <v>4.1109727428639679E-5</v>
      </c>
      <c r="BS71" s="22">
        <f t="shared" si="63"/>
        <v>5.0690121978530982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10.199999999999999</v>
      </c>
      <c r="BY71" s="12">
        <f>IF('Données projet'!$A$114&gt;35,BY70+BX71-CG70,IF(A71&lt;'Données projet'!$A$114,$BV$205^A71,IF(A71='Données projet'!$A$114,'Données projet'!$B$114,BY70+BX71-CG70)))</f>
        <v>323.59999999999991</v>
      </c>
      <c r="BZ71" s="13">
        <f>BY71*VLOOKUP('Données projet'!$B$12,Paramètres!$A$1:$I$89,3,0)*VLOOKUP('Données projet'!$B$12,Paramètres!$A$1:$I$89,5,0)</f>
        <v>307.93775999999991</v>
      </c>
      <c r="CA71" s="13">
        <f t="shared" si="93"/>
        <v>72.837985221060251</v>
      </c>
      <c r="CB71" s="20">
        <f t="shared" si="64"/>
        <v>663.18442292667976</v>
      </c>
      <c r="CC71" s="59">
        <f t="shared" si="65"/>
        <v>956.51775626001313</v>
      </c>
      <c r="CD71" s="59">
        <f ca="1">AVERAGE(OFFSET($CC$3,0,0,'Données projet'!$E$12+1,1))-AVERAGE(OFFSET($H$3,0,0,'Données projet'!$E$12+1,1))</f>
        <v>609.40025883662452</v>
      </c>
      <c r="CE71" s="59">
        <f t="shared" si="94"/>
        <v>294.48909834404577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1.3746720442217009</v>
      </c>
      <c r="CM71" s="21">
        <f>EXP(-LN(2)/2)*CM70+(1-EXP(-LN(2)/2))/(LN(2)/2)*CG71*CJ71*VLOOKUP('Données projet'!$B$12,Paramètres!$A$1:$I$89,3,0)*0.475*44/12</f>
        <v>1.4984658917354181E-5</v>
      </c>
      <c r="CN71" s="22">
        <f t="shared" si="66"/>
        <v>1.3746870288806181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15.5</v>
      </c>
      <c r="CT71" s="12">
        <f>IF('Données projet'!$A$140&gt;35,CT70+CS71-DB70,IF(A71&lt;'Données projet'!$A$140,$CQ$205^A71,IF(A71='Données projet'!$A$140,'Données projet'!$B$140,CT70+CS71-DB70)))</f>
        <v>415.39999999999986</v>
      </c>
      <c r="CU71" s="17">
        <f>CT71*VLOOKUP('Données projet'!$B$13,Paramètres!$A$1:$I$89,3,0)*VLOOKUP('Données projet'!$B$13,Paramètres!$A$1:$I$89,5,0)</f>
        <v>194.40719999999996</v>
      </c>
      <c r="CV71" s="13">
        <f t="shared" si="95"/>
        <v>48.513018020179601</v>
      </c>
      <c r="CW71" s="20">
        <f t="shared" si="67"/>
        <v>423.08604638514606</v>
      </c>
      <c r="CX71" s="59">
        <f t="shared" si="68"/>
        <v>716.41937971847938</v>
      </c>
      <c r="CY71" s="59">
        <f ca="1">AVERAGE(OFFSET($CX$3,0,0,'Données projet'!$E$13+1,1))-AVERAGE(OFFSET($H$3,0,0,'Données projet'!$E$13+1,1))</f>
        <v>346.16623654404509</v>
      </c>
      <c r="CZ71" s="59">
        <f t="shared" si="96"/>
        <v>281.80933156559087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1.4768861354408536</v>
      </c>
      <c r="DG71" s="21">
        <f>EXP(-LN(2)/25)*DG70+(1-EXP(-LN(2)/25))/(LN(2)/25)*Calculateur!DB71*Calculateur!DD71*VLOOKUP('Données projet'!$B$13,Paramètres!$A$1:$I$89,3,0)*0.475*44/12</f>
        <v>2.739089788493358</v>
      </c>
      <c r="DH71" s="21">
        <f>EXP(-LN(2)/2)*DH70+(1-EXP(-LN(2)/2))/(LN(2)/2)*DB71*DE71*VLOOKUP('Données projet'!$B$13,Paramètres!$A$1:$I$89,3,0)*0.475*44/12</f>
        <v>1.8753388367263778E-5</v>
      </c>
      <c r="DI71" s="22">
        <f t="shared" si="69"/>
        <v>4.2159946773225787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6.8</v>
      </c>
      <c r="DO71" s="12">
        <f>IF('Données projet'!$A$166&gt;35,DO70+DN71-DW70,IF(A71&lt;'Données projet'!$A$166,$DL$205^A71,IF(A71='Données projet'!$A$166,'Données projet'!$B$166,DO70+DN71-DW70)))</f>
        <v>358.40000000000038</v>
      </c>
      <c r="DP71" s="17">
        <f>DO71*VLOOKUP('Données projet'!$B$14,Paramètres!$A$1:$I$89,3,0)*VLOOKUP('Données projet'!$B$14,Paramètres!$A$1:$I$89,5,0)</f>
        <v>223.64160000000024</v>
      </c>
      <c r="DQ71" s="13">
        <f t="shared" si="97"/>
        <v>54.905611653539268</v>
      </c>
      <c r="DR71" s="20">
        <f t="shared" si="70"/>
        <v>485.13639362991461</v>
      </c>
      <c r="DS71" s="59">
        <f t="shared" si="71"/>
        <v>778.46972696324792</v>
      </c>
      <c r="DT71" s="59">
        <f ca="1">AVERAGE(OFFSET($DS$3,0,0,'Données projet'!$E$14+1,1))-AVERAGE(OFFSET($H$3,0,0,'Données projet'!$E$14+1,1))</f>
        <v>319.97171762304686</v>
      </c>
      <c r="DU71" s="59">
        <f t="shared" si="98"/>
        <v>337.89345858359621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3.2761189774089035</v>
      </c>
      <c r="EB71" s="21">
        <f>EXP(-LN(2)/25)*EB70+(1-EXP(-LN(2)/25))/(LN(2)/25)*Calculateur!DW71*Calculateur!DY71*VLOOKUP('Données projet'!$B$14,Paramètres!$A$1:$I$89,3,0)*0.475*44/12</f>
        <v>7.2484509145614009</v>
      </c>
      <c r="EC71" s="21">
        <f>EXP(-LN(2)/2)*EC70+(1-EXP(-LN(2)/2))/(LN(2)/2)*DW71*DZ71*VLOOKUP('Données projet'!$B$14,Paramètres!$A$1:$I$89,3,0)*0.475*44/12</f>
        <v>3.8510924346380432E-5</v>
      </c>
      <c r="ED71" s="22">
        <f t="shared" si="72"/>
        <v>10.524608402894652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>
        <f>EJ71*VLOOKUP('Données projet'!$B$15,Paramètres!$A$1:$I$89,3,0)*VLOOKUP('Données projet'!$B$15,Paramètres!$A$1:$I$89,5,0)</f>
        <v>0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258.46015871559956</v>
      </c>
      <c r="EP71" s="59">
        <f t="shared" si="100"/>
        <v>280.26155987300996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2.9269638002362686</v>
      </c>
      <c r="EW71" s="21">
        <f>EXP(-LN(2)/25)*EW70+(1-EXP(-LN(2)/25))/(LN(2)/25)*Calculateur!ER71*Calculateur!ET71*VLOOKUP('Données projet'!$B$15,Paramètres!$A$1:$I$89,3,0)*0.475*44/12</f>
        <v>4.2996049803569951</v>
      </c>
      <c r="EX71" s="21">
        <f>EXP(-LN(2)/2)*EX70+(1-EXP(-LN(2)/2))/(LN(2)/2)*ER71*EU71*VLOOKUP('Données projet'!$B$15,Paramètres!$A$1:$I$89,3,0)*0.475*44/12</f>
        <v>1.0386833904407819E-5</v>
      </c>
      <c r="EY71" s="22">
        <f t="shared" si="75"/>
        <v>7.2265791674271673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5.3</v>
      </c>
      <c r="N72" s="13">
        <f>IF('Données projet'!$A$36&gt;35,N71+M72-V71,IF(A72&lt;'Données projet'!$A$36,$K$205^A72,IF(A72='Données projet'!$A$36,'Données projet'!$B$36,N71+M72-V71)))</f>
        <v>251.70000000000016</v>
      </c>
      <c r="O72" s="13">
        <f>N72*VLOOKUP('Données projet'!$B$9,Paramètres!$A$1:$I$89,3,0)*VLOOKUP('Données projet'!$B$9,Paramètres!$A$1:$I$89,5,0)</f>
        <v>219.88512000000017</v>
      </c>
      <c r="P72" s="13">
        <f t="shared" si="87"/>
        <v>54.089916361228049</v>
      </c>
      <c r="Q72" s="20">
        <f t="shared" si="54"/>
        <v>477.17318832913912</v>
      </c>
      <c r="R72" s="59">
        <f t="shared" si="55"/>
        <v>770.50652166247244</v>
      </c>
      <c r="S72" s="59">
        <f ca="1">AVERAGE(OFFSET($R$3,0,0,'Données projet'!$E$9+1,1))-AVERAGE(OFFSET($H$3,0,0,'Données projet'!$E$9+1,1))</f>
        <v>368.41876532159154</v>
      </c>
      <c r="T72" s="59">
        <f t="shared" si="88"/>
        <v>369.39570124551125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2.8446601013269284</v>
      </c>
      <c r="AA72" s="21">
        <f>EXP(-LN(2)/25)*AA71+(1-EXP(-LN(2)/25))/(LN(2)/25)*Calculateur!V72*Calculateur!X72*VLOOKUP('Données projet'!$B$9,Paramètres!$A$1:$I$89,3,0)*0.475*44/12</f>
        <v>5.5013699352485199</v>
      </c>
      <c r="AB72" s="21">
        <f>EXP(-LN(2)/2)*AB71+(1-EXP(-LN(2)/2))/(LN(2)/2)*V72*Y72*VLOOKUP('Données projet'!$B$9,Paramètres!$A$1:$I$89,3,0)*0.475*44/12</f>
        <v>2.3967247997456724E-5</v>
      </c>
      <c r="AC72" s="22">
        <f t="shared" si="57"/>
        <v>8.346054003823447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4.9000000000000004</v>
      </c>
      <c r="AI72" s="13">
        <f>IF('Données projet'!$A$62&gt;35,AI71+AH72-AQ71,IF(A72&lt;'Données projet'!$A$62,$AF$205^A72,IF(A72='Données projet'!$A$62,'Données projet'!$B$62,AI71+AH72-AQ71)))</f>
        <v>324.09999999999974</v>
      </c>
      <c r="AJ72" s="13">
        <f>AI72*VLOOKUP('Données projet'!$B$10,Paramètres!$A$1:$I$89,3,0)*VLOOKUP('Données projet'!$B$10,Paramètres!$A$1:$I$89,5,0)</f>
        <v>283.13375999999982</v>
      </c>
      <c r="AK72" s="13">
        <f t="shared" si="89"/>
        <v>67.628832865097522</v>
      </c>
      <c r="AL72" s="20">
        <f t="shared" si="58"/>
        <v>610.9115159067112</v>
      </c>
      <c r="AM72" s="59">
        <f t="shared" si="59"/>
        <v>904.24484924004446</v>
      </c>
      <c r="AN72" s="59">
        <f ca="1">AVERAGE(OFFSET($AM$3,0,0,'Données projet'!$E$10+1,1))-AVERAGE(OFFSET($H$3,0,0,'Données projet'!$E$10+1,1))</f>
        <v>402.82278346470082</v>
      </c>
      <c r="AO72" s="59">
        <f t="shared" si="90"/>
        <v>440.17787299198977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1.6550084733422983</v>
      </c>
      <c r="AV72" s="21">
        <f>EXP(-LN(2)/25)*AV71+(1-EXP(-LN(2)/25))/(LN(2)/25)*Calculateur!AQ72*Calculateur!AS72*VLOOKUP('Données projet'!$B$10,Paramètres!$A$1:$I$89,3,0)*0.475*44/12</f>
        <v>7.6415244305006516</v>
      </c>
      <c r="AW72" s="21">
        <f>EXP(-LN(2)/2)*AW71+(1-EXP(-LN(2)/2))/(LN(2)/2)*AQ72*AT72*VLOOKUP('Données projet'!$B$10,Paramètres!$A$1:$I$89,3,0)*0.475*44/12</f>
        <v>3.5599996210166391E-5</v>
      </c>
      <c r="AX72" s="21">
        <f t="shared" si="60"/>
        <v>9.2965685038391594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8.5</v>
      </c>
      <c r="BD72" s="12">
        <f>IF('Données projet'!$A$88&gt;35,BD71+BC72-BL71,IF(A72&lt;'Données projet'!$A$88,$BA$205^A72,IF(A72='Données projet'!$A$88,'Données projet'!$B$88,BD71+BC72-BL71)))</f>
        <v>321.5</v>
      </c>
      <c r="BE72" s="13">
        <f>BD72*VLOOKUP('Données projet'!$B$11,Paramètres!$A$1:$I$89,3,0)*VLOOKUP('Données projet'!$B$11,Paramètres!$A$1:$I$89,5,0)</f>
        <v>290.89320000000004</v>
      </c>
      <c r="BF72" s="13">
        <f t="shared" si="91"/>
        <v>69.263916768293996</v>
      </c>
      <c r="BG72" s="20">
        <f t="shared" si="61"/>
        <v>627.27364503811202</v>
      </c>
      <c r="BH72" s="59">
        <f t="shared" si="62"/>
        <v>920.60697837144539</v>
      </c>
      <c r="BI72" s="59">
        <f ca="1">AVERAGE(OFFSET($BH$3,0,0,'Données projet'!$E$11+1,1))-AVERAGE(OFFSET($H$3,0,0,'Données projet'!$E$11+1,1))</f>
        <v>469.68830256438338</v>
      </c>
      <c r="BJ72" s="59">
        <f t="shared" si="92"/>
        <v>332.61387922152159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1.1125582567427745</v>
      </c>
      <c r="BQ72" s="21">
        <f>EXP(-LN(2)/25)*BQ71+(1-EXP(-LN(2)/25))/(LN(2)/25)*Calculateur!BL72*Calculateur!BN72*VLOOKUP('Données projet'!$B$11,Paramètres!$A$1:$I$89,3,0)*0.475*44/12</f>
        <v>3.8265800669844365</v>
      </c>
      <c r="BR72" s="21">
        <f>EXP(-LN(2)/2)*BR71+(1-EXP(-LN(2)/2))/(LN(2)/2)*BL72*BO72*VLOOKUP('Données projet'!$B$11,Paramètres!$A$1:$I$89,3,0)*0.475*44/12</f>
        <v>2.9068967037521732E-5</v>
      </c>
      <c r="BS72" s="22">
        <f t="shared" si="63"/>
        <v>4.939167392694249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10.199999999999999</v>
      </c>
      <c r="BY72" s="12">
        <f>IF('Données projet'!$A$114&gt;35,BY71+BX72-CG71,IF(A72&lt;'Données projet'!$A$114,$BV$205^A72,IF(A72='Données projet'!$A$114,'Données projet'!$B$114,BY71+BX72-CG71)))</f>
        <v>333.7999999999999</v>
      </c>
      <c r="BZ72" s="13">
        <f>BY72*VLOOKUP('Données projet'!$B$12,Paramètres!$A$1:$I$89,3,0)*VLOOKUP('Données projet'!$B$12,Paramètres!$A$1:$I$89,5,0)</f>
        <v>317.64407999999992</v>
      </c>
      <c r="CA72" s="13">
        <f t="shared" si="93"/>
        <v>74.862948071469148</v>
      </c>
      <c r="CB72" s="20">
        <f t="shared" si="64"/>
        <v>683.61640722447521</v>
      </c>
      <c r="CC72" s="59">
        <f t="shared" si="65"/>
        <v>976.94974055780858</v>
      </c>
      <c r="CD72" s="59">
        <f ca="1">AVERAGE(OFFSET($CC$3,0,0,'Données projet'!$E$12+1,1))-AVERAGE(OFFSET($H$3,0,0,'Données projet'!$E$12+1,1))</f>
        <v>609.40025883662452</v>
      </c>
      <c r="CE72" s="59">
        <f t="shared" si="94"/>
        <v>294.48909834404577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1.3370815648815975</v>
      </c>
      <c r="CM72" s="21">
        <f>EXP(-LN(2)/2)*CM71+(1-EXP(-LN(2)/2))/(LN(2)/2)*CG72*CJ72*VLOOKUP('Données projet'!$B$12,Paramètres!$A$1:$I$89,3,0)*0.475*44/12</f>
        <v>1.0595753934228612E-5</v>
      </c>
      <c r="CN72" s="22">
        <f t="shared" si="66"/>
        <v>1.3370921606355317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15.5</v>
      </c>
      <c r="CT72" s="12">
        <f>IF('Données projet'!$A$140&gt;35,CT71+CS72-DB71,IF(A72&lt;'Données projet'!$A$140,$CQ$205^A72,IF(A72='Données projet'!$A$140,'Données projet'!$B$140,CT71+CS72-DB71)))</f>
        <v>430.89999999999986</v>
      </c>
      <c r="CU72" s="17">
        <f>CT72*VLOOKUP('Données projet'!$B$13,Paramètres!$A$1:$I$89,3,0)*VLOOKUP('Données projet'!$B$13,Paramètres!$A$1:$I$89,5,0)</f>
        <v>201.66119999999992</v>
      </c>
      <c r="CV72" s="13">
        <f t="shared" si="95"/>
        <v>50.109073265229782</v>
      </c>
      <c r="CW72" s="20">
        <f t="shared" si="67"/>
        <v>438.49989260360843</v>
      </c>
      <c r="CX72" s="59">
        <f t="shared" si="68"/>
        <v>731.83322593694174</v>
      </c>
      <c r="CY72" s="59">
        <f ca="1">AVERAGE(OFFSET($CX$3,0,0,'Données projet'!$E$13+1,1))-AVERAGE(OFFSET($H$3,0,0,'Données projet'!$E$13+1,1))</f>
        <v>346.16623654404509</v>
      </c>
      <c r="CZ72" s="59">
        <f t="shared" si="96"/>
        <v>281.80933156559087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1.4479252991364533</v>
      </c>
      <c r="DG72" s="21">
        <f>EXP(-LN(2)/25)*DG71+(1-EXP(-LN(2)/25))/(LN(2)/25)*Calculateur!DB72*Calculateur!DD72*VLOOKUP('Données projet'!$B$13,Paramètres!$A$1:$I$89,3,0)*0.475*44/12</f>
        <v>2.6641892341845357</v>
      </c>
      <c r="DH72" s="21">
        <f>EXP(-LN(2)/2)*DH71+(1-EXP(-LN(2)/2))/(LN(2)/2)*DB72*DE72*VLOOKUP('Données projet'!$B$13,Paramètres!$A$1:$I$89,3,0)*0.475*44/12</f>
        <v>1.3260648084717135E-5</v>
      </c>
      <c r="DI72" s="22">
        <f t="shared" si="69"/>
        <v>4.1121277939690737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6.8</v>
      </c>
      <c r="DO72" s="12">
        <f>IF('Données projet'!$A$166&gt;35,DO71+DN72-DW71,IF(A72&lt;'Données projet'!$A$166,$DL$205^A72,IF(A72='Données projet'!$A$166,'Données projet'!$B$166,DO71+DN72-DW71)))</f>
        <v>365.20000000000039</v>
      </c>
      <c r="DP72" s="17">
        <f>DO72*VLOOKUP('Données projet'!$B$14,Paramètres!$A$1:$I$89,3,0)*VLOOKUP('Données projet'!$B$14,Paramètres!$A$1:$I$89,5,0)</f>
        <v>227.88480000000027</v>
      </c>
      <c r="DQ72" s="13">
        <f t="shared" si="97"/>
        <v>55.825080201942662</v>
      </c>
      <c r="DR72" s="20">
        <f t="shared" si="70"/>
        <v>494.12804135171729</v>
      </c>
      <c r="DS72" s="59">
        <f t="shared" si="71"/>
        <v>787.4613746850506</v>
      </c>
      <c r="DT72" s="59">
        <f ca="1">AVERAGE(OFFSET($DS$3,0,0,'Données projet'!$E$14+1,1))-AVERAGE(OFFSET($H$3,0,0,'Données projet'!$E$14+1,1))</f>
        <v>319.97171762304686</v>
      </c>
      <c r="DU72" s="59">
        <f t="shared" si="98"/>
        <v>337.89345858359621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3.2118762824971818</v>
      </c>
      <c r="EB72" s="21">
        <f>EXP(-LN(2)/25)*EB71+(1-EXP(-LN(2)/25))/(LN(2)/25)*Calculateur!DW72*Calculateur!DY72*VLOOKUP('Données projet'!$B$14,Paramètres!$A$1:$I$89,3,0)*0.475*44/12</f>
        <v>7.0502416431232522</v>
      </c>
      <c r="EC72" s="21">
        <f>EXP(-LN(2)/2)*EC71+(1-EXP(-LN(2)/2))/(LN(2)/2)*DW72*DZ72*VLOOKUP('Données projet'!$B$14,Paramètres!$A$1:$I$89,3,0)*0.475*44/12</f>
        <v>2.7231335755087714E-5</v>
      </c>
      <c r="ED72" s="22">
        <f t="shared" si="72"/>
        <v>10.262145156956189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>
        <f>EJ72*VLOOKUP('Données projet'!$B$15,Paramètres!$A$1:$I$89,3,0)*VLOOKUP('Données projet'!$B$15,Paramètres!$A$1:$I$89,5,0)</f>
        <v>0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258.46015871559956</v>
      </c>
      <c r="EP72" s="59">
        <f t="shared" si="100"/>
        <v>280.26155987300996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2.8695678253852726</v>
      </c>
      <c r="EW72" s="21">
        <f>EXP(-LN(2)/25)*EW71+(1-EXP(-LN(2)/25))/(LN(2)/25)*Calculateur!ER72*Calculateur!ET72*VLOOKUP('Données projet'!$B$15,Paramètres!$A$1:$I$89,3,0)*0.475*44/12</f>
        <v>4.1820320560627344</v>
      </c>
      <c r="EX72" s="21">
        <f>EXP(-LN(2)/2)*EX71+(1-EXP(-LN(2)/2))/(LN(2)/2)*ER72*EU72*VLOOKUP('Données projet'!$B$15,Paramètres!$A$1:$I$89,3,0)*0.475*44/12</f>
        <v>7.3446006888651128E-6</v>
      </c>
      <c r="EY72" s="22">
        <f t="shared" si="75"/>
        <v>7.0516072260486959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257</v>
      </c>
      <c r="L73" s="12">
        <f>VLOOKUP(A73,'Données projet'!$A$35:$I$55,9,0)</f>
        <v>5.3</v>
      </c>
      <c r="M73" s="12">
        <f t="array" ref="M73">INDEX(L:L,MIN(IF(ISNUMBER(L73:L269),ROW(L73:L269),"")))</f>
        <v>5.3</v>
      </c>
      <c r="N73" s="13">
        <f>IF('Données projet'!$A$36&gt;35,N72+M73-V72,IF(A73&lt;'Données projet'!$A$36,$K$205^A73,IF(A73='Données projet'!$A$36,'Données projet'!$B$36,N72+M73-V72)))</f>
        <v>257.00000000000017</v>
      </c>
      <c r="O73" s="13">
        <f>N73*VLOOKUP('Données projet'!$B$9,Paramètres!$A$1:$I$89,3,0)*VLOOKUP('Données projet'!$B$9,Paramètres!$A$1:$I$89,5,0)</f>
        <v>224.51520000000016</v>
      </c>
      <c r="P73" s="13">
        <f t="shared" si="87"/>
        <v>55.095078782313593</v>
      </c>
      <c r="Q73" s="20">
        <f t="shared" si="54"/>
        <v>486.98790221252966</v>
      </c>
      <c r="R73" s="59">
        <f t="shared" si="55"/>
        <v>780.32123554586292</v>
      </c>
      <c r="S73" s="59">
        <f ca="1">AVERAGE(OFFSET($R$3,0,0,'Données projet'!$E$9+1,1))-AVERAGE(OFFSET($H$3,0,0,'Données projet'!$E$9+1,1))</f>
        <v>368.41876532159154</v>
      </c>
      <c r="T73" s="59">
        <f t="shared" si="88"/>
        <v>369.39570124551125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38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2.788878051811245</v>
      </c>
      <c r="AA73" s="21">
        <f>EXP(-LN(2)/25)*AA72+(1-EXP(-LN(2)/25))/(LN(2)/25)*Calculateur!V73*Calculateur!X73*VLOOKUP('Données projet'!$B$9,Paramètres!$A$1:$I$89,3,0)*0.475*44/12</f>
        <v>5.3509346850646775</v>
      </c>
      <c r="AB73" s="21">
        <f>EXP(-LN(2)/2)*AB72+(1-EXP(-LN(2)/2))/(LN(2)/2)*V73*Y73*VLOOKUP('Données projet'!$B$9,Paramètres!$A$1:$I$89,3,0)*0.475*44/12</f>
        <v>1.6947403585381351E-5</v>
      </c>
      <c r="AC73" s="22">
        <f t="shared" si="57"/>
        <v>8.1398296842795084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329</v>
      </c>
      <c r="AG73" s="12">
        <f>VLOOKUP(A73,'Données projet'!$A$61:$I$81,9,0)</f>
        <v>4.9000000000000004</v>
      </c>
      <c r="AH73" s="12">
        <f t="array" ref="AH73">INDEX(AG:AG,MIN(IF(ISNUMBER(AG73:AG269),ROW(AG73:AG269),"")))</f>
        <v>4.9000000000000004</v>
      </c>
      <c r="AI73" s="13">
        <f>IF('Données projet'!$A$62&gt;35,AI72+AH73-AQ72,IF(A73&lt;'Données projet'!$A$62,$AF$205^A73,IF(A73='Données projet'!$A$62,'Données projet'!$B$62,AI72+AH73-AQ72)))</f>
        <v>328.99999999999972</v>
      </c>
      <c r="AJ73" s="13">
        <f>AI73*VLOOKUP('Données projet'!$B$10,Paramètres!$A$1:$I$89,3,0)*VLOOKUP('Données projet'!$B$10,Paramètres!$A$1:$I$89,5,0)</f>
        <v>287.41439999999983</v>
      </c>
      <c r="AK73" s="13">
        <f t="shared" si="89"/>
        <v>68.531493438456806</v>
      </c>
      <c r="AL73" s="20">
        <f t="shared" si="58"/>
        <v>619.93909773864539</v>
      </c>
      <c r="AM73" s="59">
        <f t="shared" si="59"/>
        <v>913.27243107197864</v>
      </c>
      <c r="AN73" s="59">
        <f ca="1">AVERAGE(OFFSET($AM$3,0,0,'Données projet'!$E$10+1,1))-AVERAGE(OFFSET($H$3,0,0,'Données projet'!$E$10+1,1))</f>
        <v>402.82278346470082</v>
      </c>
      <c r="AO73" s="59">
        <f t="shared" si="90"/>
        <v>440.17787299198977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26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1.6225547666355491</v>
      </c>
      <c r="AV73" s="21">
        <f>EXP(-LN(2)/25)*AV72+(1-EXP(-LN(2)/25))/(LN(2)/25)*Calculateur!AQ73*Calculateur!AS73*VLOOKUP('Données projet'!$B$10,Paramètres!$A$1:$I$89,3,0)*0.475*44/12</f>
        <v>7.4325665430983063</v>
      </c>
      <c r="AW73" s="21">
        <f>EXP(-LN(2)/2)*AW72+(1-EXP(-LN(2)/2))/(LN(2)/2)*AQ73*AT73*VLOOKUP('Données projet'!$B$10,Paramètres!$A$1:$I$89,3,0)*0.475*44/12</f>
        <v>2.5172998730424048E-5</v>
      </c>
      <c r="AX73" s="21">
        <f t="shared" si="60"/>
        <v>9.0551464827325869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330</v>
      </c>
      <c r="BB73" s="12">
        <f>VLOOKUP(A73,'Données projet'!$A$87:$I$107,9,0)</f>
        <v>8.5</v>
      </c>
      <c r="BC73" s="12">
        <f t="array" ref="BC73">INDEX(BB:BB,MIN(IF(ISNUMBER(BB73:BB269),ROW(BB73:BB269),"")))</f>
        <v>8.5</v>
      </c>
      <c r="BD73" s="12">
        <f>IF('Données projet'!$A$88&gt;35,BD72+BC73-BL72,IF(A73&lt;'Données projet'!$A$88,$BA$205^A73,IF(A73='Données projet'!$A$88,'Données projet'!$B$88,BD72+BC73-BL72)))</f>
        <v>330</v>
      </c>
      <c r="BE73" s="13">
        <f>BD73*VLOOKUP('Données projet'!$B$11,Paramètres!$A$1:$I$89,3,0)*VLOOKUP('Données projet'!$B$11,Paramètres!$A$1:$I$89,5,0)</f>
        <v>298.58399999999995</v>
      </c>
      <c r="BF73" s="13">
        <f t="shared" si="91"/>
        <v>70.879533797607607</v>
      </c>
      <c r="BG73" s="20">
        <f t="shared" si="61"/>
        <v>643.48232136416652</v>
      </c>
      <c r="BH73" s="59">
        <f t="shared" si="62"/>
        <v>936.81565469749989</v>
      </c>
      <c r="BI73" s="59">
        <f ca="1">AVERAGE(OFFSET($BH$3,0,0,'Données projet'!$E$11+1,1))-AVERAGE(OFFSET($H$3,0,0,'Données projet'!$E$11+1,1))</f>
        <v>469.68830256438338</v>
      </c>
      <c r="BJ73" s="59">
        <f t="shared" si="92"/>
        <v>332.61387922152159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56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1.0907416679215798</v>
      </c>
      <c r="BQ73" s="21">
        <f>EXP(-LN(2)/25)*BQ72+(1-EXP(-LN(2)/25))/(LN(2)/25)*Calculateur!BL73*Calculateur!BN73*VLOOKUP('Données projet'!$B$11,Paramètres!$A$1:$I$89,3,0)*0.475*44/12</f>
        <v>3.7219420338216471</v>
      </c>
      <c r="BR73" s="21">
        <f>EXP(-LN(2)/2)*BR72+(1-EXP(-LN(2)/2))/(LN(2)/2)*BL73*BO73*VLOOKUP('Données projet'!$B$11,Paramètres!$A$1:$I$89,3,0)*0.475*44/12</f>
        <v>2.0554863714319843E-5</v>
      </c>
      <c r="BS73" s="22">
        <f t="shared" si="63"/>
        <v>4.8127042566069411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344</v>
      </c>
      <c r="BW73" s="12">
        <f>VLOOKUP(A73,'Données projet'!$A$113:$I$133,9,0)</f>
        <v>10.199999999999999</v>
      </c>
      <c r="BX73" s="12">
        <f t="array" ref="BX73">INDEX(BW:BW,MIN(IF(ISNUMBER(BW73:BW269),ROW(BW73:BW269),"")))</f>
        <v>10.199999999999999</v>
      </c>
      <c r="BY73" s="12">
        <f>IF('Données projet'!$A$114&gt;35,BY72+BX73-CG72,IF(A73&lt;'Données projet'!$A$114,$BV$205^A73,IF(A73='Données projet'!$A$114,'Données projet'!$B$114,BY72+BX73-CG72)))</f>
        <v>343.99999999999989</v>
      </c>
      <c r="BZ73" s="13">
        <f>BY73*VLOOKUP('Données projet'!$B$12,Paramètres!$A$1:$I$89,3,0)*VLOOKUP('Données projet'!$B$12,Paramètres!$A$1:$I$89,5,0)</f>
        <v>327.35039999999987</v>
      </c>
      <c r="CA73" s="13">
        <f t="shared" si="93"/>
        <v>76.880720023332373</v>
      </c>
      <c r="CB73" s="20">
        <f t="shared" si="64"/>
        <v>704.03586737397018</v>
      </c>
      <c r="CC73" s="59">
        <f t="shared" si="65"/>
        <v>997.36920070730343</v>
      </c>
      <c r="CD73" s="59">
        <f ca="1">AVERAGE(OFFSET($CC$3,0,0,'Données projet'!$E$12+1,1))-AVERAGE(OFFSET($H$3,0,0,'Données projet'!$E$12+1,1))</f>
        <v>609.40025883662452</v>
      </c>
      <c r="CE73" s="59">
        <f t="shared" si="94"/>
        <v>294.48909834404577</v>
      </c>
      <c r="CF73" s="15">
        <f>IF(ISNA(VLOOKUP(A73,'Données projet'!$A$113:$I$133,3,0)),0,VLOOKUP(A73,'Données projet'!$A$113:$I$133,3,0))</f>
        <v>5</v>
      </c>
      <c r="CG73" s="15">
        <f>IF(ISNA(VLOOKUP(A73,'Données projet'!$A$113:$I$133,4,0)),0,VLOOKUP(A73,'Données projet'!$A$113:$I$133,4,0))</f>
        <v>56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1.3005189991758466</v>
      </c>
      <c r="CM73" s="21">
        <f>EXP(-LN(2)/2)*CM72+(1-EXP(-LN(2)/2))/(LN(2)/2)*CG73*CJ73*VLOOKUP('Données projet'!$B$12,Paramètres!$A$1:$I$89,3,0)*0.475*44/12</f>
        <v>7.492329458677092E-6</v>
      </c>
      <c r="CN73" s="22">
        <f t="shared" si="66"/>
        <v>1.3005264915053052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446.4</v>
      </c>
      <c r="CR73" s="12">
        <f>VLOOKUP(A73,'Données projet'!$A$139:$I$159,9,0)</f>
        <v>15.5</v>
      </c>
      <c r="CS73" s="12">
        <f t="array" ref="CS73">INDEX(CR:CR,MIN(IF(ISNUMBER(CR73:CR269),ROW(CR73:CR269),"")))</f>
        <v>15.5</v>
      </c>
      <c r="CT73" s="12">
        <f>IF('Données projet'!$A$140&gt;35,CT72+CS73-DB72,IF(A73&lt;'Données projet'!$A$140,$CQ$205^A73,IF(A73='Données projet'!$A$140,'Données projet'!$B$140,CT72+CS73-DB72)))</f>
        <v>446.39999999999986</v>
      </c>
      <c r="CU73" s="17">
        <f>CT73*VLOOKUP('Données projet'!$B$13,Paramètres!$A$1:$I$89,3,0)*VLOOKUP('Données projet'!$B$13,Paramètres!$A$1:$I$89,5,0)</f>
        <v>208.91519999999994</v>
      </c>
      <c r="CV73" s="13">
        <f t="shared" si="95"/>
        <v>51.698458198123326</v>
      </c>
      <c r="CW73" s="20">
        <f t="shared" si="67"/>
        <v>453.90212136173136</v>
      </c>
      <c r="CX73" s="59">
        <f t="shared" si="68"/>
        <v>747.23545469506462</v>
      </c>
      <c r="CY73" s="59">
        <f ca="1">AVERAGE(OFFSET($CX$3,0,0,'Données projet'!$E$13+1,1))-AVERAGE(OFFSET($H$3,0,0,'Données projet'!$E$13+1,1))</f>
        <v>346.16623654404509</v>
      </c>
      <c r="CZ73" s="59">
        <f t="shared" si="96"/>
        <v>281.80933156559087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83.4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1.4195323671676163</v>
      </c>
      <c r="DG73" s="21">
        <f>EXP(-LN(2)/25)*DG72+(1-EXP(-LN(2)/25))/(LN(2)/25)*Calculateur!DB73*Calculateur!DD73*VLOOKUP('Données projet'!$B$13,Paramètres!$A$1:$I$89,3,0)*0.475*44/12</f>
        <v>2.5913368394721368</v>
      </c>
      <c r="DH73" s="21">
        <f>EXP(-LN(2)/2)*DH72+(1-EXP(-LN(2)/2))/(LN(2)/2)*DB73*DE73*VLOOKUP('Données projet'!$B$13,Paramètres!$A$1:$I$89,3,0)*0.475*44/12</f>
        <v>9.3766941836318892E-6</v>
      </c>
      <c r="DI73" s="22">
        <f t="shared" si="69"/>
        <v>4.0108785833339367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372</v>
      </c>
      <c r="DM73" s="12">
        <f>VLOOKUP(A73,'Données projet'!$A$165:$I$185,9,0)</f>
        <v>6.8</v>
      </c>
      <c r="DN73" s="12">
        <f t="array" ref="DN73">INDEX(DM:DM,MIN(IF(ISNUMBER(DM73:DM269),ROW(DM73:DM269),"")))</f>
        <v>6.8</v>
      </c>
      <c r="DO73" s="12">
        <f>IF('Données projet'!$A$166&gt;35,DO72+DN73-DW72,IF(A73&lt;'Données projet'!$A$166,$DL$205^A73,IF(A73='Données projet'!$A$166,'Données projet'!$B$166,DO72+DN73-DW72)))</f>
        <v>372.0000000000004</v>
      </c>
      <c r="DP73" s="17">
        <f>DO73*VLOOKUP('Données projet'!$B$14,Paramètres!$A$1:$I$89,3,0)*VLOOKUP('Données projet'!$B$14,Paramètres!$A$1:$I$89,5,0)</f>
        <v>232.12800000000024</v>
      </c>
      <c r="DQ73" s="13">
        <f t="shared" si="97"/>
        <v>56.742557967082448</v>
      </c>
      <c r="DR73" s="20">
        <f t="shared" si="70"/>
        <v>503.11622179266897</v>
      </c>
      <c r="DS73" s="59">
        <f t="shared" si="71"/>
        <v>796.44955512600222</v>
      </c>
      <c r="DT73" s="59">
        <f ca="1">AVERAGE(OFFSET($DS$3,0,0,'Données projet'!$E$14+1,1))-AVERAGE(OFFSET($H$3,0,0,'Données projet'!$E$14+1,1))</f>
        <v>319.97171762304686</v>
      </c>
      <c r="DU73" s="59">
        <f t="shared" si="98"/>
        <v>337.89345858359621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36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3.1488933476485044</v>
      </c>
      <c r="EB73" s="21">
        <f>EXP(-LN(2)/25)*EB72+(1-EXP(-LN(2)/25))/(LN(2)/25)*Calculateur!DW73*Calculateur!DY73*VLOOKUP('Données projet'!$B$14,Paramètres!$A$1:$I$89,3,0)*0.475*44/12</f>
        <v>6.8574524146359526</v>
      </c>
      <c r="EC73" s="21">
        <f>EXP(-LN(2)/2)*EC72+(1-EXP(-LN(2)/2))/(LN(2)/2)*DW73*DZ73*VLOOKUP('Données projet'!$B$14,Paramètres!$A$1:$I$89,3,0)*0.475*44/12</f>
        <v>1.9255462173190216E-5</v>
      </c>
      <c r="ED73" s="22">
        <f t="shared" si="72"/>
        <v>10.006365017746631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>
        <f>EJ73*VLOOKUP('Données projet'!$B$15,Paramètres!$A$1:$I$89,3,0)*VLOOKUP('Données projet'!$B$15,Paramètres!$A$1:$I$89,5,0)</f>
        <v>0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258.46015871559956</v>
      </c>
      <c r="EP73" s="59">
        <f t="shared" si="100"/>
        <v>280.26155987300996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2.8132973505930168</v>
      </c>
      <c r="EW73" s="21">
        <f>EXP(-LN(2)/25)*EW72+(1-EXP(-LN(2)/25))/(LN(2)/25)*Calculateur!ER73*Calculateur!ET73*VLOOKUP('Données projet'!$B$15,Paramètres!$A$1:$I$89,3,0)*0.475*44/12</f>
        <v>4.0676741695661915</v>
      </c>
      <c r="EX73" s="21">
        <f>EXP(-LN(2)/2)*EX72+(1-EXP(-LN(2)/2))/(LN(2)/2)*ER73*EU73*VLOOKUP('Données projet'!$B$15,Paramètres!$A$1:$I$89,3,0)*0.475*44/12</f>
        <v>5.1934169522039103E-6</v>
      </c>
      <c r="EY73" s="22">
        <f t="shared" si="75"/>
        <v>6.8809767135761613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4.2</v>
      </c>
      <c r="N74" s="13">
        <f>IF('Données projet'!$A$36&gt;35,N73+M74-V73,IF(A74&lt;'Données projet'!$A$36,$K$205^A74,IF(A74='Données projet'!$A$36,'Données projet'!$B$36,N73+M74-V73)))</f>
        <v>223.20000000000016</v>
      </c>
      <c r="O74" s="13">
        <f>N74*VLOOKUP('Données projet'!$B$9,Paramètres!$A$1:$I$89,3,0)*VLOOKUP('Données projet'!$B$9,Paramètres!$A$1:$I$89,5,0)</f>
        <v>194.98752000000016</v>
      </c>
      <c r="P74" s="13">
        <f t="shared" si="87"/>
        <v>48.640954330020435</v>
      </c>
      <c r="Q74" s="20">
        <f t="shared" si="54"/>
        <v>424.31959279145252</v>
      </c>
      <c r="R74" s="59">
        <f t="shared" si="55"/>
        <v>717.65292612478584</v>
      </c>
      <c r="S74" s="59">
        <f ca="1">AVERAGE(OFFSET($R$3,0,0,'Données projet'!$E$9+1,1))-AVERAGE(OFFSET($H$3,0,0,'Données projet'!$E$9+1,1))</f>
        <v>368.41876532159154</v>
      </c>
      <c r="T74" s="59">
        <f t="shared" si="88"/>
        <v>369.39570124551125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2.7341898542628735</v>
      </c>
      <c r="AA74" s="21">
        <f>EXP(-LN(2)/25)*AA73+(1-EXP(-LN(2)/25))/(LN(2)/25)*Calculateur!V74*Calculateur!X74*VLOOKUP('Données projet'!$B$9,Paramètres!$A$1:$I$89,3,0)*0.475*44/12</f>
        <v>5.2046130947081588</v>
      </c>
      <c r="AB74" s="21">
        <f>EXP(-LN(2)/2)*AB73+(1-EXP(-LN(2)/2))/(LN(2)/2)*V74*Y74*VLOOKUP('Données projet'!$B$9,Paramètres!$A$1:$I$89,3,0)*0.475*44/12</f>
        <v>1.1983623998728362E-5</v>
      </c>
      <c r="AC74" s="22">
        <f t="shared" si="57"/>
        <v>7.9388149325950312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3.9</v>
      </c>
      <c r="AI74" s="13">
        <f>IF('Données projet'!$A$62&gt;35,AI73+AH74-AQ73,IF(A74&lt;'Données projet'!$A$62,$AF$205^A74,IF(A74='Données projet'!$A$62,'Données projet'!$B$62,AI73+AH74-AQ73)))</f>
        <v>306.89999999999969</v>
      </c>
      <c r="AJ74" s="13">
        <f>AI74*VLOOKUP('Données projet'!$B$10,Paramètres!$A$1:$I$89,3,0)*VLOOKUP('Données projet'!$B$10,Paramètres!$A$1:$I$89,5,0)</f>
        <v>268.10783999999973</v>
      </c>
      <c r="AK74" s="13">
        <f t="shared" si="89"/>
        <v>64.447540968014181</v>
      </c>
      <c r="AL74" s="20">
        <f t="shared" si="58"/>
        <v>579.20062185262418</v>
      </c>
      <c r="AM74" s="59">
        <f t="shared" si="59"/>
        <v>872.53395518595744</v>
      </c>
      <c r="AN74" s="59">
        <f ca="1">AVERAGE(OFFSET($AM$3,0,0,'Données projet'!$E$10+1,1))-AVERAGE(OFFSET($H$3,0,0,'Données projet'!$E$10+1,1))</f>
        <v>402.82278346470082</v>
      </c>
      <c r="AO74" s="59">
        <f t="shared" si="90"/>
        <v>440.17787299198977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1.5907374573225128</v>
      </c>
      <c r="AV74" s="21">
        <f>EXP(-LN(2)/25)*AV73+(1-EXP(-LN(2)/25))/(LN(2)/25)*Calculateur!AQ74*Calculateur!AS74*VLOOKUP('Données projet'!$B$10,Paramètres!$A$1:$I$89,3,0)*0.475*44/12</f>
        <v>7.229322620115596</v>
      </c>
      <c r="AW74" s="21">
        <f>EXP(-LN(2)/2)*AW73+(1-EXP(-LN(2)/2))/(LN(2)/2)*AQ74*AT74*VLOOKUP('Données projet'!$B$10,Paramètres!$A$1:$I$89,3,0)*0.475*44/12</f>
        <v>1.7799998105083196E-5</v>
      </c>
      <c r="AX74" s="21">
        <f t="shared" si="60"/>
        <v>8.8200778774362139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7.4</v>
      </c>
      <c r="BD74" s="12">
        <f>IF('Données projet'!$A$88&gt;35,BD73+BC74-BL73,IF(A74&lt;'Données projet'!$A$88,$BA$205^A74,IF(A74='Données projet'!$A$88,'Données projet'!$B$88,BD73+BC74-BL73)))</f>
        <v>281.39999999999998</v>
      </c>
      <c r="BE74" s="13">
        <f>BD74*VLOOKUP('Données projet'!$B$11,Paramètres!$A$1:$I$89,3,0)*VLOOKUP('Données projet'!$B$11,Paramètres!$A$1:$I$89,5,0)</f>
        <v>254.61071999999999</v>
      </c>
      <c r="BF74" s="13">
        <f t="shared" si="91"/>
        <v>61.572204587965679</v>
      </c>
      <c r="BG74" s="20">
        <f t="shared" si="61"/>
        <v>550.68526032404009</v>
      </c>
      <c r="BH74" s="59">
        <f t="shared" si="62"/>
        <v>844.01859365737346</v>
      </c>
      <c r="BI74" s="59">
        <f ca="1">AVERAGE(OFFSET($BH$3,0,0,'Données projet'!$E$11+1,1))-AVERAGE(OFFSET($H$3,0,0,'Données projet'!$E$11+1,1))</f>
        <v>469.68830256438338</v>
      </c>
      <c r="BJ74" s="59">
        <f t="shared" si="92"/>
        <v>332.61387922152159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1.0693528891003634</v>
      </c>
      <c r="BQ74" s="21">
        <f>EXP(-LN(2)/25)*BQ73+(1-EXP(-LN(2)/25))/(LN(2)/25)*Calculateur!BL74*Calculateur!BN74*VLOOKUP('Données projet'!$B$11,Paramètres!$A$1:$I$89,3,0)*0.475*44/12</f>
        <v>3.6201653331783694</v>
      </c>
      <c r="BR74" s="21">
        <f>EXP(-LN(2)/2)*BR73+(1-EXP(-LN(2)/2))/(LN(2)/2)*BL74*BO74*VLOOKUP('Données projet'!$B$11,Paramètres!$A$1:$I$89,3,0)*0.475*44/12</f>
        <v>1.4534483518760868E-5</v>
      </c>
      <c r="BS74" s="22">
        <f t="shared" si="63"/>
        <v>4.6895327567622518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9.1</v>
      </c>
      <c r="BY74" s="12">
        <f>IF('Données projet'!$A$114&gt;35,BY73+BX74-CG73,IF(A74&lt;'Données projet'!$A$114,$BV$205^A74,IF(A74='Données projet'!$A$114,'Données projet'!$B$114,BY73+BX74-CG73)))</f>
        <v>297.09999999999991</v>
      </c>
      <c r="BZ74" s="13">
        <f>BY74*VLOOKUP('Données projet'!$B$12,Paramètres!$A$1:$I$89,3,0)*VLOOKUP('Données projet'!$B$12,Paramètres!$A$1:$I$89,5,0)</f>
        <v>282.72035999999991</v>
      </c>
      <c r="CA74" s="13">
        <f t="shared" si="93"/>
        <v>67.541575249931327</v>
      </c>
      <c r="CB74" s="20">
        <f t="shared" si="64"/>
        <v>610.0395372269636</v>
      </c>
      <c r="CC74" s="59">
        <f t="shared" si="65"/>
        <v>903.37287056029686</v>
      </c>
      <c r="CD74" s="59">
        <f ca="1">AVERAGE(OFFSET($CC$3,0,0,'Données projet'!$E$12+1,1))-AVERAGE(OFFSET($H$3,0,0,'Données projet'!$E$12+1,1))</f>
        <v>609.40025883662452</v>
      </c>
      <c r="CE74" s="59">
        <f t="shared" si="94"/>
        <v>294.48909834404577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1.2649562387520612</v>
      </c>
      <c r="CM74" s="21">
        <f>EXP(-LN(2)/2)*CM73+(1-EXP(-LN(2)/2))/(LN(2)/2)*CG74*CJ74*VLOOKUP('Données projet'!$B$12,Paramètres!$A$1:$I$89,3,0)*0.475*44/12</f>
        <v>5.2978769671143068E-6</v>
      </c>
      <c r="CN74" s="22">
        <f t="shared" si="66"/>
        <v>1.2649615366290283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17</v>
      </c>
      <c r="CT74" s="12">
        <f>IF('Données projet'!$A$140&gt;35,CT73+CS74-DB73,IF(A74&lt;'Données projet'!$A$140,$CQ$205^A74,IF(A74='Données projet'!$A$140,'Données projet'!$B$140,CT73+CS74-DB73)))</f>
        <v>379.99999999999989</v>
      </c>
      <c r="CU74" s="17">
        <f>CT74*VLOOKUP('Données projet'!$B$13,Paramètres!$A$1:$I$89,3,0)*VLOOKUP('Données projet'!$B$13,Paramètres!$A$1:$I$89,5,0)</f>
        <v>177.83999999999995</v>
      </c>
      <c r="CV74" s="13">
        <f t="shared" si="95"/>
        <v>44.841288830609102</v>
      </c>
      <c r="CW74" s="20">
        <f t="shared" si="67"/>
        <v>387.83657804664409</v>
      </c>
      <c r="CX74" s="59">
        <f t="shared" si="68"/>
        <v>681.16991137997741</v>
      </c>
      <c r="CY74" s="59">
        <f ca="1">AVERAGE(OFFSET($CX$3,0,0,'Données projet'!$E$13+1,1))-AVERAGE(OFFSET($H$3,0,0,'Données projet'!$E$13+1,1))</f>
        <v>346.16623654404509</v>
      </c>
      <c r="CZ74" s="59">
        <f t="shared" si="96"/>
        <v>281.80933156559087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1.3916962032767097</v>
      </c>
      <c r="DG74" s="21">
        <f>EXP(-LN(2)/25)*DG73+(1-EXP(-LN(2)/25))/(LN(2)/25)*Calculateur!DB74*Calculateur!DD74*VLOOKUP('Données projet'!$B$13,Paramètres!$A$1:$I$89,3,0)*0.475*44/12</f>
        <v>2.5204765973242895</v>
      </c>
      <c r="DH74" s="21">
        <f>EXP(-LN(2)/2)*DH73+(1-EXP(-LN(2)/2))/(LN(2)/2)*DB74*DE74*VLOOKUP('Données projet'!$B$13,Paramètres!$A$1:$I$89,3,0)*0.475*44/12</f>
        <v>6.6303240423585673E-6</v>
      </c>
      <c r="DI74" s="22">
        <f t="shared" si="69"/>
        <v>3.9121794309250415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5.0999999999999996</v>
      </c>
      <c r="DO74" s="12">
        <f>IF('Données projet'!$A$166&gt;35,DO73+DN74-DW73,IF(A74&lt;'Données projet'!$A$166,$DL$205^A74,IF(A74='Données projet'!$A$166,'Données projet'!$B$166,DO73+DN74-DW73)))</f>
        <v>341.10000000000042</v>
      </c>
      <c r="DP74" s="17">
        <f>DO74*VLOOKUP('Données projet'!$B$14,Paramètres!$A$1:$I$89,3,0)*VLOOKUP('Données projet'!$B$14,Paramètres!$A$1:$I$89,5,0)</f>
        <v>212.84640000000027</v>
      </c>
      <c r="DQ74" s="13">
        <f t="shared" si="97"/>
        <v>52.557107491599041</v>
      </c>
      <c r="DR74" s="20">
        <f t="shared" si="70"/>
        <v>462.24444221453541</v>
      </c>
      <c r="DS74" s="59">
        <f t="shared" si="71"/>
        <v>755.57777554786867</v>
      </c>
      <c r="DT74" s="59">
        <f ca="1">AVERAGE(OFFSET($DS$3,0,0,'Données projet'!$E$14+1,1))-AVERAGE(OFFSET($H$3,0,0,'Données projet'!$E$14+1,1))</f>
        <v>319.97171762304686</v>
      </c>
      <c r="DU74" s="59">
        <f t="shared" si="98"/>
        <v>337.89345858359621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3.0871454697364125</v>
      </c>
      <c r="EB74" s="21">
        <f>EXP(-LN(2)/25)*EB73+(1-EXP(-LN(2)/25))/(LN(2)/25)*Calculateur!DW74*Calculateur!DY74*VLOOKUP('Données projet'!$B$14,Paramètres!$A$1:$I$89,3,0)*0.475*44/12</f>
        <v>6.6699350177399825</v>
      </c>
      <c r="EC74" s="21">
        <f>EXP(-LN(2)/2)*EC73+(1-EXP(-LN(2)/2))/(LN(2)/2)*DW74*DZ74*VLOOKUP('Données projet'!$B$14,Paramètres!$A$1:$I$89,3,0)*0.475*44/12</f>
        <v>1.3615667877543857E-5</v>
      </c>
      <c r="ED74" s="22">
        <f t="shared" si="72"/>
        <v>9.7570941031442722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>
        <f>EJ74*VLOOKUP('Données projet'!$B$15,Paramètres!$A$1:$I$89,3,0)*VLOOKUP('Données projet'!$B$15,Paramètres!$A$1:$I$89,5,0)</f>
        <v>0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258.46015871559956</v>
      </c>
      <c r="EP74" s="59">
        <f t="shared" si="100"/>
        <v>280.26155987300996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2.7581303054898365</v>
      </c>
      <c r="EW74" s="21">
        <f>EXP(-LN(2)/25)*EW73+(1-EXP(-LN(2)/25))/(LN(2)/25)*Calculateur!ER74*Calculateur!ET74*VLOOKUP('Données projet'!$B$15,Paramètres!$A$1:$I$89,3,0)*0.475*44/12</f>
        <v>3.9564434054897162</v>
      </c>
      <c r="EX74" s="21">
        <f>EXP(-LN(2)/2)*EX73+(1-EXP(-LN(2)/2))/(LN(2)/2)*ER74*EU74*VLOOKUP('Données projet'!$B$15,Paramètres!$A$1:$I$89,3,0)*0.475*44/12</f>
        <v>3.6723003444325572E-6</v>
      </c>
      <c r="EY74" s="22">
        <f t="shared" si="75"/>
        <v>6.7145773832798969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4.2</v>
      </c>
      <c r="N75" s="13">
        <f>IF('Données projet'!$A$36&gt;35,N74+M75-V74,IF(A75&lt;'Données projet'!$A$36,$K$205^A75,IF(A75='Données projet'!$A$36,'Données projet'!$B$36,N74+M75-V74)))</f>
        <v>227.40000000000015</v>
      </c>
      <c r="O75" s="13">
        <f>N75*VLOOKUP('Données projet'!$B$9,Paramètres!$A$1:$I$89,3,0)*VLOOKUP('Données projet'!$B$9,Paramètres!$A$1:$I$89,5,0)</f>
        <v>198.65664000000015</v>
      </c>
      <c r="P75" s="13">
        <f t="shared" si="87"/>
        <v>49.448822156743468</v>
      </c>
      <c r="Q75" s="20">
        <f t="shared" si="54"/>
        <v>432.11701325632845</v>
      </c>
      <c r="R75" s="59">
        <f t="shared" si="55"/>
        <v>725.45034658966176</v>
      </c>
      <c r="S75" s="59">
        <f ca="1">AVERAGE(OFFSET($R$3,0,0,'Données projet'!$E$9+1,1))-AVERAGE(OFFSET($H$3,0,0,'Données projet'!$E$9+1,1))</f>
        <v>368.41876532159154</v>
      </c>
      <c r="T75" s="59">
        <f t="shared" si="88"/>
        <v>369.39570124551125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2.6805740589119189</v>
      </c>
      <c r="AA75" s="21">
        <f>EXP(-LN(2)/25)*AA74+(1-EXP(-LN(2)/25))/(LN(2)/25)*Calculateur!V75*Calculateur!X75*VLOOKUP('Données projet'!$B$9,Paramètres!$A$1:$I$89,3,0)*0.475*44/12</f>
        <v>5.0622926759346569</v>
      </c>
      <c r="AB75" s="21">
        <f>EXP(-LN(2)/2)*AB74+(1-EXP(-LN(2)/2))/(LN(2)/2)*V75*Y75*VLOOKUP('Données projet'!$B$9,Paramètres!$A$1:$I$89,3,0)*0.475*44/12</f>
        <v>8.4737017926906753E-6</v>
      </c>
      <c r="AC75" s="22">
        <f t="shared" si="57"/>
        <v>7.7428752085483685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3.9</v>
      </c>
      <c r="AI75" s="13">
        <f>IF('Données projet'!$A$62&gt;35,AI74+AH75-AQ74,IF(A75&lt;'Données projet'!$A$62,$AF$205^A75,IF(A75='Données projet'!$A$62,'Données projet'!$B$62,AI74+AH75-AQ74)))</f>
        <v>310.79999999999967</v>
      </c>
      <c r="AJ75" s="13">
        <f>AI75*VLOOKUP('Données projet'!$B$10,Paramètres!$A$1:$I$89,3,0)*VLOOKUP('Données projet'!$B$10,Paramètres!$A$1:$I$89,5,0)</f>
        <v>271.51487999999972</v>
      </c>
      <c r="AK75" s="13">
        <f t="shared" si="89"/>
        <v>65.17066029390277</v>
      </c>
      <c r="AL75" s="20">
        <f t="shared" si="58"/>
        <v>586.39398267854676</v>
      </c>
      <c r="AM75" s="59">
        <f t="shared" si="59"/>
        <v>879.72731601188002</v>
      </c>
      <c r="AN75" s="59">
        <f ca="1">AVERAGE(OFFSET($AM$3,0,0,'Données projet'!$E$10+1,1))-AVERAGE(OFFSET($H$3,0,0,'Données projet'!$E$10+1,1))</f>
        <v>402.82278346470082</v>
      </c>
      <c r="AO75" s="59">
        <f t="shared" si="90"/>
        <v>440.17787299198977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1.5595440660384627</v>
      </c>
      <c r="AV75" s="21">
        <f>EXP(-LN(2)/25)*AV74+(1-EXP(-LN(2)/25))/(LN(2)/25)*Calculateur!AQ75*Calculateur!AS75*VLOOKUP('Données projet'!$B$10,Paramètres!$A$1:$I$89,3,0)*0.475*44/12</f>
        <v>7.0316364128949811</v>
      </c>
      <c r="AW75" s="21">
        <f>EXP(-LN(2)/2)*AW74+(1-EXP(-LN(2)/2))/(LN(2)/2)*AQ75*AT75*VLOOKUP('Données projet'!$B$10,Paramètres!$A$1:$I$89,3,0)*0.475*44/12</f>
        <v>1.2586499365212024E-5</v>
      </c>
      <c r="AX75" s="21">
        <f t="shared" si="60"/>
        <v>8.5911930654328081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7.4</v>
      </c>
      <c r="BD75" s="12">
        <f>IF('Données projet'!$A$88&gt;35,BD74+BC75-BL74,IF(A75&lt;'Données projet'!$A$88,$BA$205^A75,IF(A75='Données projet'!$A$88,'Données projet'!$B$88,BD74+BC75-BL74)))</f>
        <v>288.79999999999995</v>
      </c>
      <c r="BE75" s="13">
        <f>BD75*VLOOKUP('Données projet'!$B$11,Paramètres!$A$1:$I$89,3,0)*VLOOKUP('Données projet'!$B$11,Paramètres!$A$1:$I$89,5,0)</f>
        <v>261.30623999999995</v>
      </c>
      <c r="BF75" s="13">
        <f t="shared" si="91"/>
        <v>63.000734275359598</v>
      </c>
      <c r="BG75" s="20">
        <f t="shared" si="61"/>
        <v>564.83464686291791</v>
      </c>
      <c r="BH75" s="59">
        <f t="shared" si="62"/>
        <v>858.16798019625116</v>
      </c>
      <c r="BI75" s="59">
        <f ca="1">AVERAGE(OFFSET($BH$3,0,0,'Données projet'!$E$11+1,1))-AVERAGE(OFFSET($H$3,0,0,'Données projet'!$E$11+1,1))</f>
        <v>469.68830256438338</v>
      </c>
      <c r="BJ75" s="59">
        <f t="shared" si="92"/>
        <v>332.61387922152159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1.0483835311859642</v>
      </c>
      <c r="BQ75" s="21">
        <f>EXP(-LN(2)/25)*BQ74+(1-EXP(-LN(2)/25))/(LN(2)/25)*Calculateur!BL75*Calculateur!BN75*VLOOKUP('Données projet'!$B$11,Paramètres!$A$1:$I$89,3,0)*0.475*44/12</f>
        <v>3.521171721766386</v>
      </c>
      <c r="BR75" s="21">
        <f>EXP(-LN(2)/2)*BR74+(1-EXP(-LN(2)/2))/(LN(2)/2)*BL75*BO75*VLOOKUP('Données projet'!$B$11,Paramètres!$A$1:$I$89,3,0)*0.475*44/12</f>
        <v>1.0277431857159923E-5</v>
      </c>
      <c r="BS75" s="22">
        <f t="shared" si="63"/>
        <v>4.5695655303842075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9.1</v>
      </c>
      <c r="BY75" s="12">
        <f>IF('Données projet'!$A$114&gt;35,BY74+BX75-CG74,IF(A75&lt;'Données projet'!$A$114,$BV$205^A75,IF(A75='Données projet'!$A$114,'Données projet'!$B$114,BY74+BX75-CG74)))</f>
        <v>306.19999999999993</v>
      </c>
      <c r="BZ75" s="13">
        <f>BY75*VLOOKUP('Données projet'!$B$12,Paramètres!$A$1:$I$89,3,0)*VLOOKUP('Données projet'!$B$12,Paramètres!$A$1:$I$89,5,0)</f>
        <v>291.37991999999991</v>
      </c>
      <c r="CA75" s="13">
        <f t="shared" si="93"/>
        <v>69.366308788027794</v>
      </c>
      <c r="CB75" s="20">
        <f t="shared" si="64"/>
        <v>628.29968180581488</v>
      </c>
      <c r="CC75" s="59">
        <f t="shared" si="65"/>
        <v>921.63301513914826</v>
      </c>
      <c r="CD75" s="59">
        <f ca="1">AVERAGE(OFFSET($CC$3,0,0,'Données projet'!$E$12+1,1))-AVERAGE(OFFSET($H$3,0,0,'Données projet'!$E$12+1,1))</f>
        <v>609.40025883662452</v>
      </c>
      <c r="CE75" s="59">
        <f t="shared" si="94"/>
        <v>294.48909834404577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1.2303659438822285</v>
      </c>
      <c r="CM75" s="21">
        <f>EXP(-LN(2)/2)*CM74+(1-EXP(-LN(2)/2))/(LN(2)/2)*CG75*CJ75*VLOOKUP('Données projet'!$B$12,Paramètres!$A$1:$I$89,3,0)*0.475*44/12</f>
        <v>3.7461647293385464E-6</v>
      </c>
      <c r="CN75" s="22">
        <f t="shared" si="66"/>
        <v>1.2303696900469578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17</v>
      </c>
      <c r="CT75" s="12">
        <f>IF('Données projet'!$A$140&gt;35,CT74+CS75-DB74,IF(A75&lt;'Données projet'!$A$140,$CQ$205^A75,IF(A75='Données projet'!$A$140,'Données projet'!$B$140,CT74+CS75-DB74)))</f>
        <v>396.99999999999989</v>
      </c>
      <c r="CU75" s="17">
        <f>CT75*VLOOKUP('Données projet'!$B$13,Paramètres!$A$1:$I$89,3,0)*VLOOKUP('Données projet'!$B$13,Paramètres!$A$1:$I$89,5,0)</f>
        <v>185.79599999999996</v>
      </c>
      <c r="CV75" s="13">
        <f t="shared" si="95"/>
        <v>46.60930127448345</v>
      </c>
      <c r="CW75" s="20">
        <f t="shared" si="67"/>
        <v>404.77256638639187</v>
      </c>
      <c r="CX75" s="59">
        <f t="shared" si="68"/>
        <v>698.10589971972513</v>
      </c>
      <c r="CY75" s="59">
        <f ca="1">AVERAGE(OFFSET($CX$3,0,0,'Données projet'!$E$13+1,1))-AVERAGE(OFFSET($H$3,0,0,'Données projet'!$E$13+1,1))</f>
        <v>346.16623654404509</v>
      </c>
      <c r="CZ75" s="59">
        <f t="shared" si="96"/>
        <v>281.80933156559087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1.3644058895813205</v>
      </c>
      <c r="DG75" s="21">
        <f>EXP(-LN(2)/25)*DG74+(1-EXP(-LN(2)/25))/(LN(2)/25)*Calculateur!DB75*Calculateur!DD75*VLOOKUP('Données projet'!$B$13,Paramètres!$A$1:$I$89,3,0)*0.475*44/12</f>
        <v>2.4515540322243532</v>
      </c>
      <c r="DH75" s="21">
        <f>EXP(-LN(2)/2)*DH74+(1-EXP(-LN(2)/2))/(LN(2)/2)*DB75*DE75*VLOOKUP('Données projet'!$B$13,Paramètres!$A$1:$I$89,3,0)*0.475*44/12</f>
        <v>4.6883470918159446E-6</v>
      </c>
      <c r="DI75" s="22">
        <f t="shared" si="69"/>
        <v>3.8159646101527658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5.0999999999999996</v>
      </c>
      <c r="DO75" s="12">
        <f>IF('Données projet'!$A$166&gt;35,DO74+DN75-DW74,IF(A75&lt;'Données projet'!$A$166,$DL$205^A75,IF(A75='Données projet'!$A$166,'Données projet'!$B$166,DO74+DN75-DW74)))</f>
        <v>346.20000000000044</v>
      </c>
      <c r="DP75" s="17">
        <f>DO75*VLOOKUP('Données projet'!$B$14,Paramètres!$A$1:$I$89,3,0)*VLOOKUP('Données projet'!$B$14,Paramètres!$A$1:$I$89,5,0)</f>
        <v>216.02880000000027</v>
      </c>
      <c r="DQ75" s="13">
        <f t="shared" si="97"/>
        <v>53.25085210905786</v>
      </c>
      <c r="DR75" s="20">
        <f t="shared" si="70"/>
        <v>468.99539408994292</v>
      </c>
      <c r="DS75" s="59">
        <f t="shared" si="71"/>
        <v>762.32872742327618</v>
      </c>
      <c r="DT75" s="59">
        <f ca="1">AVERAGE(OFFSET($DS$3,0,0,'Données projet'!$E$14+1,1))-AVERAGE(OFFSET($H$3,0,0,'Données projet'!$E$14+1,1))</f>
        <v>319.97171762304686</v>
      </c>
      <c r="DU75" s="59">
        <f t="shared" si="98"/>
        <v>337.89345858359621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3.0266084300476899</v>
      </c>
      <c r="EB75" s="21">
        <f>EXP(-LN(2)/25)*EB74+(1-EXP(-LN(2)/25))/(LN(2)/25)*Calculateur!DW75*Calculateur!DY75*VLOOKUP('Données projet'!$B$14,Paramètres!$A$1:$I$89,3,0)*0.475*44/12</f>
        <v>6.4875452939232447</v>
      </c>
      <c r="EC75" s="21">
        <f>EXP(-LN(2)/2)*EC74+(1-EXP(-LN(2)/2))/(LN(2)/2)*DW75*DZ75*VLOOKUP('Données projet'!$B$14,Paramètres!$A$1:$I$89,3,0)*0.475*44/12</f>
        <v>9.627731086595108E-6</v>
      </c>
      <c r="ED75" s="22">
        <f t="shared" si="72"/>
        <v>9.5141633517020221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>
        <f>EJ75*VLOOKUP('Données projet'!$B$15,Paramètres!$A$1:$I$89,3,0)*VLOOKUP('Données projet'!$B$15,Paramètres!$A$1:$I$89,5,0)</f>
        <v>0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258.46015871559956</v>
      </c>
      <c r="EP75" s="59">
        <f t="shared" si="100"/>
        <v>280.26155987300996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2.7040450524925546</v>
      </c>
      <c r="EW75" s="21">
        <f>EXP(-LN(2)/25)*EW74+(1-EXP(-LN(2)/25))/(LN(2)/25)*Calculateur!ER75*Calculateur!ET75*VLOOKUP('Données projet'!$B$15,Paramètres!$A$1:$I$89,3,0)*0.475*44/12</f>
        <v>3.8482542525062837</v>
      </c>
      <c r="EX75" s="21">
        <f>EXP(-LN(2)/2)*EX74+(1-EXP(-LN(2)/2))/(LN(2)/2)*ER75*EU75*VLOOKUP('Données projet'!$B$15,Paramètres!$A$1:$I$89,3,0)*0.475*44/12</f>
        <v>2.5967084761019555E-6</v>
      </c>
      <c r="EY75" s="22">
        <f t="shared" si="75"/>
        <v>6.5523019017073141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4.2</v>
      </c>
      <c r="N76" s="13">
        <f>IF('Données projet'!$A$36&gt;35,N75+M76-V75,IF(A76&lt;'Données projet'!$A$36,$K$205^A76,IF(A76='Données projet'!$A$36,'Données projet'!$B$36,N75+M76-V75)))</f>
        <v>231.60000000000014</v>
      </c>
      <c r="O76" s="13">
        <f>N76*VLOOKUP('Données projet'!$B$9,Paramètres!$A$1:$I$89,3,0)*VLOOKUP('Données projet'!$B$9,Paramètres!$A$1:$I$89,5,0)</f>
        <v>202.32576000000014</v>
      </c>
      <c r="P76" s="13">
        <f t="shared" si="87"/>
        <v>50.254954935552938</v>
      </c>
      <c r="Q76" s="20">
        <f t="shared" si="54"/>
        <v>439.91141184608824</v>
      </c>
      <c r="R76" s="59">
        <f t="shared" si="55"/>
        <v>733.24474517942156</v>
      </c>
      <c r="S76" s="59">
        <f ca="1">AVERAGE(OFFSET($R$3,0,0,'Données projet'!$E$9+1,1))-AVERAGE(OFFSET($H$3,0,0,'Données projet'!$E$9+1,1))</f>
        <v>368.41876532159154</v>
      </c>
      <c r="T76" s="59">
        <f t="shared" si="88"/>
        <v>369.39570124551125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2.6280096366053902</v>
      </c>
      <c r="AA76" s="21">
        <f>EXP(-LN(2)/25)*AA75+(1-EXP(-LN(2)/25))/(LN(2)/25)*Calculateur!V76*Calculateur!X76*VLOOKUP('Données projet'!$B$9,Paramètres!$A$1:$I$89,3,0)*0.475*44/12</f>
        <v>4.9238640164968217</v>
      </c>
      <c r="AB76" s="21">
        <f>EXP(-LN(2)/2)*AB75+(1-EXP(-LN(2)/2))/(LN(2)/2)*V76*Y76*VLOOKUP('Données projet'!$B$9,Paramètres!$A$1:$I$89,3,0)*0.475*44/12</f>
        <v>5.9918119993641809E-6</v>
      </c>
      <c r="AC76" s="22">
        <f t="shared" si="57"/>
        <v>7.5518796449142114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3.9</v>
      </c>
      <c r="AI76" s="13">
        <f>IF('Données projet'!$A$62&gt;35,AI75+AH76-AQ75,IF(A76&lt;'Données projet'!$A$62,$AF$205^A76,IF(A76='Données projet'!$A$62,'Données projet'!$B$62,AI75+AH76-AQ75)))</f>
        <v>314.69999999999965</v>
      </c>
      <c r="AJ76" s="13">
        <f>AI76*VLOOKUP('Données projet'!$B$10,Paramètres!$A$1:$I$89,3,0)*VLOOKUP('Données projet'!$B$10,Paramètres!$A$1:$I$89,5,0)</f>
        <v>274.92191999999972</v>
      </c>
      <c r="AK76" s="13">
        <f t="shared" si="89"/>
        <v>65.892724160548156</v>
      </c>
      <c r="AL76" s="20">
        <f t="shared" si="58"/>
        <v>593.58550524628743</v>
      </c>
      <c r="AM76" s="59">
        <f t="shared" si="59"/>
        <v>886.9188385796208</v>
      </c>
      <c r="AN76" s="59">
        <f ca="1">AVERAGE(OFFSET($AM$3,0,0,'Données projet'!$E$10+1,1))-AVERAGE(OFFSET($H$3,0,0,'Données projet'!$E$10+1,1))</f>
        <v>402.82278346470082</v>
      </c>
      <c r="AO76" s="59">
        <f t="shared" si="90"/>
        <v>440.17787299198977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1.5289623581314029</v>
      </c>
      <c r="AV76" s="21">
        <f>EXP(-LN(2)/25)*AV75+(1-EXP(-LN(2)/25))/(LN(2)/25)*Calculateur!AQ76*Calculateur!AS76*VLOOKUP('Données projet'!$B$10,Paramètres!$A$1:$I$89,3,0)*0.475*44/12</f>
        <v>6.8393559454066795</v>
      </c>
      <c r="AW76" s="21">
        <f>EXP(-LN(2)/2)*AW75+(1-EXP(-LN(2)/2))/(LN(2)/2)*AQ76*AT76*VLOOKUP('Données projet'!$B$10,Paramètres!$A$1:$I$89,3,0)*0.475*44/12</f>
        <v>8.8999990525415978E-6</v>
      </c>
      <c r="AX76" s="21">
        <f t="shared" si="60"/>
        <v>8.3683272035371346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7.4</v>
      </c>
      <c r="BD76" s="12">
        <f>IF('Données projet'!$A$88&gt;35,BD75+BC76-BL75,IF(A76&lt;'Données projet'!$A$88,$BA$205^A76,IF(A76='Données projet'!$A$88,'Données projet'!$B$88,BD75+BC76-BL75)))</f>
        <v>296.19999999999993</v>
      </c>
      <c r="BE76" s="13">
        <f>BD76*VLOOKUP('Données projet'!$B$11,Paramètres!$A$1:$I$89,3,0)*VLOOKUP('Données projet'!$B$11,Paramètres!$A$1:$I$89,5,0)</f>
        <v>268.00175999999993</v>
      </c>
      <c r="BF76" s="13">
        <f t="shared" si="91"/>
        <v>64.425009159185578</v>
      </c>
      <c r="BG76" s="20">
        <f t="shared" si="61"/>
        <v>578.97662295224802</v>
      </c>
      <c r="BH76" s="59">
        <f t="shared" si="62"/>
        <v>872.30995628558139</v>
      </c>
      <c r="BI76" s="59">
        <f ca="1">AVERAGE(OFFSET($BH$3,0,0,'Données projet'!$E$11+1,1))-AVERAGE(OFFSET($H$3,0,0,'Données projet'!$E$11+1,1))</f>
        <v>469.68830256438338</v>
      </c>
      <c r="BJ76" s="59">
        <f t="shared" si="92"/>
        <v>332.61387922152159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1.0278253695902209</v>
      </c>
      <c r="BQ76" s="21">
        <f>EXP(-LN(2)/25)*BQ75+(1-EXP(-LN(2)/25))/(LN(2)/25)*Calculateur!BL76*Calculateur!BN76*VLOOKUP('Données projet'!$B$11,Paramètres!$A$1:$I$89,3,0)*0.475*44/12</f>
        <v>3.4248850958643113</v>
      </c>
      <c r="BR76" s="21">
        <f>EXP(-LN(2)/2)*BR75+(1-EXP(-LN(2)/2))/(LN(2)/2)*BL76*BO76*VLOOKUP('Données projet'!$B$11,Paramètres!$A$1:$I$89,3,0)*0.475*44/12</f>
        <v>7.2672417593804347E-6</v>
      </c>
      <c r="BS76" s="22">
        <f t="shared" si="63"/>
        <v>4.4527177326962919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9.1</v>
      </c>
      <c r="BY76" s="12">
        <f>IF('Données projet'!$A$114&gt;35,BY75+BX76-CG75,IF(A76&lt;'Données projet'!$A$114,$BV$205^A76,IF(A76='Données projet'!$A$114,'Données projet'!$B$114,BY75+BX76-CG75)))</f>
        <v>315.29999999999995</v>
      </c>
      <c r="BZ76" s="13">
        <f>BY76*VLOOKUP('Données projet'!$B$12,Paramètres!$A$1:$I$89,3,0)*VLOOKUP('Données projet'!$B$12,Paramètres!$A$1:$I$89,5,0)</f>
        <v>300.03947999999997</v>
      </c>
      <c r="CA76" s="13">
        <f t="shared" si="93"/>
        <v>71.184739936743995</v>
      </c>
      <c r="CB76" s="20">
        <f t="shared" si="64"/>
        <v>646.54884972316245</v>
      </c>
      <c r="CC76" s="59">
        <f t="shared" si="65"/>
        <v>939.88218305649571</v>
      </c>
      <c r="CD76" s="59">
        <f ca="1">AVERAGE(OFFSET($CC$3,0,0,'Données projet'!$E$12+1,1))-AVERAGE(OFFSET($H$3,0,0,'Données projet'!$E$12+1,1))</f>
        <v>609.40025883662452</v>
      </c>
      <c r="CE76" s="59">
        <f t="shared" si="94"/>
        <v>294.48909834404577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1.1967215224446361</v>
      </c>
      <c r="CM76" s="21">
        <f>EXP(-LN(2)/2)*CM75+(1-EXP(-LN(2)/2))/(LN(2)/2)*CG76*CJ76*VLOOKUP('Données projet'!$B$12,Paramètres!$A$1:$I$89,3,0)*0.475*44/12</f>
        <v>2.6489384835571538E-6</v>
      </c>
      <c r="CN76" s="22">
        <f t="shared" si="66"/>
        <v>1.1967241713831196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17</v>
      </c>
      <c r="CT76" s="12">
        <f>IF('Données projet'!$A$140&gt;35,CT75+CS76-DB75,IF(A76&lt;'Données projet'!$A$140,$CQ$205^A76,IF(A76='Données projet'!$A$140,'Données projet'!$B$140,CT75+CS76-DB75)))</f>
        <v>413.99999999999989</v>
      </c>
      <c r="CU76" s="17">
        <f>CT76*VLOOKUP('Données projet'!$B$13,Paramètres!$A$1:$I$89,3,0)*VLOOKUP('Données projet'!$B$13,Paramètres!$A$1:$I$89,5,0)</f>
        <v>193.75199999999995</v>
      </c>
      <c r="CV76" s="13">
        <f t="shared" si="95"/>
        <v>48.36852035537607</v>
      </c>
      <c r="CW76" s="20">
        <f t="shared" si="67"/>
        <v>421.69323961894656</v>
      </c>
      <c r="CX76" s="59">
        <f t="shared" si="68"/>
        <v>715.02657295227982</v>
      </c>
      <c r="CY76" s="59">
        <f ca="1">AVERAGE(OFFSET($CX$3,0,0,'Données projet'!$E$13+1,1))-AVERAGE(OFFSET($H$3,0,0,'Données projet'!$E$13+1,1))</f>
        <v>346.16623654404509</v>
      </c>
      <c r="CZ76" s="59">
        <f t="shared" si="96"/>
        <v>281.80933156559087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1.33765072229205</v>
      </c>
      <c r="DG76" s="21">
        <f>EXP(-LN(2)/25)*DG75+(1-EXP(-LN(2)/25))/(LN(2)/25)*Calculateur!DB76*Calculateur!DD76*VLOOKUP('Données projet'!$B$13,Paramètres!$A$1:$I$89,3,0)*0.475*44/12</f>
        <v>2.3845161582915546</v>
      </c>
      <c r="DH76" s="21">
        <f>EXP(-LN(2)/2)*DH75+(1-EXP(-LN(2)/2))/(LN(2)/2)*DB76*DE76*VLOOKUP('Données projet'!$B$13,Paramètres!$A$1:$I$89,3,0)*0.475*44/12</f>
        <v>3.3151620211792836E-6</v>
      </c>
      <c r="DI76" s="22">
        <f t="shared" si="69"/>
        <v>3.7221701957456261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5.0999999999999996</v>
      </c>
      <c r="DO76" s="12">
        <f>IF('Données projet'!$A$166&gt;35,DO75+DN76-DW75,IF(A76&lt;'Données projet'!$A$166,$DL$205^A76,IF(A76='Données projet'!$A$166,'Données projet'!$B$166,DO75+DN76-DW75)))</f>
        <v>351.30000000000047</v>
      </c>
      <c r="DP76" s="17">
        <f>DO76*VLOOKUP('Données projet'!$B$14,Paramètres!$A$1:$I$89,3,0)*VLOOKUP('Données projet'!$B$14,Paramètres!$A$1:$I$89,5,0)</f>
        <v>219.2112000000003</v>
      </c>
      <c r="DQ76" s="13">
        <f t="shared" si="97"/>
        <v>53.943408114730026</v>
      </c>
      <c r="DR76" s="20">
        <f t="shared" si="70"/>
        <v>475.74427579982193</v>
      </c>
      <c r="DS76" s="59">
        <f t="shared" si="71"/>
        <v>769.07760913315519</v>
      </c>
      <c r="DT76" s="59">
        <f ca="1">AVERAGE(OFFSET($DS$3,0,0,'Données projet'!$E$14+1,1))-AVERAGE(OFFSET($H$3,0,0,'Données projet'!$E$14+1,1))</f>
        <v>319.97171762304686</v>
      </c>
      <c r="DU76" s="59">
        <f t="shared" si="98"/>
        <v>337.89345858359621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2.967258484783315</v>
      </c>
      <c r="EB76" s="21">
        <f>EXP(-LN(2)/25)*EB75+(1-EXP(-LN(2)/25))/(LN(2)/25)*Calculateur!DW76*Calculateur!DY76*VLOOKUP('Données projet'!$B$14,Paramètres!$A$1:$I$89,3,0)*0.475*44/12</f>
        <v>6.3101430266957337</v>
      </c>
      <c r="EC76" s="21">
        <f>EXP(-LN(2)/2)*EC75+(1-EXP(-LN(2)/2))/(LN(2)/2)*DW76*DZ76*VLOOKUP('Données projet'!$B$14,Paramètres!$A$1:$I$89,3,0)*0.475*44/12</f>
        <v>6.8078339387719286E-6</v>
      </c>
      <c r="ED76" s="22">
        <f t="shared" si="72"/>
        <v>9.2774083193129879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>
        <f>EJ76*VLOOKUP('Données projet'!$B$15,Paramètres!$A$1:$I$89,3,0)*VLOOKUP('Données projet'!$B$15,Paramètres!$A$1:$I$89,5,0)</f>
        <v>0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258.46015871559956</v>
      </c>
      <c r="EP76" s="59">
        <f t="shared" si="100"/>
        <v>280.26155987300996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2.6510203783178024</v>
      </c>
      <c r="EW76" s="21">
        <f>EXP(-LN(2)/25)*EW75+(1-EXP(-LN(2)/25))/(LN(2)/25)*Calculateur!ER76*Calculateur!ET76*VLOOKUP('Données projet'!$B$15,Paramètres!$A$1:$I$89,3,0)*0.475*44/12</f>
        <v>3.7430235376006036</v>
      </c>
      <c r="EX76" s="21">
        <f>EXP(-LN(2)/2)*EX75+(1-EXP(-LN(2)/2))/(LN(2)/2)*ER76*EU76*VLOOKUP('Données projet'!$B$15,Paramètres!$A$1:$I$89,3,0)*0.475*44/12</f>
        <v>1.8361501722162788E-6</v>
      </c>
      <c r="EY76" s="22">
        <f t="shared" si="75"/>
        <v>6.3940457520685783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4.2</v>
      </c>
      <c r="N77" s="13">
        <f>IF('Données projet'!$A$36&gt;35,N76+M77-V76,IF(A77&lt;'Données projet'!$A$36,$K$205^A77,IF(A77='Données projet'!$A$36,'Données projet'!$B$36,N76+M77-V76)))</f>
        <v>235.80000000000013</v>
      </c>
      <c r="O77" s="13">
        <f>N77*VLOOKUP('Données projet'!$B$9,Paramètres!$A$1:$I$89,3,0)*VLOOKUP('Données projet'!$B$9,Paramètres!$A$1:$I$89,5,0)</f>
        <v>205.99488000000014</v>
      </c>
      <c r="P77" s="13">
        <f t="shared" si="87"/>
        <v>51.0593877603579</v>
      </c>
      <c r="Q77" s="20">
        <f t="shared" si="54"/>
        <v>447.70284968262354</v>
      </c>
      <c r="R77" s="59">
        <f t="shared" si="55"/>
        <v>741.03618301595679</v>
      </c>
      <c r="S77" s="59">
        <f ca="1">AVERAGE(OFFSET($R$3,0,0,'Données projet'!$E$9+1,1))-AVERAGE(OFFSET($H$3,0,0,'Données projet'!$E$9+1,1))</f>
        <v>368.41876532159154</v>
      </c>
      <c r="T77" s="59">
        <f t="shared" si="88"/>
        <v>369.39570124551125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2.5764759705591609</v>
      </c>
      <c r="AA77" s="21">
        <f>EXP(-LN(2)/25)*AA76+(1-EXP(-LN(2)/25))/(LN(2)/25)*Calculateur!V77*Calculateur!X77*VLOOKUP('Données projet'!$B$9,Paramètres!$A$1:$I$89,3,0)*0.475*44/12</f>
        <v>4.7892206960309611</v>
      </c>
      <c r="AB77" s="21">
        <f>EXP(-LN(2)/2)*AB76+(1-EXP(-LN(2)/2))/(LN(2)/2)*V77*Y77*VLOOKUP('Données projet'!$B$9,Paramètres!$A$1:$I$89,3,0)*0.475*44/12</f>
        <v>4.2368508963453377E-6</v>
      </c>
      <c r="AC77" s="22">
        <f t="shared" si="57"/>
        <v>7.3657009034410184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3.9</v>
      </c>
      <c r="AI77" s="13">
        <f>IF('Données projet'!$A$62&gt;35,AI76+AH77-AQ76,IF(A77&lt;'Données projet'!$A$62,$AF$205^A77,IF(A77='Données projet'!$A$62,'Données projet'!$B$62,AI76+AH77-AQ76)))</f>
        <v>318.59999999999962</v>
      </c>
      <c r="AJ77" s="13">
        <f>AI77*VLOOKUP('Données projet'!$B$10,Paramètres!$A$1:$I$89,3,0)*VLOOKUP('Données projet'!$B$10,Paramètres!$A$1:$I$89,5,0)</f>
        <v>278.32895999999971</v>
      </c>
      <c r="AK77" s="13">
        <f t="shared" si="89"/>
        <v>66.613747160739649</v>
      </c>
      <c r="AL77" s="20">
        <f t="shared" si="58"/>
        <v>600.77521497162104</v>
      </c>
      <c r="AM77" s="59">
        <f t="shared" si="59"/>
        <v>894.10854830495441</v>
      </c>
      <c r="AN77" s="59">
        <f ca="1">AVERAGE(OFFSET($AM$3,0,0,'Données projet'!$E$10+1,1))-AVERAGE(OFFSET($H$3,0,0,'Données projet'!$E$10+1,1))</f>
        <v>402.82278346470082</v>
      </c>
      <c r="AO77" s="59">
        <f t="shared" si="90"/>
        <v>440.17787299198977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1.4989803388634004</v>
      </c>
      <c r="AV77" s="21">
        <f>EXP(-LN(2)/25)*AV76+(1-EXP(-LN(2)/25))/(LN(2)/25)*Calculateur!AQ77*Calculateur!AS77*VLOOKUP('Données projet'!$B$10,Paramètres!$A$1:$I$89,3,0)*0.475*44/12</f>
        <v>6.652333397413436</v>
      </c>
      <c r="AW77" s="21">
        <f>EXP(-LN(2)/2)*AW76+(1-EXP(-LN(2)/2))/(LN(2)/2)*AQ77*AT77*VLOOKUP('Données projet'!$B$10,Paramètres!$A$1:$I$89,3,0)*0.475*44/12</f>
        <v>6.293249682606012E-6</v>
      </c>
      <c r="AX77" s="21">
        <f t="shared" si="60"/>
        <v>8.15132002952652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7.4</v>
      </c>
      <c r="BD77" s="12">
        <f>IF('Données projet'!$A$88&gt;35,BD76+BC77-BL76,IF(A77&lt;'Données projet'!$A$88,$BA$205^A77,IF(A77='Données projet'!$A$88,'Données projet'!$B$88,BD76+BC77-BL76)))</f>
        <v>303.59999999999991</v>
      </c>
      <c r="BE77" s="13">
        <f>BD77*VLOOKUP('Données projet'!$B$11,Paramètres!$A$1:$I$89,3,0)*VLOOKUP('Données projet'!$B$11,Paramètres!$A$1:$I$89,5,0)</f>
        <v>274.69727999999992</v>
      </c>
      <c r="BF77" s="13">
        <f t="shared" si="91"/>
        <v>65.845147763387502</v>
      </c>
      <c r="BG77" s="20">
        <f t="shared" si="61"/>
        <v>593.11139502123308</v>
      </c>
      <c r="BH77" s="59">
        <f t="shared" si="62"/>
        <v>886.44472835456645</v>
      </c>
      <c r="BI77" s="59">
        <f ca="1">AVERAGE(OFFSET($BH$3,0,0,'Données projet'!$E$11+1,1))-AVERAGE(OFFSET($H$3,0,0,'Données projet'!$E$11+1,1))</f>
        <v>469.68830256438338</v>
      </c>
      <c r="BJ77" s="59">
        <f t="shared" si="92"/>
        <v>332.61387922152159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1.0076703410041297</v>
      </c>
      <c r="BQ77" s="21">
        <f>EXP(-LN(2)/25)*BQ76+(1-EXP(-LN(2)/25))/(LN(2)/25)*Calculateur!BL77*Calculateur!BN77*VLOOKUP('Données projet'!$B$11,Paramètres!$A$1:$I$89,3,0)*0.475*44/12</f>
        <v>3.3312314328110224</v>
      </c>
      <c r="BR77" s="21">
        <f>EXP(-LN(2)/2)*BR76+(1-EXP(-LN(2)/2))/(LN(2)/2)*BL77*BO77*VLOOKUP('Données projet'!$B$11,Paramètres!$A$1:$I$89,3,0)*0.475*44/12</f>
        <v>5.1387159285799624E-6</v>
      </c>
      <c r="BS77" s="22">
        <f t="shared" si="63"/>
        <v>4.3389069125310806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9.1</v>
      </c>
      <c r="BY77" s="12">
        <f>IF('Données projet'!$A$114&gt;35,BY76+BX77-CG76,IF(A77&lt;'Données projet'!$A$114,$BV$205^A77,IF(A77='Données projet'!$A$114,'Données projet'!$B$114,BY76+BX77-CG76)))</f>
        <v>324.39999999999998</v>
      </c>
      <c r="BZ77" s="13">
        <f>BY77*VLOOKUP('Données projet'!$B$12,Paramètres!$A$1:$I$89,3,0)*VLOOKUP('Données projet'!$B$12,Paramètres!$A$1:$I$89,5,0)</f>
        <v>308.69903999999997</v>
      </c>
      <c r="CA77" s="13">
        <f t="shared" si="93"/>
        <v>72.997071480882056</v>
      </c>
      <c r="CB77" s="20">
        <f t="shared" si="64"/>
        <v>664.78739416253609</v>
      </c>
      <c r="CC77" s="59">
        <f t="shared" si="65"/>
        <v>958.12072749586946</v>
      </c>
      <c r="CD77" s="59">
        <f ca="1">AVERAGE(OFFSET($CC$3,0,0,'Données projet'!$E$12+1,1))-AVERAGE(OFFSET($H$3,0,0,'Données projet'!$E$12+1,1))</f>
        <v>609.40025883662452</v>
      </c>
      <c r="CE77" s="59">
        <f t="shared" si="94"/>
        <v>294.48909834404577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1.1639971094805379</v>
      </c>
      <c r="CM77" s="21">
        <f>EXP(-LN(2)/2)*CM76+(1-EXP(-LN(2)/2))/(LN(2)/2)*CG77*CJ77*VLOOKUP('Données projet'!$B$12,Paramètres!$A$1:$I$89,3,0)*0.475*44/12</f>
        <v>1.8730823646692734E-6</v>
      </c>
      <c r="CN77" s="22">
        <f t="shared" si="66"/>
        <v>1.1639989825629027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17</v>
      </c>
      <c r="CT77" s="12">
        <f>IF('Données projet'!$A$140&gt;35,CT76+CS77-DB76,IF(A77&lt;'Données projet'!$A$140,$CQ$205^A77,IF(A77='Données projet'!$A$140,'Données projet'!$B$140,CT76+CS77-DB76)))</f>
        <v>430.99999999999989</v>
      </c>
      <c r="CU77" s="17">
        <f>CT77*VLOOKUP('Données projet'!$B$13,Paramètres!$A$1:$I$89,3,0)*VLOOKUP('Données projet'!$B$13,Paramètres!$A$1:$I$89,5,0)</f>
        <v>201.70799999999994</v>
      </c>
      <c r="CV77" s="13">
        <f t="shared" si="95"/>
        <v>50.119348451854243</v>
      </c>
      <c r="CW77" s="20">
        <f t="shared" si="67"/>
        <v>438.59929855364607</v>
      </c>
      <c r="CX77" s="59">
        <f t="shared" si="68"/>
        <v>731.93263188697938</v>
      </c>
      <c r="CY77" s="59">
        <f ca="1">AVERAGE(OFFSET($CX$3,0,0,'Données projet'!$E$13+1,1))-AVERAGE(OFFSET($H$3,0,0,'Données projet'!$E$13+1,1))</f>
        <v>346.16623654404509</v>
      </c>
      <c r="CZ77" s="59">
        <f t="shared" si="96"/>
        <v>281.80933156559087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1.3114202075142813</v>
      </c>
      <c r="DG77" s="21">
        <f>EXP(-LN(2)/25)*DG76+(1-EXP(-LN(2)/25))/(LN(2)/25)*Calculateur!DB77*Calculateur!DD77*VLOOKUP('Données projet'!$B$13,Paramètres!$A$1:$I$89,3,0)*0.475*44/12</f>
        <v>2.319311438546817</v>
      </c>
      <c r="DH77" s="21">
        <f>EXP(-LN(2)/2)*DH76+(1-EXP(-LN(2)/2))/(LN(2)/2)*DB77*DE77*VLOOKUP('Données projet'!$B$13,Paramètres!$A$1:$I$89,3,0)*0.475*44/12</f>
        <v>2.3441735459079723E-6</v>
      </c>
      <c r="DI77" s="22">
        <f t="shared" si="69"/>
        <v>3.6307339902346443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5.0999999999999996</v>
      </c>
      <c r="DO77" s="12">
        <f>IF('Données projet'!$A$166&gt;35,DO76+DN77-DW76,IF(A77&lt;'Données projet'!$A$166,$DL$205^A77,IF(A77='Données projet'!$A$166,'Données projet'!$B$166,DO76+DN77-DW76)))</f>
        <v>356.40000000000049</v>
      </c>
      <c r="DP77" s="17">
        <f>DO77*VLOOKUP('Données projet'!$B$14,Paramètres!$A$1:$I$89,3,0)*VLOOKUP('Données projet'!$B$14,Paramètres!$A$1:$I$89,5,0)</f>
        <v>222.3936000000003</v>
      </c>
      <c r="DQ77" s="13">
        <f t="shared" si="97"/>
        <v>54.634794757949336</v>
      </c>
      <c r="DR77" s="20">
        <f t="shared" si="70"/>
        <v>482.49112087009553</v>
      </c>
      <c r="DS77" s="59">
        <f t="shared" si="71"/>
        <v>775.82445420342879</v>
      </c>
      <c r="DT77" s="59">
        <f ca="1">AVERAGE(OFFSET($DS$3,0,0,'Données projet'!$E$14+1,1))-AVERAGE(OFFSET($H$3,0,0,'Données projet'!$E$14+1,1))</f>
        <v>319.97171762304686</v>
      </c>
      <c r="DU77" s="59">
        <f t="shared" si="98"/>
        <v>337.89345858359621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2.9090723557456823</v>
      </c>
      <c r="EB77" s="21">
        <f>EXP(-LN(2)/25)*EB76+(1-EXP(-LN(2)/25))/(LN(2)/25)*Calculateur!DW77*Calculateur!DY77*VLOOKUP('Données projet'!$B$14,Paramètres!$A$1:$I$89,3,0)*0.475*44/12</f>
        <v>6.1375918337947395</v>
      </c>
      <c r="EC77" s="21">
        <f>EXP(-LN(2)/2)*EC76+(1-EXP(-LN(2)/2))/(LN(2)/2)*DW77*DZ77*VLOOKUP('Données projet'!$B$14,Paramètres!$A$1:$I$89,3,0)*0.475*44/12</f>
        <v>4.813865543297554E-6</v>
      </c>
      <c r="ED77" s="22">
        <f t="shared" si="72"/>
        <v>9.0466690034059649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>
        <f>EJ77*VLOOKUP('Données projet'!$B$15,Paramètres!$A$1:$I$89,3,0)*VLOOKUP('Données projet'!$B$15,Paramètres!$A$1:$I$89,5,0)</f>
        <v>0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258.46015871559956</v>
      </c>
      <c r="EP77" s="59">
        <f t="shared" si="100"/>
        <v>280.26155987300996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2.599035485661759</v>
      </c>
      <c r="EW77" s="21">
        <f>EXP(-LN(2)/25)*EW76+(1-EXP(-LN(2)/25))/(LN(2)/25)*Calculateur!ER77*Calculateur!ET77*VLOOKUP('Données projet'!$B$15,Paramètres!$A$1:$I$89,3,0)*0.475*44/12</f>
        <v>3.640670362127862</v>
      </c>
      <c r="EX77" s="21">
        <f>EXP(-LN(2)/2)*EX76+(1-EXP(-LN(2)/2))/(LN(2)/2)*ER77*EU77*VLOOKUP('Données projet'!$B$15,Paramètres!$A$1:$I$89,3,0)*0.475*44/12</f>
        <v>1.298354238050978E-6</v>
      </c>
      <c r="EY77" s="22">
        <f t="shared" si="75"/>
        <v>6.2397071461438589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4.2</v>
      </c>
      <c r="N78" s="13">
        <f>IF('Données projet'!$A$36&gt;35,N77+M78-V77,IF(A78&lt;'Données projet'!$A$36,$K$205^A78,IF(A78='Données projet'!$A$36,'Données projet'!$B$36,N77+M78-V77)))</f>
        <v>240.00000000000011</v>
      </c>
      <c r="O78" s="13">
        <f>N78*VLOOKUP('Données projet'!$B$9,Paramètres!$A$1:$I$89,3,0)*VLOOKUP('Données projet'!$B$9,Paramètres!$A$1:$I$89,5,0)</f>
        <v>209.6640000000001</v>
      </c>
      <c r="P78" s="13">
        <f t="shared" si="87"/>
        <v>51.862154403304537</v>
      </c>
      <c r="Q78" s="20">
        <f t="shared" si="54"/>
        <v>455.49138558575561</v>
      </c>
      <c r="R78" s="59">
        <f t="shared" si="55"/>
        <v>748.82471891908892</v>
      </c>
      <c r="S78" s="59">
        <f ca="1">AVERAGE(OFFSET($R$3,0,0,'Données projet'!$E$9+1,1))-AVERAGE(OFFSET($H$3,0,0,'Données projet'!$E$9+1,1))</f>
        <v>368.41876532159154</v>
      </c>
      <c r="T78" s="59">
        <f t="shared" si="88"/>
        <v>369.39570124551125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2.5259528482716656</v>
      </c>
      <c r="AA78" s="21">
        <f>EXP(-LN(2)/25)*AA77+(1-EXP(-LN(2)/25))/(LN(2)/25)*Calculateur!V78*Calculateur!X78*VLOOKUP('Données projet'!$B$9,Paramètres!$A$1:$I$89,3,0)*0.475*44/12</f>
        <v>4.6582592042438238</v>
      </c>
      <c r="AB78" s="21">
        <f>EXP(-LN(2)/2)*AB77+(1-EXP(-LN(2)/2))/(LN(2)/2)*V78*Y78*VLOOKUP('Données projet'!$B$9,Paramètres!$A$1:$I$89,3,0)*0.475*44/12</f>
        <v>2.9959059996820905E-6</v>
      </c>
      <c r="AC78" s="22">
        <f t="shared" si="57"/>
        <v>7.1842150484214891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3.9</v>
      </c>
      <c r="AI78" s="13">
        <f>IF('Données projet'!$A$62&gt;35,AI77+AH78-AQ77,IF(A78&lt;'Données projet'!$A$62,$AF$205^A78,IF(A78='Données projet'!$A$62,'Données projet'!$B$62,AI77+AH78-AQ77)))</f>
        <v>322.4999999999996</v>
      </c>
      <c r="AJ78" s="13">
        <f>AI78*VLOOKUP('Données projet'!$B$10,Paramètres!$A$1:$I$89,3,0)*VLOOKUP('Données projet'!$B$10,Paramètres!$A$1:$I$89,5,0)</f>
        <v>281.73599999999971</v>
      </c>
      <c r="AK78" s="13">
        <f t="shared" si="89"/>
        <v>67.333743509452987</v>
      </c>
      <c r="AL78" s="20">
        <f t="shared" si="58"/>
        <v>607.96313661229669</v>
      </c>
      <c r="AM78" s="59">
        <f t="shared" si="59"/>
        <v>901.29646994562995</v>
      </c>
      <c r="AN78" s="59">
        <f ca="1">AVERAGE(OFFSET($AM$3,0,0,'Données projet'!$E$10+1,1))-AVERAGE(OFFSET($H$3,0,0,'Données projet'!$E$10+1,1))</f>
        <v>402.82278346470082</v>
      </c>
      <c r="AO78" s="59">
        <f t="shared" si="90"/>
        <v>440.17787299198977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1.4695862487060174</v>
      </c>
      <c r="AV78" s="21">
        <f>EXP(-LN(2)/25)*AV77+(1-EXP(-LN(2)/25))/(LN(2)/25)*Calculateur!AQ78*Calculateur!AS78*VLOOKUP('Données projet'!$B$10,Paramètres!$A$1:$I$89,3,0)*0.475*44/12</f>
        <v>6.4704249908301561</v>
      </c>
      <c r="AW78" s="21">
        <f>EXP(-LN(2)/2)*AW77+(1-EXP(-LN(2)/2))/(LN(2)/2)*AQ78*AT78*VLOOKUP('Données projet'!$B$10,Paramètres!$A$1:$I$89,3,0)*0.475*44/12</f>
        <v>4.4499995262707989E-6</v>
      </c>
      <c r="AX78" s="21">
        <f t="shared" si="60"/>
        <v>7.9400156895356995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7.4</v>
      </c>
      <c r="BD78" s="12">
        <f>IF('Données projet'!$A$88&gt;35,BD77+BC78-BL77,IF(A78&lt;'Données projet'!$A$88,$BA$205^A78,IF(A78='Données projet'!$A$88,'Données projet'!$B$88,BD77+BC78-BL77)))</f>
        <v>310.99999999999989</v>
      </c>
      <c r="BE78" s="13">
        <f>BD78*VLOOKUP('Données projet'!$B$11,Paramètres!$A$1:$I$89,3,0)*VLOOKUP('Données projet'!$B$11,Paramètres!$A$1:$I$89,5,0)</f>
        <v>281.39279999999985</v>
      </c>
      <c r="BF78" s="13">
        <f t="shared" si="91"/>
        <v>67.261262504634658</v>
      </c>
      <c r="BG78" s="20">
        <f t="shared" si="61"/>
        <v>607.23915886223847</v>
      </c>
      <c r="BH78" s="59">
        <f t="shared" si="62"/>
        <v>900.57249219557184</v>
      </c>
      <c r="BI78" s="59">
        <f ca="1">AVERAGE(OFFSET($BH$3,0,0,'Données projet'!$E$11+1,1))-AVERAGE(OFFSET($H$3,0,0,'Données projet'!$E$11+1,1))</f>
        <v>469.68830256438338</v>
      </c>
      <c r="BJ78" s="59">
        <f t="shared" si="92"/>
        <v>332.61387922152159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0.98791054023525815</v>
      </c>
      <c r="BQ78" s="21">
        <f>EXP(-LN(2)/25)*BQ77+(1-EXP(-LN(2)/25))/(LN(2)/25)*Calculateur!BL78*Calculateur!BN78*VLOOKUP('Données projet'!$B$11,Paramètres!$A$1:$I$89,3,0)*0.475*44/12</f>
        <v>3.2401387340989576</v>
      </c>
      <c r="BR78" s="21">
        <f>EXP(-LN(2)/2)*BR77+(1-EXP(-LN(2)/2))/(LN(2)/2)*BL78*BO78*VLOOKUP('Données projet'!$B$11,Paramètres!$A$1:$I$89,3,0)*0.475*44/12</f>
        <v>3.6336208796902182E-6</v>
      </c>
      <c r="BS78" s="22">
        <f t="shared" si="63"/>
        <v>4.2280529079550959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9.1</v>
      </c>
      <c r="BY78" s="12">
        <f>IF('Données projet'!$A$114&gt;35,BY77+BX78-CG77,IF(A78&lt;'Données projet'!$A$114,$BV$205^A78,IF(A78='Données projet'!$A$114,'Données projet'!$B$114,BY77+BX78-CG77)))</f>
        <v>333.5</v>
      </c>
      <c r="BZ78" s="13">
        <f>BY78*VLOOKUP('Données projet'!$B$12,Paramètres!$A$1:$I$89,3,0)*VLOOKUP('Données projet'!$B$12,Paramètres!$A$1:$I$89,5,0)</f>
        <v>317.35860000000002</v>
      </c>
      <c r="CA78" s="13">
        <f t="shared" si="93"/>
        <v>74.803494181017641</v>
      </c>
      <c r="CB78" s="20">
        <f t="shared" si="64"/>
        <v>683.01564736527234</v>
      </c>
      <c r="CC78" s="59">
        <f t="shared" si="65"/>
        <v>976.3489806986056</v>
      </c>
      <c r="CD78" s="59">
        <f ca="1">AVERAGE(OFFSET($CC$3,0,0,'Données projet'!$E$12+1,1))-AVERAGE(OFFSET($H$3,0,0,'Données projet'!$E$12+1,1))</f>
        <v>609.40025883662452</v>
      </c>
      <c r="CE78" s="59">
        <f t="shared" si="94"/>
        <v>294.48909834404577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1.1321675473098449</v>
      </c>
      <c r="CM78" s="21">
        <f>EXP(-LN(2)/2)*CM77+(1-EXP(-LN(2)/2))/(LN(2)/2)*CG78*CJ78*VLOOKUP('Données projet'!$B$12,Paramètres!$A$1:$I$89,3,0)*0.475*44/12</f>
        <v>1.3244692417785771E-6</v>
      </c>
      <c r="CN78" s="22">
        <f t="shared" si="66"/>
        <v>1.1321688717790868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17</v>
      </c>
      <c r="CT78" s="12">
        <f>IF('Données projet'!$A$140&gt;35,CT77+CS78-DB77,IF(A78&lt;'Données projet'!$A$140,$CQ$205^A78,IF(A78='Données projet'!$A$140,'Données projet'!$B$140,CT77+CS78-DB77)))</f>
        <v>447.99999999999989</v>
      </c>
      <c r="CU78" s="17">
        <f>CT78*VLOOKUP('Données projet'!$B$13,Paramètres!$A$1:$I$89,3,0)*VLOOKUP('Données projet'!$B$13,Paramètres!$A$1:$I$89,5,0)</f>
        <v>209.66399999999993</v>
      </c>
      <c r="CV78" s="13">
        <f t="shared" si="95"/>
        <v>51.862154403304487</v>
      </c>
      <c r="CW78" s="20">
        <f t="shared" si="67"/>
        <v>455.49138558575515</v>
      </c>
      <c r="CX78" s="59">
        <f t="shared" si="68"/>
        <v>748.82471891908847</v>
      </c>
      <c r="CY78" s="59">
        <f ca="1">AVERAGE(OFFSET($CX$3,0,0,'Données projet'!$E$13+1,1))-AVERAGE(OFFSET($H$3,0,0,'Données projet'!$E$13+1,1))</f>
        <v>346.16623654404509</v>
      </c>
      <c r="CZ78" s="59">
        <f t="shared" si="96"/>
        <v>281.80933156559087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1.2857040571322707</v>
      </c>
      <c r="DG78" s="21">
        <f>EXP(-LN(2)/25)*DG77+(1-EXP(-LN(2)/25))/(LN(2)/25)*Calculateur!DB78*Calculateur!DD78*VLOOKUP('Données projet'!$B$13,Paramètres!$A$1:$I$89,3,0)*0.475*44/12</f>
        <v>2.2558897452924667</v>
      </c>
      <c r="DH78" s="21">
        <f>EXP(-LN(2)/2)*DH77+(1-EXP(-LN(2)/2))/(LN(2)/2)*DB78*DE78*VLOOKUP('Données projet'!$B$13,Paramètres!$A$1:$I$89,3,0)*0.475*44/12</f>
        <v>1.6575810105896418E-6</v>
      </c>
      <c r="DI78" s="22">
        <f t="shared" si="69"/>
        <v>3.5415954600057478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5.0999999999999996</v>
      </c>
      <c r="DO78" s="12">
        <f>IF('Données projet'!$A$166&gt;35,DO77+DN78-DW77,IF(A78&lt;'Données projet'!$A$166,$DL$205^A78,IF(A78='Données projet'!$A$166,'Données projet'!$B$166,DO77+DN78-DW77)))</f>
        <v>361.50000000000051</v>
      </c>
      <c r="DP78" s="17">
        <f>DO78*VLOOKUP('Données projet'!$B$14,Paramètres!$A$1:$I$89,3,0)*VLOOKUP('Données projet'!$B$14,Paramètres!$A$1:$I$89,5,0)</f>
        <v>225.57600000000031</v>
      </c>
      <c r="DQ78" s="13">
        <f t="shared" si="97"/>
        <v>55.325030705506045</v>
      </c>
      <c r="DR78" s="20">
        <f t="shared" si="70"/>
        <v>489.23596181209018</v>
      </c>
      <c r="DS78" s="59">
        <f t="shared" si="71"/>
        <v>782.56929514542344</v>
      </c>
      <c r="DT78" s="59">
        <f ca="1">AVERAGE(OFFSET($DS$3,0,0,'Données projet'!$E$14+1,1))-AVERAGE(OFFSET($H$3,0,0,'Données projet'!$E$14+1,1))</f>
        <v>319.97171762304686</v>
      </c>
      <c r="DU78" s="59">
        <f t="shared" si="98"/>
        <v>337.89345858359621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2.8520272212084432</v>
      </c>
      <c r="EB78" s="21">
        <f>EXP(-LN(2)/25)*EB77+(1-EXP(-LN(2)/25))/(LN(2)/25)*Calculateur!DW78*Calculateur!DY78*VLOOKUP('Données projet'!$B$14,Paramètres!$A$1:$I$89,3,0)*0.475*44/12</f>
        <v>5.9697590623376957</v>
      </c>
      <c r="EC78" s="21">
        <f>EXP(-LN(2)/2)*EC77+(1-EXP(-LN(2)/2))/(LN(2)/2)*DW78*DZ78*VLOOKUP('Données projet'!$B$14,Paramètres!$A$1:$I$89,3,0)*0.475*44/12</f>
        <v>3.4039169693859643E-6</v>
      </c>
      <c r="ED78" s="22">
        <f t="shared" si="72"/>
        <v>8.8217896874631077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>
        <f>EJ78*VLOOKUP('Données projet'!$B$15,Paramètres!$A$1:$I$89,3,0)*VLOOKUP('Données projet'!$B$15,Paramètres!$A$1:$I$89,5,0)</f>
        <v>0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258.46015871559956</v>
      </c>
      <c r="EP78" s="59">
        <f t="shared" si="100"/>
        <v>280.26155987300996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2.548069985043047</v>
      </c>
      <c r="EW78" s="21">
        <f>EXP(-LN(2)/25)*EW77+(1-EXP(-LN(2)/25))/(LN(2)/25)*Calculateur!ER78*Calculateur!ET78*VLOOKUP('Données projet'!$B$15,Paramètres!$A$1:$I$89,3,0)*0.475*44/12</f>
        <v>3.5411160396209422</v>
      </c>
      <c r="EX78" s="21">
        <f>EXP(-LN(2)/2)*EX77+(1-EXP(-LN(2)/2))/(LN(2)/2)*ER78*EU78*VLOOKUP('Données projet'!$B$15,Paramètres!$A$1:$I$89,3,0)*0.475*44/12</f>
        <v>9.1807508610813963E-7</v>
      </c>
      <c r="EY78" s="22">
        <f t="shared" si="75"/>
        <v>6.0891869427390759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4.2</v>
      </c>
      <c r="N79" s="13">
        <f>IF('Données projet'!$A$36&gt;35,N78+M79-V78,IF(A79&lt;'Données projet'!$A$36,$K$205^A79,IF(A79='Données projet'!$A$36,'Données projet'!$B$36,N78+M79-V78)))</f>
        <v>244.2000000000001</v>
      </c>
      <c r="O79" s="13">
        <f>N79*VLOOKUP('Données projet'!$B$9,Paramètres!$A$1:$I$89,3,0)*VLOOKUP('Données projet'!$B$9,Paramètres!$A$1:$I$89,5,0)</f>
        <v>213.33312000000012</v>
      </c>
      <c r="P79" s="13">
        <f t="shared" si="87"/>
        <v>52.663287386802352</v>
      </c>
      <c r="Q79" s="20">
        <f t="shared" si="54"/>
        <v>463.27707619868102</v>
      </c>
      <c r="R79" s="59">
        <f t="shared" si="55"/>
        <v>756.61040953201427</v>
      </c>
      <c r="S79" s="59">
        <f ca="1">AVERAGE(OFFSET($R$3,0,0,'Données projet'!$E$9+1,1))-AVERAGE(OFFSET($H$3,0,0,'Données projet'!$E$9+1,1))</f>
        <v>368.41876532159154</v>
      </c>
      <c r="T79" s="59">
        <f t="shared" si="88"/>
        <v>369.39570124551125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2.476420453596166</v>
      </c>
      <c r="AA79" s="21">
        <f>EXP(-LN(2)/25)*AA78+(1-EXP(-LN(2)/25))/(LN(2)/25)*Calculateur!V79*Calculateur!X79*VLOOKUP('Données projet'!$B$9,Paramètres!$A$1:$I$89,3,0)*0.475*44/12</f>
        <v>4.5308788613365714</v>
      </c>
      <c r="AB79" s="21">
        <f>EXP(-LN(2)/2)*AB78+(1-EXP(-LN(2)/2))/(LN(2)/2)*V79*Y79*VLOOKUP('Données projet'!$B$9,Paramètres!$A$1:$I$89,3,0)*0.475*44/12</f>
        <v>2.1184254481726688E-6</v>
      </c>
      <c r="AC79" s="22">
        <f t="shared" si="57"/>
        <v>7.0073014333581858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3.9</v>
      </c>
      <c r="AI79" s="13">
        <f>IF('Données projet'!$A$62&gt;35,AI78+AH79-AQ78,IF(A79&lt;'Données projet'!$A$62,$AF$205^A79,IF(A79='Données projet'!$A$62,'Données projet'!$B$62,AI78+AH79-AQ78)))</f>
        <v>326.39999999999958</v>
      </c>
      <c r="AJ79" s="13">
        <f>AI79*VLOOKUP('Données projet'!$B$10,Paramètres!$A$1:$I$89,3,0)*VLOOKUP('Données projet'!$B$10,Paramètres!$A$1:$I$89,5,0)</f>
        <v>285.1430399999997</v>
      </c>
      <c r="AK79" s="13">
        <f t="shared" si="89"/>
        <v>68.052727058079867</v>
      </c>
      <c r="AL79" s="20">
        <f t="shared" si="58"/>
        <v>615.14929429282188</v>
      </c>
      <c r="AM79" s="59">
        <f t="shared" si="59"/>
        <v>908.48262762615514</v>
      </c>
      <c r="AN79" s="59">
        <f ca="1">AVERAGE(OFFSET($AM$3,0,0,'Données projet'!$E$10+1,1))-AVERAGE(OFFSET($H$3,0,0,'Données projet'!$E$10+1,1))</f>
        <v>402.82278346470082</v>
      </c>
      <c r="AO79" s="59">
        <f t="shared" si="90"/>
        <v>440.17787299198977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1.4407685587279959</v>
      </c>
      <c r="AV79" s="21">
        <f>EXP(-LN(2)/25)*AV78+(1-EXP(-LN(2)/25))/(LN(2)/25)*Calculateur!AQ79*Calculateur!AS79*VLOOKUP('Données projet'!$B$10,Paramètres!$A$1:$I$89,3,0)*0.475*44/12</f>
        <v>6.2934908791910438</v>
      </c>
      <c r="AW79" s="21">
        <f>EXP(-LN(2)/2)*AW78+(1-EXP(-LN(2)/2))/(LN(2)/2)*AQ79*AT79*VLOOKUP('Données projet'!$B$10,Paramètres!$A$1:$I$89,3,0)*0.475*44/12</f>
        <v>3.146624841303006E-6</v>
      </c>
      <c r="AX79" s="21">
        <f t="shared" si="60"/>
        <v>7.734262584543881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7.4</v>
      </c>
      <c r="BD79" s="12">
        <f>IF('Données projet'!$A$88&gt;35,BD78+BC79-BL78,IF(A79&lt;'Données projet'!$A$88,$BA$205^A79,IF(A79='Données projet'!$A$88,'Données projet'!$B$88,BD78+BC79-BL78)))</f>
        <v>318.39999999999986</v>
      </c>
      <c r="BE79" s="13">
        <f>BD79*VLOOKUP('Données projet'!$B$11,Paramètres!$A$1:$I$89,3,0)*VLOOKUP('Données projet'!$B$11,Paramètres!$A$1:$I$89,5,0)</f>
        <v>288.0883199999999</v>
      </c>
      <c r="BF79" s="13">
        <f t="shared" si="91"/>
        <v>68.673460144735557</v>
      </c>
      <c r="BG79" s="20">
        <f t="shared" si="61"/>
        <v>621.36010041874761</v>
      </c>
      <c r="BH79" s="59">
        <f t="shared" si="62"/>
        <v>914.69343375208086</v>
      </c>
      <c r="BI79" s="59">
        <f ca="1">AVERAGE(OFFSET($BH$3,0,0,'Données projet'!$E$11+1,1))-AVERAGE(OFFSET($H$3,0,0,'Données projet'!$E$11+1,1))</f>
        <v>469.68830256438338</v>
      </c>
      <c r="BJ79" s="59">
        <f t="shared" si="92"/>
        <v>332.61387922152159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0.9685382171071758</v>
      </c>
      <c r="BQ79" s="21">
        <f>EXP(-LN(2)/25)*BQ78+(1-EXP(-LN(2)/25))/(LN(2)/25)*Calculateur!BL79*Calculateur!BN79*VLOOKUP('Données projet'!$B$11,Paramètres!$A$1:$I$89,3,0)*0.475*44/12</f>
        <v>3.1515369700235309</v>
      </c>
      <c r="BR79" s="21">
        <f>EXP(-LN(2)/2)*BR78+(1-EXP(-LN(2)/2))/(LN(2)/2)*BL79*BO79*VLOOKUP('Données projet'!$B$11,Paramètres!$A$1:$I$89,3,0)*0.475*44/12</f>
        <v>2.5693579642899816E-6</v>
      </c>
      <c r="BS79" s="22">
        <f t="shared" si="63"/>
        <v>4.120077756488671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9.1</v>
      </c>
      <c r="BY79" s="12">
        <f>IF('Données projet'!$A$114&gt;35,BY78+BX79-CG78,IF(A79&lt;'Données projet'!$A$114,$BV$205^A79,IF(A79='Données projet'!$A$114,'Données projet'!$B$114,BY78+BX79-CG78)))</f>
        <v>342.6</v>
      </c>
      <c r="BZ79" s="13">
        <f>BY79*VLOOKUP('Données projet'!$B$12,Paramètres!$A$1:$I$89,3,0)*VLOOKUP('Données projet'!$B$12,Paramètres!$A$1:$I$89,5,0)</f>
        <v>326.01816000000002</v>
      </c>
      <c r="CA79" s="13">
        <f t="shared" si="93"/>
        <v>76.604187794873525</v>
      </c>
      <c r="CB79" s="20">
        <f t="shared" si="64"/>
        <v>701.23392240940484</v>
      </c>
      <c r="CC79" s="59">
        <f t="shared" si="65"/>
        <v>994.5672557427381</v>
      </c>
      <c r="CD79" s="59">
        <f ca="1">AVERAGE(OFFSET($CC$3,0,0,'Données projet'!$E$12+1,1))-AVERAGE(OFFSET($H$3,0,0,'Données projet'!$E$12+1,1))</f>
        <v>609.40025883662452</v>
      </c>
      <c r="CE79" s="59">
        <f t="shared" si="94"/>
        <v>294.48909834404577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1.1012083661905534</v>
      </c>
      <c r="CM79" s="21">
        <f>EXP(-LN(2)/2)*CM78+(1-EXP(-LN(2)/2))/(LN(2)/2)*CG79*CJ79*VLOOKUP('Données projet'!$B$12,Paramètres!$A$1:$I$89,3,0)*0.475*44/12</f>
        <v>9.3654118233463693E-7</v>
      </c>
      <c r="CN79" s="22">
        <f t="shared" si="66"/>
        <v>1.1012093027317358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17</v>
      </c>
      <c r="CT79" s="12">
        <f>IF('Données projet'!$A$140&gt;35,CT78+CS79-DB78,IF(A79&lt;'Données projet'!$A$140,$CQ$205^A79,IF(A79='Données projet'!$A$140,'Données projet'!$B$140,CT78+CS79-DB78)))</f>
        <v>464.99999999999989</v>
      </c>
      <c r="CU79" s="17">
        <f>CT79*VLOOKUP('Données projet'!$B$13,Paramètres!$A$1:$I$89,3,0)*VLOOKUP('Données projet'!$B$13,Paramètres!$A$1:$I$89,5,0)</f>
        <v>217.61999999999995</v>
      </c>
      <c r="CV79" s="13">
        <f t="shared" si="95"/>
        <v>53.597277471320098</v>
      </c>
      <c r="CW79" s="20">
        <f t="shared" si="67"/>
        <v>472.37009159588234</v>
      </c>
      <c r="CX79" s="59">
        <f t="shared" si="68"/>
        <v>765.70342492921566</v>
      </c>
      <c r="CY79" s="59">
        <f ca="1">AVERAGE(OFFSET($CX$3,0,0,'Données projet'!$E$13+1,1))-AVERAGE(OFFSET($H$3,0,0,'Données projet'!$E$13+1,1))</f>
        <v>346.16623654404509</v>
      </c>
      <c r="CZ79" s="59">
        <f t="shared" si="96"/>
        <v>281.80933156559087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1.2604921847739481</v>
      </c>
      <c r="DG79" s="21">
        <f>EXP(-LN(2)/25)*DG78+(1-EXP(-LN(2)/25))/(LN(2)/25)*Calculateur!DB79*Calculateur!DD79*VLOOKUP('Données projet'!$B$13,Paramètres!$A$1:$I$89,3,0)*0.475*44/12</f>
        <v>2.1942023215753585</v>
      </c>
      <c r="DH79" s="21">
        <f>EXP(-LN(2)/2)*DH78+(1-EXP(-LN(2)/2))/(LN(2)/2)*DB79*DE79*VLOOKUP('Données projet'!$B$13,Paramètres!$A$1:$I$89,3,0)*0.475*44/12</f>
        <v>1.1720867729539862E-6</v>
      </c>
      <c r="DI79" s="22">
        <f t="shared" si="69"/>
        <v>3.4546956784360794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5.0999999999999996</v>
      </c>
      <c r="DO79" s="12">
        <f>IF('Données projet'!$A$166&gt;35,DO78+DN79-DW78,IF(A79&lt;'Données projet'!$A$166,$DL$205^A79,IF(A79='Données projet'!$A$166,'Données projet'!$B$166,DO78+DN79-DW78)))</f>
        <v>366.60000000000053</v>
      </c>
      <c r="DP79" s="17">
        <f>DO79*VLOOKUP('Données projet'!$B$14,Paramètres!$A$1:$I$89,3,0)*VLOOKUP('Données projet'!$B$14,Paramètres!$A$1:$I$89,5,0)</f>
        <v>228.75840000000034</v>
      </c>
      <c r="DQ79" s="13">
        <f t="shared" si="97"/>
        <v>56.014134067241066</v>
      </c>
      <c r="DR79" s="20">
        <f t="shared" si="70"/>
        <v>495.97883016711211</v>
      </c>
      <c r="DS79" s="59">
        <f t="shared" si="71"/>
        <v>789.31216350044542</v>
      </c>
      <c r="DT79" s="59">
        <f ca="1">AVERAGE(OFFSET($DS$3,0,0,'Données projet'!$E$14+1,1))-AVERAGE(OFFSET($H$3,0,0,'Données projet'!$E$14+1,1))</f>
        <v>319.97171762304686</v>
      </c>
      <c r="DU79" s="59">
        <f t="shared" si="98"/>
        <v>337.89345858359621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2.7961007069653827</v>
      </c>
      <c r="EB79" s="21">
        <f>EXP(-LN(2)/25)*EB78+(1-EXP(-LN(2)/25))/(LN(2)/25)*Calculateur!DW79*Calculateur!DY79*VLOOKUP('Données projet'!$B$14,Paramètres!$A$1:$I$89,3,0)*0.475*44/12</f>
        <v>5.8065156868420864</v>
      </c>
      <c r="EC79" s="21">
        <f>EXP(-LN(2)/2)*EC78+(1-EXP(-LN(2)/2))/(LN(2)/2)*DW79*DZ79*VLOOKUP('Données projet'!$B$14,Paramètres!$A$1:$I$89,3,0)*0.475*44/12</f>
        <v>2.406932771648777E-6</v>
      </c>
      <c r="ED79" s="22">
        <f t="shared" si="72"/>
        <v>8.6026188007402418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>
        <f>EJ79*VLOOKUP('Données projet'!$B$15,Paramètres!$A$1:$I$89,3,0)*VLOOKUP('Données projet'!$B$15,Paramètres!$A$1:$I$89,5,0)</f>
        <v>0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258.46015871559956</v>
      </c>
      <c r="EP79" s="59">
        <f t="shared" si="100"/>
        <v>280.26155987300996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2.4981038868055823</v>
      </c>
      <c r="EW79" s="21">
        <f>EXP(-LN(2)/25)*EW78+(1-EXP(-LN(2)/25))/(LN(2)/25)*Calculateur!ER79*Calculateur!ET79*VLOOKUP('Données projet'!$B$15,Paramètres!$A$1:$I$89,3,0)*0.475*44/12</f>
        <v>3.4442840352983084</v>
      </c>
      <c r="EX79" s="21">
        <f>EXP(-LN(2)/2)*EX78+(1-EXP(-LN(2)/2))/(LN(2)/2)*ER79*EU79*VLOOKUP('Données projet'!$B$15,Paramètres!$A$1:$I$89,3,0)*0.475*44/12</f>
        <v>6.491771190254891E-7</v>
      </c>
      <c r="EY79" s="22">
        <f t="shared" si="75"/>
        <v>5.9423885712810094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4.2</v>
      </c>
      <c r="N80" s="13">
        <f>IF('Données projet'!$A$36&gt;35,N79+M80-V79,IF(A80&lt;'Données projet'!$A$36,$K$205^A80,IF(A80='Données projet'!$A$36,'Données projet'!$B$36,N79+M80-V79)))</f>
        <v>248.40000000000009</v>
      </c>
      <c r="O80" s="13">
        <f>N80*VLOOKUP('Données projet'!$B$9,Paramètres!$A$1:$I$89,3,0)*VLOOKUP('Données projet'!$B$9,Paramètres!$A$1:$I$89,5,0)</f>
        <v>217.00224000000011</v>
      </c>
      <c r="P80" s="13">
        <f t="shared" si="87"/>
        <v>53.462818050454821</v>
      </c>
      <c r="Q80" s="20">
        <f t="shared" si="54"/>
        <v>471.05997610454233</v>
      </c>
      <c r="R80" s="59">
        <f t="shared" si="55"/>
        <v>764.39330943787559</v>
      </c>
      <c r="S80" s="59">
        <f ca="1">AVERAGE(OFFSET($R$3,0,0,'Données projet'!$E$9+1,1))-AVERAGE(OFFSET($H$3,0,0,'Données projet'!$E$9+1,1))</f>
        <v>368.41876532159154</v>
      </c>
      <c r="T80" s="59">
        <f t="shared" si="88"/>
        <v>369.39570124551125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2.4278593589684756</v>
      </c>
      <c r="AA80" s="21">
        <f>EXP(-LN(2)/25)*AA79+(1-EXP(-LN(2)/25))/(LN(2)/25)*Calculateur!V80*Calculateur!X80*VLOOKUP('Données projet'!$B$9,Paramètres!$A$1:$I$89,3,0)*0.475*44/12</f>
        <v>4.4069817406047589</v>
      </c>
      <c r="AB80" s="21">
        <f>EXP(-LN(2)/2)*AB79+(1-EXP(-LN(2)/2))/(LN(2)/2)*V80*Y80*VLOOKUP('Données projet'!$B$9,Paramètres!$A$1:$I$89,3,0)*0.475*44/12</f>
        <v>1.4979529998410452E-6</v>
      </c>
      <c r="AC80" s="22">
        <f t="shared" si="57"/>
        <v>6.8348425975262339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3.9</v>
      </c>
      <c r="AI80" s="13">
        <f>IF('Données projet'!$A$62&gt;35,AI79+AH80-AQ79,IF(A80&lt;'Données projet'!$A$62,$AF$205^A80,IF(A80='Données projet'!$A$62,'Données projet'!$B$62,AI79+AH80-AQ79)))</f>
        <v>330.29999999999956</v>
      </c>
      <c r="AJ80" s="13">
        <f>AI80*VLOOKUP('Données projet'!$B$10,Paramètres!$A$1:$I$89,3,0)*VLOOKUP('Données projet'!$B$10,Paramètres!$A$1:$I$89,5,0)</f>
        <v>288.55007999999964</v>
      </c>
      <c r="AK80" s="13">
        <f t="shared" si="89"/>
        <v>68.770711307958535</v>
      </c>
      <c r="AL80" s="20">
        <f t="shared" si="58"/>
        <v>622.33371152802727</v>
      </c>
      <c r="AM80" s="59">
        <f t="shared" si="59"/>
        <v>915.66704486136064</v>
      </c>
      <c r="AN80" s="59">
        <f ca="1">AVERAGE(OFFSET($AM$3,0,0,'Données projet'!$E$10+1,1))-AVERAGE(OFFSET($H$3,0,0,'Données projet'!$E$10+1,1))</f>
        <v>402.82278346470082</v>
      </c>
      <c r="AO80" s="59">
        <f t="shared" si="90"/>
        <v>440.17787299198977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1.4125159660733881</v>
      </c>
      <c r="AV80" s="21">
        <f>EXP(-LN(2)/25)*AV79+(1-EXP(-LN(2)/25))/(LN(2)/25)*Calculateur!AQ80*Calculateur!AS80*VLOOKUP('Données projet'!$B$10,Paramètres!$A$1:$I$89,3,0)*0.475*44/12</f>
        <v>6.1213950401392632</v>
      </c>
      <c r="AW80" s="21">
        <f>EXP(-LN(2)/2)*AW79+(1-EXP(-LN(2)/2))/(LN(2)/2)*AQ80*AT80*VLOOKUP('Données projet'!$B$10,Paramètres!$A$1:$I$89,3,0)*0.475*44/12</f>
        <v>2.2249997631353995E-6</v>
      </c>
      <c r="AX80" s="21">
        <f t="shared" si="60"/>
        <v>7.5339132312124146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7.4</v>
      </c>
      <c r="BD80" s="12">
        <f>IF('Données projet'!$A$88&gt;35,BD79+BC80-BL79,IF(A80&lt;'Données projet'!$A$88,$BA$205^A80,IF(A80='Données projet'!$A$88,'Données projet'!$B$88,BD79+BC80-BL79)))</f>
        <v>325.79999999999984</v>
      </c>
      <c r="BE80" s="13">
        <f>BD80*VLOOKUP('Données projet'!$B$11,Paramètres!$A$1:$I$89,3,0)*VLOOKUP('Données projet'!$B$11,Paramètres!$A$1:$I$89,5,0)</f>
        <v>294.78383999999983</v>
      </c>
      <c r="BF80" s="13">
        <f t="shared" si="91"/>
        <v>70.081842199807596</v>
      </c>
      <c r="BG80" s="20">
        <f t="shared" si="61"/>
        <v>635.47439649799799</v>
      </c>
      <c r="BH80" s="59">
        <f t="shared" si="62"/>
        <v>928.80772983133124</v>
      </c>
      <c r="BI80" s="59">
        <f ca="1">AVERAGE(OFFSET($BH$3,0,0,'Données projet'!$E$11+1,1))-AVERAGE(OFFSET($H$3,0,0,'Données projet'!$E$11+1,1))</f>
        <v>469.68830256438338</v>
      </c>
      <c r="BJ80" s="59">
        <f t="shared" si="92"/>
        <v>332.61387922152159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0.94954577341968482</v>
      </c>
      <c r="BQ80" s="21">
        <f>EXP(-LN(2)/25)*BQ79+(1-EXP(-LN(2)/25))/(LN(2)/25)*Calculateur!BL80*Calculateur!BN80*VLOOKUP('Données projet'!$B$11,Paramètres!$A$1:$I$89,3,0)*0.475*44/12</f>
        <v>3.0653580258461113</v>
      </c>
      <c r="BR80" s="21">
        <f>EXP(-LN(2)/2)*BR79+(1-EXP(-LN(2)/2))/(LN(2)/2)*BL80*BO80*VLOOKUP('Données projet'!$B$11,Paramètres!$A$1:$I$89,3,0)*0.475*44/12</f>
        <v>1.8168104398451093E-6</v>
      </c>
      <c r="BS80" s="22">
        <f t="shared" si="63"/>
        <v>4.014905616076236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9.1</v>
      </c>
      <c r="BY80" s="12">
        <f>IF('Données projet'!$A$114&gt;35,BY79+BX80-CG79,IF(A80&lt;'Données projet'!$A$114,$BV$205^A80,IF(A80='Données projet'!$A$114,'Données projet'!$B$114,BY79+BX80-CG79)))</f>
        <v>351.70000000000005</v>
      </c>
      <c r="BZ80" s="13">
        <f>BY80*VLOOKUP('Données projet'!$B$12,Paramètres!$A$1:$I$89,3,0)*VLOOKUP('Données projet'!$B$12,Paramètres!$A$1:$I$89,5,0)</f>
        <v>334.67772000000008</v>
      </c>
      <c r="CA80" s="13">
        <f t="shared" si="93"/>
        <v>78.399321987123784</v>
      </c>
      <c r="CB80" s="20">
        <f t="shared" si="64"/>
        <v>719.44251479424065</v>
      </c>
      <c r="CC80" s="59">
        <f t="shared" si="65"/>
        <v>1012.7758481275739</v>
      </c>
      <c r="CD80" s="59">
        <f ca="1">AVERAGE(OFFSET($CC$3,0,0,'Données projet'!$E$12+1,1))-AVERAGE(OFFSET($H$3,0,0,'Données projet'!$E$12+1,1))</f>
        <v>609.40025883662452</v>
      </c>
      <c r="CE80" s="59">
        <f t="shared" si="94"/>
        <v>294.48909834404577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1.0710957655070417</v>
      </c>
      <c r="CM80" s="21">
        <f>EXP(-LN(2)/2)*CM79+(1-EXP(-LN(2)/2))/(LN(2)/2)*CG80*CJ80*VLOOKUP('Données projet'!$B$12,Paramètres!$A$1:$I$89,3,0)*0.475*44/12</f>
        <v>6.6223462088928867E-7</v>
      </c>
      <c r="CN80" s="22">
        <f t="shared" si="66"/>
        <v>1.0710964277416626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17</v>
      </c>
      <c r="CT80" s="12">
        <f>IF('Données projet'!$A$140&gt;35,CT79+CS80-DB79,IF(A80&lt;'Données projet'!$A$140,$CQ$205^A80,IF(A80='Données projet'!$A$140,'Données projet'!$B$140,CT79+CS80-DB79)))</f>
        <v>481.99999999999989</v>
      </c>
      <c r="CU80" s="17">
        <f>CT80*VLOOKUP('Données projet'!$B$13,Paramètres!$A$1:$I$89,3,0)*VLOOKUP('Données projet'!$B$13,Paramètres!$A$1:$I$89,5,0)</f>
        <v>225.57599999999994</v>
      </c>
      <c r="CV80" s="13">
        <f t="shared" si="95"/>
        <v>55.325030705505945</v>
      </c>
      <c r="CW80" s="20">
        <f t="shared" si="67"/>
        <v>489.23596181208933</v>
      </c>
      <c r="CX80" s="59">
        <f t="shared" si="68"/>
        <v>782.56929514542264</v>
      </c>
      <c r="CY80" s="59">
        <f ca="1">AVERAGE(OFFSET($CX$3,0,0,'Données projet'!$E$13+1,1))-AVERAGE(OFFSET($H$3,0,0,'Données projet'!$E$13+1,1))</f>
        <v>346.16623654404509</v>
      </c>
      <c r="CZ80" s="59">
        <f t="shared" si="96"/>
        <v>281.80933156559087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1.2357747018548486</v>
      </c>
      <c r="DG80" s="21">
        <f>EXP(-LN(2)/25)*DG79+(1-EXP(-LN(2)/25))/(LN(2)/25)*Calculateur!DB80*Calculateur!DD80*VLOOKUP('Données projet'!$B$13,Paramètres!$A$1:$I$89,3,0)*0.475*44/12</f>
        <v>2.134201743703795</v>
      </c>
      <c r="DH80" s="21">
        <f>EXP(-LN(2)/2)*DH79+(1-EXP(-LN(2)/2))/(LN(2)/2)*DB80*DE80*VLOOKUP('Données projet'!$B$13,Paramètres!$A$1:$I$89,3,0)*0.475*44/12</f>
        <v>8.2879050529482091E-7</v>
      </c>
      <c r="DI80" s="22">
        <f t="shared" si="69"/>
        <v>3.3699772743491487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5.0999999999999996</v>
      </c>
      <c r="DO80" s="12">
        <f>IF('Données projet'!$A$166&gt;35,DO79+DN80-DW79,IF(A80&lt;'Données projet'!$A$166,$DL$205^A80,IF(A80='Données projet'!$A$166,'Données projet'!$B$166,DO79+DN80-DW79)))</f>
        <v>371.70000000000056</v>
      </c>
      <c r="DP80" s="17">
        <f>DO80*VLOOKUP('Données projet'!$B$14,Paramètres!$A$1:$I$89,3,0)*VLOOKUP('Données projet'!$B$14,Paramètres!$A$1:$I$89,5,0)</f>
        <v>231.94080000000034</v>
      </c>
      <c r="DQ80" s="13">
        <f t="shared" si="97"/>
        <v>56.702122420175556</v>
      </c>
      <c r="DR80" s="20">
        <f t="shared" si="70"/>
        <v>502.71975654847284</v>
      </c>
      <c r="DS80" s="59">
        <f t="shared" si="71"/>
        <v>796.05308988180616</v>
      </c>
      <c r="DT80" s="59">
        <f ca="1">AVERAGE(OFFSET($DS$3,0,0,'Données projet'!$E$14+1,1))-AVERAGE(OFFSET($H$3,0,0,'Données projet'!$E$14+1,1))</f>
        <v>319.97171762304686</v>
      </c>
      <c r="DU80" s="59">
        <f t="shared" si="98"/>
        <v>337.89345858359621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2.7412708775548231</v>
      </c>
      <c r="EB80" s="21">
        <f>EXP(-LN(2)/25)*EB79+(1-EXP(-LN(2)/25))/(LN(2)/25)*Calculateur!DW80*Calculateur!DY80*VLOOKUP('Données projet'!$B$14,Paramètres!$A$1:$I$89,3,0)*0.475*44/12</f>
        <v>5.6477362100340009</v>
      </c>
      <c r="EC80" s="21">
        <f>EXP(-LN(2)/2)*EC79+(1-EXP(-LN(2)/2))/(LN(2)/2)*DW80*DZ80*VLOOKUP('Données projet'!$B$14,Paramètres!$A$1:$I$89,3,0)*0.475*44/12</f>
        <v>1.7019584846929821E-6</v>
      </c>
      <c r="ED80" s="22">
        <f t="shared" si="72"/>
        <v>8.3890087895473098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>
        <f>EJ80*VLOOKUP('Données projet'!$B$15,Paramètres!$A$1:$I$89,3,0)*VLOOKUP('Données projet'!$B$15,Paramètres!$A$1:$I$89,5,0)</f>
        <v>0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258.46015871559956</v>
      </c>
      <c r="EP80" s="59">
        <f t="shared" si="100"/>
        <v>280.26155987300996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2.4491175932782436</v>
      </c>
      <c r="EW80" s="21">
        <f>EXP(-LN(2)/25)*EW79+(1-EXP(-LN(2)/25))/(LN(2)/25)*Calculateur!ER80*Calculateur!ET80*VLOOKUP('Données projet'!$B$15,Paramètres!$A$1:$I$89,3,0)*0.475*44/12</f>
        <v>3.3500999072260509</v>
      </c>
      <c r="EX80" s="21">
        <f>EXP(-LN(2)/2)*EX79+(1-EXP(-LN(2)/2))/(LN(2)/2)*ER80*EU80*VLOOKUP('Données projet'!$B$15,Paramètres!$A$1:$I$89,3,0)*0.475*44/12</f>
        <v>4.5903754305406987E-7</v>
      </c>
      <c r="EY80" s="22">
        <f t="shared" si="75"/>
        <v>5.7992179595418376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4.2</v>
      </c>
      <c r="N81" s="13">
        <f>IF('Données projet'!$A$36&gt;35,N80+M81-V80,IF(A81&lt;'Données projet'!$A$36,$K$205^A81,IF(A81='Données projet'!$A$36,'Données projet'!$B$36,N80+M81-V80)))</f>
        <v>252.60000000000008</v>
      </c>
      <c r="O81" s="13">
        <f>N81*VLOOKUP('Données projet'!$B$9,Paramètres!$A$1:$I$89,3,0)*VLOOKUP('Données projet'!$B$9,Paramètres!$A$1:$I$89,5,0)</f>
        <v>220.67136000000008</v>
      </c>
      <c r="P81" s="13">
        <f t="shared" si="87"/>
        <v>54.260776613335302</v>
      </c>
      <c r="Q81" s="20">
        <f t="shared" si="54"/>
        <v>478.84013793489243</v>
      </c>
      <c r="R81" s="59">
        <f t="shared" si="55"/>
        <v>772.17347126822574</v>
      </c>
      <c r="S81" s="59">
        <f ca="1">AVERAGE(OFFSET($R$3,0,0,'Données projet'!$E$9+1,1))-AVERAGE(OFFSET($H$3,0,0,'Données projet'!$E$9+1,1))</f>
        <v>368.41876532159154</v>
      </c>
      <c r="T81" s="59">
        <f t="shared" si="88"/>
        <v>369.39570124551125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2.3802505177870912</v>
      </c>
      <c r="AA81" s="21">
        <f>EXP(-LN(2)/25)*AA80+(1-EXP(-LN(2)/25))/(LN(2)/25)*Calculateur!V81*Calculateur!X81*VLOOKUP('Données projet'!$B$9,Paramètres!$A$1:$I$89,3,0)*0.475*44/12</f>
        <v>4.2864725931548247</v>
      </c>
      <c r="AB81" s="21">
        <f>EXP(-LN(2)/2)*AB80+(1-EXP(-LN(2)/2))/(LN(2)/2)*V81*Y81*VLOOKUP('Données projet'!$B$9,Paramètres!$A$1:$I$89,3,0)*0.475*44/12</f>
        <v>1.0592127240863344E-6</v>
      </c>
      <c r="AC81" s="22">
        <f t="shared" si="57"/>
        <v>6.66672417015464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3.9</v>
      </c>
      <c r="AI81" s="13">
        <f>IF('Données projet'!$A$62&gt;35,AI80+AH81-AQ80,IF(A81&lt;'Données projet'!$A$62,$AF$205^A81,IF(A81='Données projet'!$A$62,'Données projet'!$B$62,AI80+AH81-AQ80)))</f>
        <v>334.19999999999953</v>
      </c>
      <c r="AJ81" s="13">
        <f>AI81*VLOOKUP('Données projet'!$B$10,Paramètres!$A$1:$I$89,3,0)*VLOOKUP('Données projet'!$B$10,Paramètres!$A$1:$I$89,5,0)</f>
        <v>291.95711999999963</v>
      </c>
      <c r="AK81" s="13">
        <f t="shared" si="89"/>
        <v>69.487709423247097</v>
      </c>
      <c r="AL81" s="20">
        <f t="shared" si="58"/>
        <v>629.51641124548803</v>
      </c>
      <c r="AM81" s="59">
        <f t="shared" si="59"/>
        <v>922.8497445788214</v>
      </c>
      <c r="AN81" s="59">
        <f ca="1">AVERAGE(OFFSET($AM$3,0,0,'Données projet'!$E$10+1,1))-AVERAGE(OFFSET($H$3,0,0,'Données projet'!$E$10+1,1))</f>
        <v>402.82278346470082</v>
      </c>
      <c r="AO81" s="59">
        <f t="shared" si="90"/>
        <v>440.17787299198977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1.3848173895283573</v>
      </c>
      <c r="AV81" s="21">
        <f>EXP(-LN(2)/25)*AV80+(1-EXP(-LN(2)/25))/(LN(2)/25)*Calculateur!AQ81*Calculateur!AS81*VLOOKUP('Données projet'!$B$10,Paramètres!$A$1:$I$89,3,0)*0.475*44/12</f>
        <v>5.9540051708564805</v>
      </c>
      <c r="AW81" s="21">
        <f>EXP(-LN(2)/2)*AW80+(1-EXP(-LN(2)/2))/(LN(2)/2)*AQ81*AT81*VLOOKUP('Données projet'!$B$10,Paramètres!$A$1:$I$89,3,0)*0.475*44/12</f>
        <v>1.573312420651503E-6</v>
      </c>
      <c r="AX81" s="21">
        <f t="shared" si="60"/>
        <v>7.3388241336972584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7.4</v>
      </c>
      <c r="BD81" s="12">
        <f>IF('Données projet'!$A$88&gt;35,BD80+BC81-BL80,IF(A81&lt;'Données projet'!$A$88,$BA$205^A81,IF(A81='Données projet'!$A$88,'Données projet'!$B$88,BD80+BC81-BL80)))</f>
        <v>333.19999999999982</v>
      </c>
      <c r="BE81" s="13">
        <f>BD81*VLOOKUP('Données projet'!$B$11,Paramètres!$A$1:$I$89,3,0)*VLOOKUP('Données projet'!$B$11,Paramètres!$A$1:$I$89,5,0)</f>
        <v>301.47935999999982</v>
      </c>
      <c r="BF81" s="13">
        <f t="shared" si="91"/>
        <v>71.486505311225272</v>
      </c>
      <c r="BG81" s="20">
        <f t="shared" si="61"/>
        <v>649.58221541705041</v>
      </c>
      <c r="BH81" s="59">
        <f t="shared" si="62"/>
        <v>942.91554875038378</v>
      </c>
      <c r="BI81" s="59">
        <f ca="1">AVERAGE(OFFSET($BH$3,0,0,'Données projet'!$E$11+1,1))-AVERAGE(OFFSET($H$3,0,0,'Données projet'!$E$11+1,1))</f>
        <v>469.68830256438338</v>
      </c>
      <c r="BJ81" s="59">
        <f t="shared" si="92"/>
        <v>332.61387922152159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0.93092575996865867</v>
      </c>
      <c r="BQ81" s="21">
        <f>EXP(-LN(2)/25)*BQ80+(1-EXP(-LN(2)/25))/(LN(2)/25)*Calculateur!BL81*Calculateur!BN81*VLOOKUP('Données projet'!$B$11,Paramètres!$A$1:$I$89,3,0)*0.475*44/12</f>
        <v>2.9815356494291767</v>
      </c>
      <c r="BR81" s="21">
        <f>EXP(-LN(2)/2)*BR80+(1-EXP(-LN(2)/2))/(LN(2)/2)*BL81*BO81*VLOOKUP('Données projet'!$B$11,Paramètres!$A$1:$I$89,3,0)*0.475*44/12</f>
        <v>1.284678982144991E-6</v>
      </c>
      <c r="BS81" s="22">
        <f t="shared" si="63"/>
        <v>3.9124626940768175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9.1</v>
      </c>
      <c r="BY81" s="12">
        <f>IF('Données projet'!$A$114&gt;35,BY80+BX81-CG80,IF(A81&lt;'Données projet'!$A$114,$BV$205^A81,IF(A81='Données projet'!$A$114,'Données projet'!$B$114,BY80+BX81-CG80)))</f>
        <v>360.80000000000007</v>
      </c>
      <c r="BZ81" s="13">
        <f>BY81*VLOOKUP('Données projet'!$B$12,Paramètres!$A$1:$I$89,3,0)*VLOOKUP('Données projet'!$B$12,Paramètres!$A$1:$I$89,5,0)</f>
        <v>343.33728000000008</v>
      </c>
      <c r="CA81" s="13">
        <f t="shared" si="93"/>
        <v>80.18905714238619</v>
      </c>
      <c r="CB81" s="20">
        <f t="shared" si="64"/>
        <v>737.64170385632281</v>
      </c>
      <c r="CC81" s="59">
        <f t="shared" si="65"/>
        <v>1030.9750371896562</v>
      </c>
      <c r="CD81" s="59">
        <f ca="1">AVERAGE(OFFSET($CC$3,0,0,'Données projet'!$E$12+1,1))-AVERAGE(OFFSET($H$3,0,0,'Données projet'!$E$12+1,1))</f>
        <v>609.40025883662452</v>
      </c>
      <c r="CE81" s="59">
        <f t="shared" si="94"/>
        <v>294.48909834404577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1.0418065954727733</v>
      </c>
      <c r="CM81" s="21">
        <f>EXP(-LN(2)/2)*CM80+(1-EXP(-LN(2)/2))/(LN(2)/2)*CG81*CJ81*VLOOKUP('Données projet'!$B$12,Paramètres!$A$1:$I$89,3,0)*0.475*44/12</f>
        <v>4.6827059116731852E-7</v>
      </c>
      <c r="CN81" s="22">
        <f t="shared" si="66"/>
        <v>1.0418070637433645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17</v>
      </c>
      <c r="CT81" s="12">
        <f>IF('Données projet'!$A$140&gt;35,CT80+CS81-DB80,IF(A81&lt;'Données projet'!$A$140,$CQ$205^A81,IF(A81='Données projet'!$A$140,'Données projet'!$B$140,CT80+CS81-DB80)))</f>
        <v>498.99999999999989</v>
      </c>
      <c r="CU81" s="17">
        <f>CT81*VLOOKUP('Données projet'!$B$13,Paramètres!$A$1:$I$89,3,0)*VLOOKUP('Données projet'!$B$13,Paramètres!$A$1:$I$89,5,0)</f>
        <v>233.53199999999995</v>
      </c>
      <c r="CV81" s="13">
        <f t="shared" si="95"/>
        <v>57.04570382109808</v>
      </c>
      <c r="CW81" s="20">
        <f t="shared" si="67"/>
        <v>506.08950082174573</v>
      </c>
      <c r="CX81" s="59">
        <f t="shared" si="68"/>
        <v>799.42283415507904</v>
      </c>
      <c r="CY81" s="59">
        <f ca="1">AVERAGE(OFFSET($CX$3,0,0,'Données projet'!$E$13+1,1))-AVERAGE(OFFSET($H$3,0,0,'Données projet'!$E$13+1,1))</f>
        <v>346.16623654404509</v>
      </c>
      <c r="CZ81" s="59">
        <f t="shared" si="96"/>
        <v>281.80933156559087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1.2115419136996166</v>
      </c>
      <c r="DG81" s="21">
        <f>EXP(-LN(2)/25)*DG80+(1-EXP(-LN(2)/25))/(LN(2)/25)*Calculateur!DB81*Calculateur!DD81*VLOOKUP('Données projet'!$B$13,Paramètres!$A$1:$I$89,3,0)*0.475*44/12</f>
        <v>2.0758418847894227</v>
      </c>
      <c r="DH81" s="21">
        <f>EXP(-LN(2)/2)*DH80+(1-EXP(-LN(2)/2))/(LN(2)/2)*DB81*DE81*VLOOKUP('Données projet'!$B$13,Paramètres!$A$1:$I$89,3,0)*0.475*44/12</f>
        <v>5.8604338647699308E-7</v>
      </c>
      <c r="DI81" s="22">
        <f t="shared" si="69"/>
        <v>3.2873843845324258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5.0999999999999996</v>
      </c>
      <c r="DO81" s="12">
        <f>IF('Données projet'!$A$166&gt;35,DO80+DN81-DW80,IF(A81&lt;'Données projet'!$A$166,$DL$205^A81,IF(A81='Données projet'!$A$166,'Données projet'!$B$166,DO80+DN81-DW80)))</f>
        <v>376.80000000000058</v>
      </c>
      <c r="DP81" s="17">
        <f>DO81*VLOOKUP('Données projet'!$B$14,Paramètres!$A$1:$I$89,3,0)*VLOOKUP('Données projet'!$B$14,Paramètres!$A$1:$I$89,5,0)</f>
        <v>235.12320000000034</v>
      </c>
      <c r="DQ81" s="13">
        <f t="shared" si="97"/>
        <v>57.389012831278578</v>
      </c>
      <c r="DR81" s="20">
        <f t="shared" si="70"/>
        <v>509.45877068114413</v>
      </c>
      <c r="DS81" s="59">
        <f t="shared" si="71"/>
        <v>802.79210401447745</v>
      </c>
      <c r="DT81" s="59">
        <f ca="1">AVERAGE(OFFSET($DS$3,0,0,'Données projet'!$E$14+1,1))-AVERAGE(OFFSET($H$3,0,0,'Données projet'!$E$14+1,1))</f>
        <v>319.97171762304686</v>
      </c>
      <c r="DU81" s="59">
        <f t="shared" si="98"/>
        <v>337.89345858359621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2.6875162276561109</v>
      </c>
      <c r="EB81" s="21">
        <f>EXP(-LN(2)/25)*EB80+(1-EXP(-LN(2)/25))/(LN(2)/25)*Calculateur!DW81*Calculateur!DY81*VLOOKUP('Données projet'!$B$14,Paramètres!$A$1:$I$89,3,0)*0.475*44/12</f>
        <v>5.4932985663690816</v>
      </c>
      <c r="EC81" s="21">
        <f>EXP(-LN(2)/2)*EC80+(1-EXP(-LN(2)/2))/(LN(2)/2)*DW81*DZ81*VLOOKUP('Données projet'!$B$14,Paramètres!$A$1:$I$89,3,0)*0.475*44/12</f>
        <v>1.2034663858243885E-6</v>
      </c>
      <c r="ED81" s="22">
        <f t="shared" si="72"/>
        <v>8.1808159974915782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>
        <f>EJ81*VLOOKUP('Données projet'!$B$15,Paramètres!$A$1:$I$89,3,0)*VLOOKUP('Données projet'!$B$15,Paramètres!$A$1:$I$89,5,0)</f>
        <v>0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258.46015871559956</v>
      </c>
      <c r="EP81" s="59">
        <f t="shared" si="100"/>
        <v>280.26155987300996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2.4010918910882872</v>
      </c>
      <c r="EW81" s="21">
        <f>EXP(-LN(2)/25)*EW80+(1-EXP(-LN(2)/25))/(LN(2)/25)*Calculateur!ER81*Calculateur!ET81*VLOOKUP('Données projet'!$B$15,Paramètres!$A$1:$I$89,3,0)*0.475*44/12</f>
        <v>3.2584912490888573</v>
      </c>
      <c r="EX81" s="21">
        <f>EXP(-LN(2)/2)*EX80+(1-EXP(-LN(2)/2))/(LN(2)/2)*ER81*EU81*VLOOKUP('Données projet'!$B$15,Paramètres!$A$1:$I$89,3,0)*0.475*44/12</f>
        <v>3.245885595127446E-7</v>
      </c>
      <c r="EY81" s="22">
        <f t="shared" si="75"/>
        <v>5.6595834647657037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4.2</v>
      </c>
      <c r="N82" s="13">
        <f>IF('Données projet'!$A$36&gt;35,N81+M82-V81,IF(A82&lt;'Données projet'!$A$36,$K$205^A82,IF(A82='Données projet'!$A$36,'Données projet'!$B$36,N81+M82-V81)))</f>
        <v>256.80000000000007</v>
      </c>
      <c r="O82" s="13">
        <f>N82*VLOOKUP('Données projet'!$B$9,Paramètres!$A$1:$I$89,3,0)*VLOOKUP('Données projet'!$B$9,Paramètres!$A$1:$I$89,5,0)</f>
        <v>224.3404800000001</v>
      </c>
      <c r="P82" s="13">
        <f t="shared" si="87"/>
        <v>55.057192232003722</v>
      </c>
      <c r="Q82" s="20">
        <f t="shared" si="54"/>
        <v>486.61761247073991</v>
      </c>
      <c r="R82" s="59">
        <f t="shared" si="55"/>
        <v>779.95094580407317</v>
      </c>
      <c r="S82" s="59">
        <f ca="1">AVERAGE(OFFSET($R$3,0,0,'Données projet'!$E$9+1,1))-AVERAGE(OFFSET($H$3,0,0,'Données projet'!$E$9+1,1))</f>
        <v>368.41876532159154</v>
      </c>
      <c r="T82" s="59">
        <f t="shared" si="88"/>
        <v>369.39570124551125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2.3335752569427477</v>
      </c>
      <c r="AA82" s="21">
        <f>EXP(-LN(2)/25)*AA81+(1-EXP(-LN(2)/25))/(LN(2)/25)*Calculateur!V82*Calculateur!X82*VLOOKUP('Données projet'!$B$9,Paramètres!$A$1:$I$89,3,0)*0.475*44/12</f>
        <v>4.1692587746792089</v>
      </c>
      <c r="AB82" s="21">
        <f>EXP(-LN(2)/2)*AB81+(1-EXP(-LN(2)/2))/(LN(2)/2)*V82*Y82*VLOOKUP('Données projet'!$B$9,Paramètres!$A$1:$I$89,3,0)*0.475*44/12</f>
        <v>7.4897649992052262E-7</v>
      </c>
      <c r="AC82" s="22">
        <f t="shared" si="57"/>
        <v>6.5028347805984561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3.9</v>
      </c>
      <c r="AI82" s="13">
        <f>IF('Données projet'!$A$62&gt;35,AI81+AH82-AQ81,IF(A82&lt;'Données projet'!$A$62,$AF$205^A82,IF(A82='Données projet'!$A$62,'Données projet'!$B$62,AI81+AH82-AQ81)))</f>
        <v>338.09999999999951</v>
      </c>
      <c r="AJ82" s="13">
        <f>AI82*VLOOKUP('Données projet'!$B$10,Paramètres!$A$1:$I$89,3,0)*VLOOKUP('Données projet'!$B$10,Paramètres!$A$1:$I$89,5,0)</f>
        <v>295.36415999999963</v>
      </c>
      <c r="AK82" s="13">
        <f t="shared" si="89"/>
        <v>70.203734243178104</v>
      </c>
      <c r="AL82" s="20">
        <f t="shared" si="58"/>
        <v>636.69741580686798</v>
      </c>
      <c r="AM82" s="59">
        <f t="shared" si="59"/>
        <v>930.03074914020135</v>
      </c>
      <c r="AN82" s="59">
        <f ca="1">AVERAGE(OFFSET($AM$3,0,0,'Données projet'!$E$10+1,1))-AVERAGE(OFFSET($H$3,0,0,'Données projet'!$E$10+1,1))</f>
        <v>402.82278346470082</v>
      </c>
      <c r="AO82" s="59">
        <f t="shared" si="90"/>
        <v>440.17787299198977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1.3576619651749111</v>
      </c>
      <c r="AV82" s="21">
        <f>EXP(-LN(2)/25)*AV81+(1-EXP(-LN(2)/25))/(LN(2)/25)*Calculateur!AQ82*Calculateur!AS82*VLOOKUP('Données projet'!$B$10,Paramètres!$A$1:$I$89,3,0)*0.475*44/12</f>
        <v>5.7911925863518858</v>
      </c>
      <c r="AW82" s="21">
        <f>EXP(-LN(2)/2)*AW81+(1-EXP(-LN(2)/2))/(LN(2)/2)*AQ82*AT82*VLOOKUP('Données projet'!$B$10,Paramètres!$A$1:$I$89,3,0)*0.475*44/12</f>
        <v>1.1124998815676997E-6</v>
      </c>
      <c r="AX82" s="21">
        <f t="shared" si="60"/>
        <v>7.1488556640266783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7.4</v>
      </c>
      <c r="BD82" s="12">
        <f>IF('Données projet'!$A$88&gt;35,BD81+BC82-BL81,IF(A82&lt;'Données projet'!$A$88,$BA$205^A82,IF(A82='Données projet'!$A$88,'Données projet'!$B$88,BD81+BC82-BL81)))</f>
        <v>340.5999999999998</v>
      </c>
      <c r="BE82" s="13">
        <f>BD82*VLOOKUP('Données projet'!$B$11,Paramètres!$A$1:$I$89,3,0)*VLOOKUP('Données projet'!$B$11,Paramètres!$A$1:$I$89,5,0)</f>
        <v>308.1748799999998</v>
      </c>
      <c r="BF82" s="13">
        <f t="shared" si="91"/>
        <v>72.887541582684676</v>
      </c>
      <c r="BG82" s="20">
        <f t="shared" si="61"/>
        <v>663.6837175898421</v>
      </c>
      <c r="BH82" s="59">
        <f t="shared" si="62"/>
        <v>957.01705092317547</v>
      </c>
      <c r="BI82" s="59">
        <f ca="1">AVERAGE(OFFSET($BH$3,0,0,'Données projet'!$E$11+1,1))-AVERAGE(OFFSET($H$3,0,0,'Données projet'!$E$11+1,1))</f>
        <v>469.68830256438338</v>
      </c>
      <c r="BJ82" s="59">
        <f t="shared" si="92"/>
        <v>332.61387922152159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0.91267087362432042</v>
      </c>
      <c r="BQ82" s="21">
        <f>EXP(-LN(2)/25)*BQ81+(1-EXP(-LN(2)/25))/(LN(2)/25)*Calculateur!BL82*Calculateur!BN82*VLOOKUP('Données projet'!$B$11,Paramètres!$A$1:$I$89,3,0)*0.475*44/12</f>
        <v>2.9000054003033906</v>
      </c>
      <c r="BR82" s="21">
        <f>EXP(-LN(2)/2)*BR81+(1-EXP(-LN(2)/2))/(LN(2)/2)*BL82*BO82*VLOOKUP('Données projet'!$B$11,Paramètres!$A$1:$I$89,3,0)*0.475*44/12</f>
        <v>9.0840521992255487E-7</v>
      </c>
      <c r="BS82" s="22">
        <f t="shared" si="63"/>
        <v>3.8126771823329308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9.1</v>
      </c>
      <c r="BY82" s="12">
        <f>IF('Données projet'!$A$114&gt;35,BY81+BX82-CG81,IF(A82&lt;'Données projet'!$A$114,$BV$205^A82,IF(A82='Données projet'!$A$114,'Données projet'!$B$114,BY81+BX82-CG81)))</f>
        <v>369.90000000000009</v>
      </c>
      <c r="BZ82" s="13">
        <f>BY82*VLOOKUP('Données projet'!$B$12,Paramètres!$A$1:$I$89,3,0)*VLOOKUP('Données projet'!$B$12,Paramètres!$A$1:$I$89,5,0)</f>
        <v>351.99684000000008</v>
      </c>
      <c r="CA82" s="13">
        <f t="shared" si="93"/>
        <v>81.973545093885605</v>
      </c>
      <c r="CB82" s="20">
        <f t="shared" si="64"/>
        <v>755.83175403851749</v>
      </c>
      <c r="CC82" s="59">
        <f t="shared" si="65"/>
        <v>1049.1650873718509</v>
      </c>
      <c r="CD82" s="59">
        <f ca="1">AVERAGE(OFFSET($CC$3,0,0,'Données projet'!$E$12+1,1))-AVERAGE(OFFSET($H$3,0,0,'Données projet'!$E$12+1,1))</f>
        <v>609.40025883662452</v>
      </c>
      <c r="CE82" s="59">
        <f t="shared" si="94"/>
        <v>294.48909834404577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1.0133183393333425</v>
      </c>
      <c r="CM82" s="21">
        <f>EXP(-LN(2)/2)*CM81+(1-EXP(-LN(2)/2))/(LN(2)/2)*CG82*CJ82*VLOOKUP('Données projet'!$B$12,Paramètres!$A$1:$I$89,3,0)*0.475*44/12</f>
        <v>3.3111731044464439E-7</v>
      </c>
      <c r="CN82" s="22">
        <f t="shared" si="66"/>
        <v>1.0133186704506529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17</v>
      </c>
      <c r="CT82" s="12">
        <f>IF('Données projet'!$A$140&gt;35,CT81+CS82-DB81,IF(A82&lt;'Données projet'!$A$140,$CQ$205^A82,IF(A82='Données projet'!$A$140,'Données projet'!$B$140,CT81+CS82-DB81)))</f>
        <v>515.99999999999989</v>
      </c>
      <c r="CU82" s="17">
        <f>CT82*VLOOKUP('Données projet'!$B$13,Paramètres!$A$1:$I$89,3,0)*VLOOKUP('Données projet'!$B$13,Paramètres!$A$1:$I$89,5,0)</f>
        <v>241.48799999999997</v>
      </c>
      <c r="CV82" s="13">
        <f t="shared" si="95"/>
        <v>58.759565673424916</v>
      </c>
      <c r="CW82" s="20">
        <f t="shared" si="67"/>
        <v>522.93117688121504</v>
      </c>
      <c r="CX82" s="59">
        <f t="shared" si="68"/>
        <v>816.26451021454841</v>
      </c>
      <c r="CY82" s="59">
        <f ca="1">AVERAGE(OFFSET($CX$3,0,0,'Données projet'!$E$13+1,1))-AVERAGE(OFFSET($H$3,0,0,'Données projet'!$E$13+1,1))</f>
        <v>346.16623654404509</v>
      </c>
      <c r="CZ82" s="59">
        <f t="shared" si="96"/>
        <v>281.80933156559087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1.1877843157395676</v>
      </c>
      <c r="DG82" s="21">
        <f>EXP(-LN(2)/25)*DG81+(1-EXP(-LN(2)/25))/(LN(2)/25)*Calculateur!DB82*Calculateur!DD82*VLOOKUP('Données projet'!$B$13,Paramètres!$A$1:$I$89,3,0)*0.475*44/12</f>
        <v>2.0190778792860757</v>
      </c>
      <c r="DH82" s="21">
        <f>EXP(-LN(2)/2)*DH81+(1-EXP(-LN(2)/2))/(LN(2)/2)*DB82*DE82*VLOOKUP('Données projet'!$B$13,Paramètres!$A$1:$I$89,3,0)*0.475*44/12</f>
        <v>4.1439525264741046E-7</v>
      </c>
      <c r="DI82" s="22">
        <f t="shared" si="69"/>
        <v>3.2068626094208961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5.0999999999999996</v>
      </c>
      <c r="DO82" s="12">
        <f>IF('Données projet'!$A$166&gt;35,DO81+DN82-DW81,IF(A82&lt;'Données projet'!$A$166,$DL$205^A82,IF(A82='Données projet'!$A$166,'Données projet'!$B$166,DO81+DN82-DW81)))</f>
        <v>381.9000000000006</v>
      </c>
      <c r="DP82" s="17">
        <f>DO82*VLOOKUP('Données projet'!$B$14,Paramètres!$A$1:$I$89,3,0)*VLOOKUP('Données projet'!$B$14,Paramètres!$A$1:$I$89,5,0)</f>
        <v>238.3056000000004</v>
      </c>
      <c r="DQ82" s="13">
        <f t="shared" si="97"/>
        <v>58.074821878967199</v>
      </c>
      <c r="DR82" s="20">
        <f t="shared" si="70"/>
        <v>516.19590143920186</v>
      </c>
      <c r="DS82" s="59">
        <f t="shared" si="71"/>
        <v>809.52923477253512</v>
      </c>
      <c r="DT82" s="59">
        <f ca="1">AVERAGE(OFFSET($DS$3,0,0,'Données projet'!$E$14+1,1))-AVERAGE(OFFSET($H$3,0,0,'Données projet'!$E$14+1,1))</f>
        <v>319.97171762304686</v>
      </c>
      <c r="DU82" s="59">
        <f t="shared" si="98"/>
        <v>337.89345858359621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2.6348156736548134</v>
      </c>
      <c r="EB82" s="21">
        <f>EXP(-LN(2)/25)*EB81+(1-EXP(-LN(2)/25))/(LN(2)/25)*Calculateur!DW82*Calculateur!DY82*VLOOKUP('Données projet'!$B$14,Paramètres!$A$1:$I$89,3,0)*0.475*44/12</f>
        <v>5.3430840281917025</v>
      </c>
      <c r="EC82" s="21">
        <f>EXP(-LN(2)/2)*EC81+(1-EXP(-LN(2)/2))/(LN(2)/2)*DW82*DZ82*VLOOKUP('Données projet'!$B$14,Paramètres!$A$1:$I$89,3,0)*0.475*44/12</f>
        <v>8.5097924234649107E-7</v>
      </c>
      <c r="ED82" s="22">
        <f t="shared" si="72"/>
        <v>7.9779005528257585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>
        <f>EJ82*VLOOKUP('Données projet'!$B$15,Paramètres!$A$1:$I$89,3,0)*VLOOKUP('Données projet'!$B$15,Paramètres!$A$1:$I$89,5,0)</f>
        <v>0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258.46015871559956</v>
      </c>
      <c r="EP82" s="59">
        <f t="shared" si="100"/>
        <v>280.26155987300996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2.3540079436254899</v>
      </c>
      <c r="EW82" s="21">
        <f>EXP(-LN(2)/25)*EW81+(1-EXP(-LN(2)/25))/(LN(2)/25)*Calculateur!ER82*Calculateur!ET82*VLOOKUP('Données projet'!$B$15,Paramètres!$A$1:$I$89,3,0)*0.475*44/12</f>
        <v>3.1693876345259153</v>
      </c>
      <c r="EX82" s="21">
        <f>EXP(-LN(2)/2)*EX81+(1-EXP(-LN(2)/2))/(LN(2)/2)*ER82*EU82*VLOOKUP('Données projet'!$B$15,Paramètres!$A$1:$I$89,3,0)*0.475*44/12</f>
        <v>2.2951877152703496E-7</v>
      </c>
      <c r="EY82" s="22">
        <f t="shared" si="75"/>
        <v>5.5233958076701759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261</v>
      </c>
      <c r="L83" s="12">
        <f>VLOOKUP(A83,'Données projet'!$A$35:$I$55,9,0)</f>
        <v>4.2</v>
      </c>
      <c r="M83" s="12">
        <f t="array" ref="M83">INDEX(L:L,MIN(IF(ISNUMBER(L83:L279),ROW(L83:L279),"")))</f>
        <v>4.2</v>
      </c>
      <c r="N83" s="13">
        <f>IF('Données projet'!$A$36&gt;35,N82+M83-V82,IF(A83&lt;'Données projet'!$A$36,$K$205^A83,IF(A83='Données projet'!$A$36,'Données projet'!$B$36,N82+M83-V82)))</f>
        <v>261.00000000000006</v>
      </c>
      <c r="O83" s="13">
        <f>N83*VLOOKUP('Données projet'!$B$9,Paramètres!$A$1:$I$89,3,0)*VLOOKUP('Données projet'!$B$9,Paramètres!$A$1:$I$89,5,0)</f>
        <v>228.00960000000009</v>
      </c>
      <c r="P83" s="13">
        <f t="shared" si="87"/>
        <v>55.852093054619878</v>
      </c>
      <c r="Q83" s="20">
        <f t="shared" si="54"/>
        <v>494.3924487367965</v>
      </c>
      <c r="R83" s="59">
        <f t="shared" si="55"/>
        <v>787.72578207012975</v>
      </c>
      <c r="S83" s="59">
        <f ca="1">AVERAGE(OFFSET($R$3,0,0,'Données projet'!$E$9+1,1))-AVERAGE(OFFSET($H$3,0,0,'Données projet'!$E$9+1,1))</f>
        <v>368.41876532159154</v>
      </c>
      <c r="T83" s="59">
        <f t="shared" si="88"/>
        <v>369.39570124551125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31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2.2878152694944638</v>
      </c>
      <c r="AA83" s="21">
        <f>EXP(-LN(2)/25)*AA82+(1-EXP(-LN(2)/25))/(LN(2)/25)*Calculateur!V83*Calculateur!X83*VLOOKUP('Données projet'!$B$9,Paramètres!$A$1:$I$89,3,0)*0.475*44/12</f>
        <v>4.0552501742338158</v>
      </c>
      <c r="AB83" s="21">
        <f>EXP(-LN(2)/2)*AB82+(1-EXP(-LN(2)/2))/(LN(2)/2)*V83*Y83*VLOOKUP('Données projet'!$B$9,Paramètres!$A$1:$I$89,3,0)*0.475*44/12</f>
        <v>5.2960636204316721E-7</v>
      </c>
      <c r="AC83" s="22">
        <f t="shared" si="57"/>
        <v>6.3430659733346424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342</v>
      </c>
      <c r="AG83" s="12">
        <f>VLOOKUP(A83,'Données projet'!$A$61:$I$81,9,0)</f>
        <v>3.9</v>
      </c>
      <c r="AH83" s="12">
        <f t="array" ref="AH83">INDEX(AG:AG,MIN(IF(ISNUMBER(AG83:AG279),ROW(AG83:AG279),"")))</f>
        <v>3.9</v>
      </c>
      <c r="AI83" s="13">
        <f>IF('Données projet'!$A$62&gt;35,AI82+AH83-AQ82,IF(A83&lt;'Données projet'!$A$62,$AF$205^A83,IF(A83='Données projet'!$A$62,'Données projet'!$B$62,AI82+AH83-AQ82)))</f>
        <v>341.99999999999949</v>
      </c>
      <c r="AJ83" s="13">
        <f>AI83*VLOOKUP('Données projet'!$B$10,Paramètres!$A$1:$I$89,3,0)*VLOOKUP('Données projet'!$B$10,Paramètres!$A$1:$I$89,5,0)</f>
        <v>298.77119999999957</v>
      </c>
      <c r="AK83" s="13">
        <f t="shared" si="89"/>
        <v>70.918798293732621</v>
      </c>
      <c r="AL83" s="20">
        <f t="shared" si="58"/>
        <v>643.87674702825018</v>
      </c>
      <c r="AM83" s="59">
        <f t="shared" si="59"/>
        <v>937.21008036158355</v>
      </c>
      <c r="AN83" s="59">
        <f ca="1">AVERAGE(OFFSET($AM$3,0,0,'Données projet'!$E$10+1,1))-AVERAGE(OFFSET($H$3,0,0,'Données projet'!$E$10+1,1))</f>
        <v>402.82278346470082</v>
      </c>
      <c r="AO83" s="59">
        <f t="shared" si="90"/>
        <v>440.17787299198977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342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1.3310390421298626</v>
      </c>
      <c r="AV83" s="21">
        <f>EXP(-LN(2)/25)*AV82+(1-EXP(-LN(2)/25))/(LN(2)/25)*Calculateur!AQ83*Calculateur!AS83*VLOOKUP('Données projet'!$B$10,Paramètres!$A$1:$I$89,3,0)*0.475*44/12</f>
        <v>5.6328321205325116</v>
      </c>
      <c r="AW83" s="21">
        <f>EXP(-LN(2)/2)*AW82+(1-EXP(-LN(2)/2))/(LN(2)/2)*AQ83*AT83*VLOOKUP('Données projet'!$B$10,Paramètres!$A$1:$I$89,3,0)*0.475*44/12</f>
        <v>7.866562103257515E-7</v>
      </c>
      <c r="AX83" s="21">
        <f t="shared" si="60"/>
        <v>6.9638719493185848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348</v>
      </c>
      <c r="BB83" s="12">
        <f>VLOOKUP(A83,'Données projet'!$A$87:$I$107,9,0)</f>
        <v>7.4</v>
      </c>
      <c r="BC83" s="12">
        <f t="array" ref="BC83">INDEX(BB:BB,MIN(IF(ISNUMBER(BB83:BB279),ROW(BB83:BB279),"")))</f>
        <v>7.4</v>
      </c>
      <c r="BD83" s="12">
        <f>IF('Données projet'!$A$88&gt;35,BD82+BC83-BL82,IF(A83&lt;'Données projet'!$A$88,$BA$205^A83,IF(A83='Données projet'!$A$88,'Données projet'!$B$88,BD82+BC83-BL82)))</f>
        <v>347.99999999999977</v>
      </c>
      <c r="BE83" s="13">
        <f>BD83*VLOOKUP('Données projet'!$B$11,Paramètres!$A$1:$I$89,3,0)*VLOOKUP('Données projet'!$B$11,Paramètres!$A$1:$I$89,5,0)</f>
        <v>314.87039999999979</v>
      </c>
      <c r="BF83" s="13">
        <f t="shared" si="91"/>
        <v>74.285038887149881</v>
      </c>
      <c r="BG83" s="20">
        <f t="shared" si="61"/>
        <v>677.7790560617857</v>
      </c>
      <c r="BH83" s="59">
        <f t="shared" si="62"/>
        <v>971.11238939511895</v>
      </c>
      <c r="BI83" s="59">
        <f ca="1">AVERAGE(OFFSET($BH$3,0,0,'Données projet'!$E$11+1,1))-AVERAGE(OFFSET($H$3,0,0,'Données projet'!$E$11+1,1))</f>
        <v>469.68830256438338</v>
      </c>
      <c r="BJ83" s="59">
        <f t="shared" si="92"/>
        <v>332.61387922152159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56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0.8947739544668134</v>
      </c>
      <c r="BQ83" s="21">
        <f>EXP(-LN(2)/25)*BQ82+(1-EXP(-LN(2)/25))/(LN(2)/25)*Calculateur!BL83*Calculateur!BN83*VLOOKUP('Données projet'!$B$11,Paramètres!$A$1:$I$89,3,0)*0.475*44/12</f>
        <v>2.8207046001274385</v>
      </c>
      <c r="BR83" s="21">
        <f>EXP(-LN(2)/2)*BR82+(1-EXP(-LN(2)/2))/(LN(2)/2)*BL83*BO83*VLOOKUP('Données projet'!$B$11,Paramètres!$A$1:$I$89,3,0)*0.475*44/12</f>
        <v>6.4233949107249562E-7</v>
      </c>
      <c r="BS83" s="22">
        <f t="shared" si="63"/>
        <v>3.7154791969337428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379</v>
      </c>
      <c r="BW83" s="12">
        <f>VLOOKUP(A83,'Données projet'!$A$113:$I$133,9,0)</f>
        <v>9.1</v>
      </c>
      <c r="BX83" s="12">
        <f t="array" ref="BX83">INDEX(BW:BW,MIN(IF(ISNUMBER(BW83:BW279),ROW(BW83:BW279),"")))</f>
        <v>9.1</v>
      </c>
      <c r="BY83" s="12">
        <f>IF('Données projet'!$A$114&gt;35,BY82+BX83-CG82,IF(A83&lt;'Données projet'!$A$114,$BV$205^A83,IF(A83='Données projet'!$A$114,'Données projet'!$B$114,BY82+BX83-CG82)))</f>
        <v>379.00000000000011</v>
      </c>
      <c r="BZ83" s="13">
        <f>BY83*VLOOKUP('Données projet'!$B$12,Paramètres!$A$1:$I$89,3,0)*VLOOKUP('Données projet'!$B$12,Paramètres!$A$1:$I$89,5,0)</f>
        <v>360.65640000000008</v>
      </c>
      <c r="CA83" s="13">
        <f t="shared" si="93"/>
        <v>83.752929778395327</v>
      </c>
      <c r="CB83" s="20">
        <f t="shared" si="64"/>
        <v>774.01291603070547</v>
      </c>
      <c r="CC83" s="59">
        <f t="shared" si="65"/>
        <v>1067.3462493640388</v>
      </c>
      <c r="CD83" s="59">
        <f ca="1">AVERAGE(OFFSET($CC$3,0,0,'Données projet'!$E$12+1,1))-AVERAGE(OFFSET($H$3,0,0,'Données projet'!$E$12+1,1))</f>
        <v>609.40025883662452</v>
      </c>
      <c r="CE83" s="59">
        <f t="shared" si="94"/>
        <v>294.48909834404577</v>
      </c>
      <c r="CF83" s="15">
        <f>IF(ISNA(VLOOKUP(A83,'Données projet'!$A$113:$I$133,3,0)),0,VLOOKUP(A83,'Données projet'!$A$113:$I$133,3,0))</f>
        <v>6</v>
      </c>
      <c r="CG83" s="15">
        <f>IF(ISNA(VLOOKUP(A83,'Données projet'!$A$113:$I$133,4,0)),0,VLOOKUP(A83,'Données projet'!$A$113:$I$133,4,0))</f>
        <v>56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0.98560909605617675</v>
      </c>
      <c r="CM83" s="21">
        <f>EXP(-LN(2)/2)*CM82+(1-EXP(-LN(2)/2))/(LN(2)/2)*CG83*CJ83*VLOOKUP('Données projet'!$B$12,Paramètres!$A$1:$I$89,3,0)*0.475*44/12</f>
        <v>2.3413529558365931E-7</v>
      </c>
      <c r="CN83" s="22">
        <f t="shared" si="66"/>
        <v>0.98560933019147234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533</v>
      </c>
      <c r="CR83" s="12">
        <f>VLOOKUP(A83,'Données projet'!$A$139:$I$159,9,0)</f>
        <v>17</v>
      </c>
      <c r="CS83" s="12">
        <f t="array" ref="CS83">INDEX(CR:CR,MIN(IF(ISNUMBER(CR83:CR279),ROW(CR83:CR279),"")))</f>
        <v>17</v>
      </c>
      <c r="CT83" s="12">
        <f>IF('Données projet'!$A$140&gt;35,CT82+CS83-DB82,IF(A83&lt;'Données projet'!$A$140,$CQ$205^A83,IF(A83='Données projet'!$A$140,'Données projet'!$B$140,CT82+CS83-DB82)))</f>
        <v>532.99999999999989</v>
      </c>
      <c r="CU83" s="17">
        <f>CT83*VLOOKUP('Données projet'!$B$13,Paramètres!$A$1:$I$89,3,0)*VLOOKUP('Données projet'!$B$13,Paramètres!$A$1:$I$89,5,0)</f>
        <v>249.44399999999993</v>
      </c>
      <c r="CV83" s="13">
        <f t="shared" si="95"/>
        <v>60.466866397117599</v>
      </c>
      <c r="CW83" s="20">
        <f t="shared" si="67"/>
        <v>539.76142564164627</v>
      </c>
      <c r="CX83" s="59">
        <f t="shared" si="68"/>
        <v>833.09475897497964</v>
      </c>
      <c r="CY83" s="59">
        <f ca="1">AVERAGE(OFFSET($CX$3,0,0,'Données projet'!$E$13+1,1))-AVERAGE(OFFSET($H$3,0,0,'Données projet'!$E$13+1,1))</f>
        <v>346.16623654404509</v>
      </c>
      <c r="CZ83" s="59">
        <f t="shared" si="96"/>
        <v>281.80933156559087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83.4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1.1644925897848111</v>
      </c>
      <c r="DG83" s="21">
        <f>EXP(-LN(2)/25)*DG82+(1-EXP(-LN(2)/25))/(LN(2)/25)*Calculateur!DB83*Calculateur!DD83*VLOOKUP('Données projet'!$B$13,Paramètres!$A$1:$I$89,3,0)*0.475*44/12</f>
        <v>1.963866088498307</v>
      </c>
      <c r="DH83" s="21">
        <f>EXP(-LN(2)/2)*DH82+(1-EXP(-LN(2)/2))/(LN(2)/2)*DB83*DE83*VLOOKUP('Données projet'!$B$13,Paramètres!$A$1:$I$89,3,0)*0.475*44/12</f>
        <v>2.9302169323849654E-7</v>
      </c>
      <c r="DI83" s="22">
        <f t="shared" si="69"/>
        <v>3.1283589713048112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387</v>
      </c>
      <c r="DM83" s="12">
        <f>VLOOKUP(A83,'Données projet'!$A$165:$I$185,9,0)</f>
        <v>5.0999999999999996</v>
      </c>
      <c r="DN83" s="12">
        <f t="array" ref="DN83">INDEX(DM:DM,MIN(IF(ISNUMBER(DM83:DM279),ROW(DM83:DM279),"")))</f>
        <v>5.0999999999999996</v>
      </c>
      <c r="DO83" s="12">
        <f>IF('Données projet'!$A$166&gt;35,DO82+DN83-DW82,IF(A83&lt;'Données projet'!$A$166,$DL$205^A83,IF(A83='Données projet'!$A$166,'Données projet'!$B$166,DO82+DN83-DW82)))</f>
        <v>387.00000000000063</v>
      </c>
      <c r="DP83" s="17">
        <f>DO83*VLOOKUP('Données projet'!$B$14,Paramètres!$A$1:$I$89,3,0)*VLOOKUP('Données projet'!$B$14,Paramètres!$A$1:$I$89,5,0)</f>
        <v>241.4880000000004</v>
      </c>
      <c r="DQ83" s="13">
        <f t="shared" si="97"/>
        <v>58.759565673425016</v>
      </c>
      <c r="DR83" s="20">
        <f t="shared" si="70"/>
        <v>522.93117688121595</v>
      </c>
      <c r="DS83" s="59">
        <f t="shared" si="71"/>
        <v>816.26451021454932</v>
      </c>
      <c r="DT83" s="59">
        <f ca="1">AVERAGE(OFFSET($DS$3,0,0,'Données projet'!$E$14+1,1))-AVERAGE(OFFSET($H$3,0,0,'Données projet'!$E$14+1,1))</f>
        <v>319.97171762304686</v>
      </c>
      <c r="DU83" s="59">
        <f t="shared" si="98"/>
        <v>337.89345858359621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387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2.5831485453733176</v>
      </c>
      <c r="EB83" s="21">
        <f>EXP(-LN(2)/25)*EB82+(1-EXP(-LN(2)/25))/(LN(2)/25)*Calculateur!DW83*Calculateur!DY83*VLOOKUP('Données projet'!$B$14,Paramètres!$A$1:$I$89,3,0)*0.475*44/12</f>
        <v>5.196977114460223</v>
      </c>
      <c r="EC83" s="21">
        <f>EXP(-LN(2)/2)*EC82+(1-EXP(-LN(2)/2))/(LN(2)/2)*DW83*DZ83*VLOOKUP('Données projet'!$B$14,Paramètres!$A$1:$I$89,3,0)*0.475*44/12</f>
        <v>6.0173319291219425E-7</v>
      </c>
      <c r="ED83" s="22">
        <f t="shared" si="72"/>
        <v>7.7801262615667337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>
        <f>EJ83*VLOOKUP('Données projet'!$B$15,Paramètres!$A$1:$I$89,3,0)*VLOOKUP('Données projet'!$B$15,Paramètres!$A$1:$I$89,5,0)</f>
        <v>0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258.46015871559956</v>
      </c>
      <c r="EP83" s="59">
        <f t="shared" si="100"/>
        <v>280.26155987300996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2.3078472836540658</v>
      </c>
      <c r="EW83" s="21">
        <f>EXP(-LN(2)/25)*EW82+(1-EXP(-LN(2)/25))/(LN(2)/25)*Calculateur!ER83*Calculateur!ET83*VLOOKUP('Données projet'!$B$15,Paramètres!$A$1:$I$89,3,0)*0.475*44/12</f>
        <v>3.082720562988952</v>
      </c>
      <c r="EX83" s="21">
        <f>EXP(-LN(2)/2)*EX82+(1-EXP(-LN(2)/2))/(LN(2)/2)*ER83*EU83*VLOOKUP('Données projet'!$B$15,Paramètres!$A$1:$I$89,3,0)*0.475*44/12</f>
        <v>1.622942797563723E-7</v>
      </c>
      <c r="EY83" s="22">
        <f t="shared" si="75"/>
        <v>5.3905680089372972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3.3</v>
      </c>
      <c r="N84" s="13">
        <f>IF('Données projet'!$A$36&gt;35,N83+M84-V83,IF(A84&lt;'Données projet'!$A$36,$K$205^A84,IF(A84='Données projet'!$A$36,'Données projet'!$B$36,N83+M84-V83)))</f>
        <v>233.30000000000007</v>
      </c>
      <c r="O84" s="13">
        <f>N84*VLOOKUP('Données projet'!$B$9,Paramètres!$A$1:$I$89,3,0)*VLOOKUP('Données projet'!$B$9,Paramètres!$A$1:$I$89,5,0)</f>
        <v>203.81088000000008</v>
      </c>
      <c r="P84" s="13">
        <f t="shared" si="87"/>
        <v>50.580761548728177</v>
      </c>
      <c r="Q84" s="20">
        <f t="shared" si="54"/>
        <v>443.06544236403505</v>
      </c>
      <c r="R84" s="59">
        <f t="shared" si="55"/>
        <v>736.39877569736836</v>
      </c>
      <c r="S84" s="59">
        <f ca="1">AVERAGE(OFFSET($R$3,0,0,'Données projet'!$E$9+1,1))-AVERAGE(OFFSET($H$3,0,0,'Données projet'!$E$9+1,1))</f>
        <v>368.41876532159154</v>
      </c>
      <c r="T84" s="59">
        <f t="shared" si="88"/>
        <v>369.39570124551125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2.2429526074892046</v>
      </c>
      <c r="AA84" s="21">
        <f>EXP(-LN(2)/25)*AA83+(1-EXP(-LN(2)/25))/(LN(2)/25)*Calculateur!V84*Calculateur!X84*VLOOKUP('Données projet'!$B$9,Paramètres!$A$1:$I$89,3,0)*0.475*44/12</f>
        <v>3.944359144963054</v>
      </c>
      <c r="AB84" s="21">
        <f>EXP(-LN(2)/2)*AB83+(1-EXP(-LN(2)/2))/(LN(2)/2)*V84*Y84*VLOOKUP('Données projet'!$B$9,Paramètres!$A$1:$I$89,3,0)*0.475*44/12</f>
        <v>3.7448824996026131E-7</v>
      </c>
      <c r="AC84" s="22">
        <f t="shared" si="57"/>
        <v>6.1873121269405083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-5.1159076974727213E-13</v>
      </c>
      <c r="AJ84" s="13">
        <f>AI84*VLOOKUP('Données projet'!$B$10,Paramètres!$A$1:$I$89,3,0)*VLOOKUP('Données projet'!$B$10,Paramètres!$A$1:$I$89,5,0)</f>
        <v>-4.4692569645121704E-13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402.82278346470082</v>
      </c>
      <c r="AO84" s="59">
        <f t="shared" si="90"/>
        <v>440.17787299198977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1.3049381783673477</v>
      </c>
      <c r="AV84" s="21">
        <f>EXP(-LN(2)/25)*AV83+(1-EXP(-LN(2)/25))/(LN(2)/25)*Calculateur!AQ84*Calculateur!AS84*VLOOKUP('Données projet'!$B$10,Paramètres!$A$1:$I$89,3,0)*0.475*44/12</f>
        <v>5.478802029978783</v>
      </c>
      <c r="AW84" s="21">
        <f>EXP(-LN(2)/2)*AW83+(1-EXP(-LN(2)/2))/(LN(2)/2)*AQ84*AT84*VLOOKUP('Données projet'!$B$10,Paramètres!$A$1:$I$89,3,0)*0.475*44/12</f>
        <v>5.5624994078384986E-7</v>
      </c>
      <c r="AX84" s="21">
        <f t="shared" si="60"/>
        <v>6.7837407645960717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6.6</v>
      </c>
      <c r="BD84" s="12">
        <f>IF('Données projet'!$A$88&gt;35,BD83+BC84-BL83,IF(A84&lt;'Données projet'!$A$88,$BA$205^A84,IF(A84='Données projet'!$A$88,'Données projet'!$B$88,BD83+BC84-BL83)))</f>
        <v>298.5999999999998</v>
      </c>
      <c r="BE84" s="13">
        <f>BD84*VLOOKUP('Données projet'!$B$11,Paramètres!$A$1:$I$89,3,0)*VLOOKUP('Données projet'!$B$11,Paramètres!$A$1:$I$89,5,0)</f>
        <v>270.17327999999981</v>
      </c>
      <c r="BF84" s="13">
        <f t="shared" si="91"/>
        <v>64.886042303882988</v>
      </c>
      <c r="BG84" s="20">
        <f t="shared" si="61"/>
        <v>583.56165301259591</v>
      </c>
      <c r="BH84" s="59">
        <f t="shared" si="62"/>
        <v>876.89498634592928</v>
      </c>
      <c r="BI84" s="59">
        <f ca="1">AVERAGE(OFFSET($BH$3,0,0,'Données projet'!$E$11+1,1))-AVERAGE(OFFSET($H$3,0,0,'Données projet'!$E$11+1,1))</f>
        <v>469.68830256438338</v>
      </c>
      <c r="BJ84" s="59">
        <f t="shared" si="92"/>
        <v>332.61387922152159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0.87722798297794224</v>
      </c>
      <c r="BQ84" s="21">
        <f>EXP(-LN(2)/25)*BQ83+(1-EXP(-LN(2)/25))/(LN(2)/25)*Calculateur!BL84*Calculateur!BN84*VLOOKUP('Données projet'!$B$11,Paramètres!$A$1:$I$89,3,0)*0.475*44/12</f>
        <v>2.7435722845025454</v>
      </c>
      <c r="BR84" s="21">
        <f>EXP(-LN(2)/2)*BR83+(1-EXP(-LN(2)/2))/(LN(2)/2)*BL84*BO84*VLOOKUP('Données projet'!$B$11,Paramètres!$A$1:$I$89,3,0)*0.475*44/12</f>
        <v>4.5420260996127749E-7</v>
      </c>
      <c r="BS84" s="22">
        <f t="shared" si="63"/>
        <v>3.6208007216830973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8.1</v>
      </c>
      <c r="BY84" s="12">
        <f>IF('Données projet'!$A$114&gt;35,BY83+BX84-CG83,IF(A84&lt;'Données projet'!$A$114,$BV$205^A84,IF(A84='Données projet'!$A$114,'Données projet'!$B$114,BY83+BX84-CG83)))</f>
        <v>331.10000000000014</v>
      </c>
      <c r="BZ84" s="13">
        <f>BY84*VLOOKUP('Données projet'!$B$12,Paramètres!$A$1:$I$89,3,0)*VLOOKUP('Données projet'!$B$12,Paramètres!$A$1:$I$89,5,0)</f>
        <v>315.07476000000014</v>
      </c>
      <c r="CA84" s="13">
        <f t="shared" si="93"/>
        <v>74.327638408484418</v>
      </c>
      <c r="CB84" s="20">
        <f t="shared" si="64"/>
        <v>678.20917722811055</v>
      </c>
      <c r="CC84" s="59">
        <f t="shared" si="65"/>
        <v>971.54251056144381</v>
      </c>
      <c r="CD84" s="59">
        <f ca="1">AVERAGE(OFFSET($CC$3,0,0,'Données projet'!$E$12+1,1))-AVERAGE(OFFSET($H$3,0,0,'Données projet'!$E$12+1,1))</f>
        <v>609.40025883662452</v>
      </c>
      <c r="CE84" s="59">
        <f t="shared" si="94"/>
        <v>294.48909834404577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0.95865756349359088</v>
      </c>
      <c r="CM84" s="21">
        <f>EXP(-LN(2)/2)*CM83+(1-EXP(-LN(2)/2))/(LN(2)/2)*CG84*CJ84*VLOOKUP('Données projet'!$B$12,Paramètres!$A$1:$I$89,3,0)*0.475*44/12</f>
        <v>1.6555865522232222E-7</v>
      </c>
      <c r="CN84" s="22">
        <f t="shared" si="66"/>
        <v>0.95865772905224611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17.5</v>
      </c>
      <c r="CT84" s="12">
        <f>IF('Données projet'!$A$140&gt;35,CT83+CS84-DB83,IF(A84&lt;'Données projet'!$A$140,$CQ$205^A84,IF(A84='Données projet'!$A$140,'Données projet'!$B$140,CT83+CS84-DB83)))</f>
        <v>467.09999999999991</v>
      </c>
      <c r="CU84" s="17">
        <f>CT84*VLOOKUP('Données projet'!$B$13,Paramètres!$A$1:$I$89,3,0)*VLOOKUP('Données projet'!$B$13,Paramètres!$A$1:$I$89,5,0)</f>
        <v>218.60279999999995</v>
      </c>
      <c r="CV84" s="13">
        <f t="shared" si="95"/>
        <v>53.811098692658383</v>
      </c>
      <c r="CW84" s="20">
        <f t="shared" si="67"/>
        <v>474.45420688971325</v>
      </c>
      <c r="CX84" s="59">
        <f t="shared" si="68"/>
        <v>767.78754022304656</v>
      </c>
      <c r="CY84" s="59">
        <f ca="1">AVERAGE(OFFSET($CX$3,0,0,'Données projet'!$E$13+1,1))-AVERAGE(OFFSET($H$3,0,0,'Données projet'!$E$13+1,1))</f>
        <v>346.16623654404509</v>
      </c>
      <c r="CZ84" s="59">
        <f t="shared" si="96"/>
        <v>281.80933156559087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1.1416576003694774</v>
      </c>
      <c r="DG84" s="21">
        <f>EXP(-LN(2)/25)*DG83+(1-EXP(-LN(2)/25))/(LN(2)/25)*Calculateur!DB84*Calculateur!DD84*VLOOKUP('Données projet'!$B$13,Paramètres!$A$1:$I$89,3,0)*0.475*44/12</f>
        <v>1.9101640670330917</v>
      </c>
      <c r="DH84" s="21">
        <f>EXP(-LN(2)/2)*DH83+(1-EXP(-LN(2)/2))/(LN(2)/2)*DB84*DE84*VLOOKUP('Données projet'!$B$13,Paramètres!$A$1:$I$89,3,0)*0.475*44/12</f>
        <v>2.0719762632370523E-7</v>
      </c>
      <c r="DI84" s="22">
        <f t="shared" si="69"/>
        <v>3.0518218746001953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6.2527760746888816E-13</v>
      </c>
      <c r="DP84" s="17">
        <f>DO84*VLOOKUP('Données projet'!$B$14,Paramètres!$A$1:$I$89,3,0)*VLOOKUP('Données projet'!$B$14,Paramètres!$A$1:$I$89,5,0)</f>
        <v>3.9017322706058616E-13</v>
      </c>
      <c r="DQ84" s="13">
        <f t="shared" si="97"/>
        <v>5.0025007393608908E-12</v>
      </c>
      <c r="DR84" s="20">
        <f t="shared" si="70"/>
        <v>9.3922404915174053E-12</v>
      </c>
      <c r="DS84" s="59">
        <f t="shared" si="71"/>
        <v>293.33333333334269</v>
      </c>
      <c r="DT84" s="59">
        <f ca="1">AVERAGE(OFFSET($DS$3,0,0,'Données projet'!$E$14+1,1))-AVERAGE(OFFSET($H$3,0,0,'Données projet'!$E$14+1,1))</f>
        <v>319.97171762304686</v>
      </c>
      <c r="DU84" s="59">
        <f t="shared" si="98"/>
        <v>337.89345858359621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2.5324945779635852</v>
      </c>
      <c r="EB84" s="21">
        <f>EXP(-LN(2)/25)*EB83+(1-EXP(-LN(2)/25))/(LN(2)/25)*Calculateur!DW84*Calculateur!DY84*VLOOKUP('Données projet'!$B$14,Paramètres!$A$1:$I$89,3,0)*0.475*44/12</f>
        <v>5.0548655019681599</v>
      </c>
      <c r="EC84" s="21">
        <f>EXP(-LN(2)/2)*EC83+(1-EXP(-LN(2)/2))/(LN(2)/2)*DW84*DZ84*VLOOKUP('Données projet'!$B$14,Paramètres!$A$1:$I$89,3,0)*0.475*44/12</f>
        <v>4.2548962117324554E-7</v>
      </c>
      <c r="ED84" s="22">
        <f t="shared" si="72"/>
        <v>7.5873605054213664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>
        <f>EJ84*VLOOKUP('Données projet'!$B$15,Paramètres!$A$1:$I$89,3,0)*VLOOKUP('Données projet'!$B$15,Paramètres!$A$1:$I$89,5,0)</f>
        <v>0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258.46015871559956</v>
      </c>
      <c r="EP84" s="59">
        <f t="shared" si="100"/>
        <v>280.26155987300996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2.2625918060694588</v>
      </c>
      <c r="EW84" s="21">
        <f>EXP(-LN(2)/25)*EW83+(1-EXP(-LN(2)/25))/(LN(2)/25)*Calculateur!ER84*Calculateur!ET84*VLOOKUP('Données projet'!$B$15,Paramètres!$A$1:$I$89,3,0)*0.475*44/12</f>
        <v>2.9984234070807902</v>
      </c>
      <c r="EX84" s="21">
        <f>EXP(-LN(2)/2)*EX83+(1-EXP(-LN(2)/2))/(LN(2)/2)*ER84*EU84*VLOOKUP('Données projet'!$B$15,Paramètres!$A$1:$I$89,3,0)*0.475*44/12</f>
        <v>1.1475938576351748E-7</v>
      </c>
      <c r="EY84" s="22">
        <f t="shared" si="75"/>
        <v>5.261015327909635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3.3</v>
      </c>
      <c r="N85" s="13">
        <f>IF('Données projet'!$A$36&gt;35,N84+M85-V84,IF(A85&lt;'Données projet'!$A$36,$K$205^A85,IF(A85='Données projet'!$A$36,'Données projet'!$B$36,N84+M85-V84)))</f>
        <v>236.60000000000008</v>
      </c>
      <c r="O85" s="13">
        <f>N85*VLOOKUP('Données projet'!$B$9,Paramètres!$A$1:$I$89,3,0)*VLOOKUP('Données projet'!$B$9,Paramètres!$A$1:$I$89,5,0)</f>
        <v>206.69376000000011</v>
      </c>
      <c r="P85" s="13">
        <f t="shared" si="87"/>
        <v>51.212423138937325</v>
      </c>
      <c r="Q85" s="20">
        <f t="shared" si="54"/>
        <v>449.186602300316</v>
      </c>
      <c r="R85" s="59">
        <f t="shared" si="55"/>
        <v>742.51993563364931</v>
      </c>
      <c r="S85" s="59">
        <f ca="1">AVERAGE(OFFSET($R$3,0,0,'Données projet'!$E$9+1,1))-AVERAGE(OFFSET($H$3,0,0,'Données projet'!$E$9+1,1))</f>
        <v>368.41876532159154</v>
      </c>
      <c r="T85" s="59">
        <f t="shared" si="88"/>
        <v>369.39570124551125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2.1989696749223464</v>
      </c>
      <c r="AA85" s="21">
        <f>EXP(-LN(2)/25)*AA84+(1-EXP(-LN(2)/25))/(LN(2)/25)*Calculateur!V85*Calculateur!X85*VLOOKUP('Données projet'!$B$9,Paramètres!$A$1:$I$89,3,0)*0.475*44/12</f>
        <v>3.8365004367192066</v>
      </c>
      <c r="AB85" s="21">
        <f>EXP(-LN(2)/2)*AB84+(1-EXP(-LN(2)/2))/(LN(2)/2)*V85*Y85*VLOOKUP('Données projet'!$B$9,Paramètres!$A$1:$I$89,3,0)*0.475*44/12</f>
        <v>2.648031810215836E-7</v>
      </c>
      <c r="AC85" s="22">
        <f t="shared" si="57"/>
        <v>6.0354703764447342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-5.1159076974727213E-13</v>
      </c>
      <c r="AJ85" s="13">
        <f>AI85*VLOOKUP('Données projet'!$B$10,Paramètres!$A$1:$I$89,3,0)*VLOOKUP('Données projet'!$B$10,Paramètres!$A$1:$I$89,5,0)</f>
        <v>-4.4692569645121704E-13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402.82278346470082</v>
      </c>
      <c r="AO85" s="59">
        <f t="shared" si="90"/>
        <v>440.17787299198977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1.279349136623261</v>
      </c>
      <c r="AV85" s="21">
        <f>EXP(-LN(2)/25)*AV84+(1-EXP(-LN(2)/25))/(LN(2)/25)*Calculateur!AQ85*Calculateur!AS85*VLOOKUP('Données projet'!$B$10,Paramètres!$A$1:$I$89,3,0)*0.475*44/12</f>
        <v>5.3289839003513366</v>
      </c>
      <c r="AW85" s="21">
        <f>EXP(-LN(2)/2)*AW84+(1-EXP(-LN(2)/2))/(LN(2)/2)*AQ85*AT85*VLOOKUP('Données projet'!$B$10,Paramètres!$A$1:$I$89,3,0)*0.475*44/12</f>
        <v>3.9332810516287575E-7</v>
      </c>
      <c r="AX85" s="21">
        <f t="shared" si="60"/>
        <v>6.6083334303027028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6.6</v>
      </c>
      <c r="BD85" s="12">
        <f>IF('Données projet'!$A$88&gt;35,BD84+BC85-BL84,IF(A85&lt;'Données projet'!$A$88,$BA$205^A85,IF(A85='Données projet'!$A$88,'Données projet'!$B$88,BD84+BC85-BL84)))</f>
        <v>305.19999999999982</v>
      </c>
      <c r="BE85" s="13">
        <f>BD85*VLOOKUP('Données projet'!$B$11,Paramètres!$A$1:$I$89,3,0)*VLOOKUP('Données projet'!$B$11,Paramètres!$A$1:$I$89,5,0)</f>
        <v>276.1449599999998</v>
      </c>
      <c r="BF85" s="13">
        <f t="shared" si="91"/>
        <v>66.151671938851194</v>
      </c>
      <c r="BG85" s="20">
        <f t="shared" si="61"/>
        <v>596.16663396016543</v>
      </c>
      <c r="BH85" s="59">
        <f t="shared" si="62"/>
        <v>889.49996729349868</v>
      </c>
      <c r="BI85" s="59">
        <f ca="1">AVERAGE(OFFSET($BH$3,0,0,'Données projet'!$E$11+1,1))-AVERAGE(OFFSET($H$3,0,0,'Données projet'!$E$11+1,1))</f>
        <v>469.68830256438338</v>
      </c>
      <c r="BJ85" s="59">
        <f t="shared" si="92"/>
        <v>332.61387922152159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0.86002607728798197</v>
      </c>
      <c r="BQ85" s="21">
        <f>EXP(-LN(2)/25)*BQ84+(1-EXP(-LN(2)/25))/(LN(2)/25)*Calculateur!BL85*Calculateur!BN85*VLOOKUP('Données projet'!$B$11,Paramètres!$A$1:$I$89,3,0)*0.475*44/12</f>
        <v>2.6685491561046275</v>
      </c>
      <c r="BR85" s="21">
        <f>EXP(-LN(2)/2)*BR84+(1-EXP(-LN(2)/2))/(LN(2)/2)*BL85*BO85*VLOOKUP('Données projet'!$B$11,Paramètres!$A$1:$I$89,3,0)*0.475*44/12</f>
        <v>3.2116974553624786E-7</v>
      </c>
      <c r="BS85" s="22">
        <f t="shared" si="63"/>
        <v>3.5285755545623547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8.1</v>
      </c>
      <c r="BY85" s="12">
        <f>IF('Données projet'!$A$114&gt;35,BY84+BX85-CG84,IF(A85&lt;'Données projet'!$A$114,$BV$205^A85,IF(A85='Données projet'!$A$114,'Données projet'!$B$114,BY84+BX85-CG84)))</f>
        <v>339.20000000000016</v>
      </c>
      <c r="BZ85" s="13">
        <f>BY85*VLOOKUP('Données projet'!$B$12,Paramètres!$A$1:$I$89,3,0)*VLOOKUP('Données projet'!$B$12,Paramètres!$A$1:$I$89,5,0)</f>
        <v>322.78272000000015</v>
      </c>
      <c r="CA85" s="13">
        <f t="shared" si="93"/>
        <v>75.932060584990055</v>
      </c>
      <c r="CB85" s="20">
        <f t="shared" si="64"/>
        <v>694.42824285219115</v>
      </c>
      <c r="CC85" s="59">
        <f t="shared" si="65"/>
        <v>987.76157618552452</v>
      </c>
      <c r="CD85" s="59">
        <f ca="1">AVERAGE(OFFSET($CC$3,0,0,'Données projet'!$E$12+1,1))-AVERAGE(OFFSET($H$3,0,0,'Données projet'!$E$12+1,1))</f>
        <v>609.40025883662452</v>
      </c>
      <c r="CE85" s="59">
        <f t="shared" si="94"/>
        <v>294.48909834404577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0.9324430220062484</v>
      </c>
      <c r="CM85" s="21">
        <f>EXP(-LN(2)/2)*CM84+(1-EXP(-LN(2)/2))/(LN(2)/2)*CG85*CJ85*VLOOKUP('Données projet'!$B$12,Paramètres!$A$1:$I$89,3,0)*0.475*44/12</f>
        <v>1.1706764779182967E-7</v>
      </c>
      <c r="CN85" s="22">
        <f t="shared" si="66"/>
        <v>0.9324431390738962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17.5</v>
      </c>
      <c r="CT85" s="12">
        <f>IF('Données projet'!$A$140&gt;35,CT84+CS85-DB84,IF(A85&lt;'Données projet'!$A$140,$CQ$205^A85,IF(A85='Données projet'!$A$140,'Données projet'!$B$140,CT84+CS85-DB84)))</f>
        <v>484.59999999999991</v>
      </c>
      <c r="CU85" s="17">
        <f>CT85*VLOOKUP('Données projet'!$B$13,Paramètres!$A$1:$I$89,3,0)*VLOOKUP('Données projet'!$B$13,Paramètres!$A$1:$I$89,5,0)</f>
        <v>226.79279999999994</v>
      </c>
      <c r="CV85" s="13">
        <f t="shared" si="95"/>
        <v>55.588644170072158</v>
      </c>
      <c r="CW85" s="20">
        <f t="shared" si="67"/>
        <v>491.8143485962089</v>
      </c>
      <c r="CX85" s="59">
        <f t="shared" si="68"/>
        <v>785.14768192954216</v>
      </c>
      <c r="CY85" s="59">
        <f ca="1">AVERAGE(OFFSET($CX$3,0,0,'Données projet'!$E$13+1,1))-AVERAGE(OFFSET($H$3,0,0,'Données projet'!$E$13+1,1))</f>
        <v>346.16623654404509</v>
      </c>
      <c r="CZ85" s="59">
        <f t="shared" si="96"/>
        <v>281.80933156559087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1.1192703911686102</v>
      </c>
      <c r="DG85" s="21">
        <f>EXP(-LN(2)/25)*DG84+(1-EXP(-LN(2)/25))/(LN(2)/25)*Calculateur!DB85*Calculateur!DD85*VLOOKUP('Données projet'!$B$13,Paramètres!$A$1:$I$89,3,0)*0.475*44/12</f>
        <v>1.8579305301689093</v>
      </c>
      <c r="DH85" s="21">
        <f>EXP(-LN(2)/2)*DH84+(1-EXP(-LN(2)/2))/(LN(2)/2)*DB85*DE85*VLOOKUP('Données projet'!$B$13,Paramètres!$A$1:$I$89,3,0)*0.475*44/12</f>
        <v>1.4651084661924827E-7</v>
      </c>
      <c r="DI85" s="22">
        <f t="shared" si="69"/>
        <v>2.977201067848366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6.2527760746888816E-13</v>
      </c>
      <c r="DP85" s="17">
        <f>DO85*VLOOKUP('Données projet'!$B$14,Paramètres!$A$1:$I$89,3,0)*VLOOKUP('Données projet'!$B$14,Paramètres!$A$1:$I$89,5,0)</f>
        <v>3.9017322706058616E-13</v>
      </c>
      <c r="DQ85" s="13">
        <f t="shared" si="97"/>
        <v>5.0025007393608908E-12</v>
      </c>
      <c r="DR85" s="20">
        <f t="shared" si="70"/>
        <v>9.3922404915174053E-12</v>
      </c>
      <c r="DS85" s="59">
        <f t="shared" si="71"/>
        <v>293.33333333334269</v>
      </c>
      <c r="DT85" s="59">
        <f ca="1">AVERAGE(OFFSET($DS$3,0,0,'Données projet'!$E$14+1,1))-AVERAGE(OFFSET($H$3,0,0,'Données projet'!$E$14+1,1))</f>
        <v>319.97171762304686</v>
      </c>
      <c r="DU85" s="59">
        <f t="shared" si="98"/>
        <v>337.89345858359621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2.4828339039588885</v>
      </c>
      <c r="EB85" s="21">
        <f>EXP(-LN(2)/25)*EB84+(1-EXP(-LN(2)/25))/(LN(2)/25)*Calculateur!DW85*Calculateur!DY85*VLOOKUP('Données projet'!$B$14,Paramètres!$A$1:$I$89,3,0)*0.475*44/12</f>
        <v>4.9166399389930167</v>
      </c>
      <c r="EC85" s="21">
        <f>EXP(-LN(2)/2)*EC84+(1-EXP(-LN(2)/2))/(LN(2)/2)*DW85*DZ85*VLOOKUP('Données projet'!$B$14,Paramètres!$A$1:$I$89,3,0)*0.475*44/12</f>
        <v>3.0086659645609713E-7</v>
      </c>
      <c r="ED85" s="22">
        <f t="shared" si="72"/>
        <v>7.3994741438185017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>
        <f>EJ85*VLOOKUP('Données projet'!$B$15,Paramètres!$A$1:$I$89,3,0)*VLOOKUP('Données projet'!$B$15,Paramètres!$A$1:$I$89,5,0)</f>
        <v>0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258.46015871559956</v>
      </c>
      <c r="EP85" s="59">
        <f t="shared" si="100"/>
        <v>280.26155987300996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2.2182237607971702</v>
      </c>
      <c r="EW85" s="21">
        <f>EXP(-LN(2)/25)*EW84+(1-EXP(-LN(2)/25))/(LN(2)/25)*Calculateur!ER85*Calculateur!ET85*VLOOKUP('Données projet'!$B$15,Paramètres!$A$1:$I$89,3,0)*0.475*44/12</f>
        <v>2.9164313613339319</v>
      </c>
      <c r="EX85" s="21">
        <f>EXP(-LN(2)/2)*EX84+(1-EXP(-LN(2)/2))/(LN(2)/2)*ER85*EU85*VLOOKUP('Données projet'!$B$15,Paramètres!$A$1:$I$89,3,0)*0.475*44/12</f>
        <v>8.1147139878186151E-8</v>
      </c>
      <c r="EY85" s="22">
        <f t="shared" si="75"/>
        <v>5.1346552032782418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3.3</v>
      </c>
      <c r="N86" s="13">
        <f>IF('Données projet'!$A$36&gt;35,N85+M86-V85,IF(A86&lt;'Données projet'!$A$36,$K$205^A86,IF(A86='Données projet'!$A$36,'Données projet'!$B$36,N85+M86-V85)))</f>
        <v>239.90000000000009</v>
      </c>
      <c r="O86" s="13">
        <f>N86*VLOOKUP('Données projet'!$B$9,Paramètres!$A$1:$I$89,3,0)*VLOOKUP('Données projet'!$B$9,Paramètres!$A$1:$I$89,5,0)</f>
        <v>209.57664000000008</v>
      </c>
      <c r="P86" s="13">
        <f t="shared" si="87"/>
        <v>51.843060023692438</v>
      </c>
      <c r="Q86" s="20">
        <f t="shared" si="54"/>
        <v>455.30597754126444</v>
      </c>
      <c r="R86" s="59">
        <f t="shared" si="55"/>
        <v>748.63931087459775</v>
      </c>
      <c r="S86" s="59">
        <f ca="1">AVERAGE(OFFSET($R$3,0,0,'Données projet'!$E$9+1,1))-AVERAGE(OFFSET($H$3,0,0,'Données projet'!$E$9+1,1))</f>
        <v>368.41876532159154</v>
      </c>
      <c r="T86" s="59">
        <f t="shared" si="88"/>
        <v>369.39570124551125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2.1558492208361844</v>
      </c>
      <c r="AA86" s="21">
        <f>EXP(-LN(2)/25)*AA85+(1-EXP(-LN(2)/25))/(LN(2)/25)*Calculateur!V86*Calculateur!X86*VLOOKUP('Données projet'!$B$9,Paramètres!$A$1:$I$89,3,0)*0.475*44/12</f>
        <v>3.7315911305243303</v>
      </c>
      <c r="AB86" s="21">
        <f>EXP(-LN(2)/2)*AB85+(1-EXP(-LN(2)/2))/(LN(2)/2)*V86*Y86*VLOOKUP('Données projet'!$B$9,Paramètres!$A$1:$I$89,3,0)*0.475*44/12</f>
        <v>1.8724412498013065E-7</v>
      </c>
      <c r="AC86" s="22">
        <f t="shared" si="57"/>
        <v>5.8874405386046398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-5.1159076974727213E-13</v>
      </c>
      <c r="AJ86" s="13">
        <f>AI86*VLOOKUP('Données projet'!$B$10,Paramètres!$A$1:$I$89,3,0)*VLOOKUP('Données projet'!$B$10,Paramètres!$A$1:$I$89,5,0)</f>
        <v>-4.4692569645121704E-13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402.82278346470082</v>
      </c>
      <c r="AO86" s="59">
        <f t="shared" si="90"/>
        <v>440.17787299198977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1.2542618803800014</v>
      </c>
      <c r="AV86" s="21">
        <f>EXP(-LN(2)/25)*AV85+(1-EXP(-LN(2)/25))/(LN(2)/25)*Calculateur!AQ86*Calculateur!AS86*VLOOKUP('Données projet'!$B$10,Paramètres!$A$1:$I$89,3,0)*0.475*44/12</f>
        <v>5.1832625553571452</v>
      </c>
      <c r="AW86" s="21">
        <f>EXP(-LN(2)/2)*AW85+(1-EXP(-LN(2)/2))/(LN(2)/2)*AQ86*AT86*VLOOKUP('Données projet'!$B$10,Paramètres!$A$1:$I$89,3,0)*0.475*44/12</f>
        <v>2.7812497039192493E-7</v>
      </c>
      <c r="AX86" s="21">
        <f t="shared" si="60"/>
        <v>6.4375247138621168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6.6</v>
      </c>
      <c r="BD86" s="12">
        <f>IF('Données projet'!$A$88&gt;35,BD85+BC86-BL85,IF(A86&lt;'Données projet'!$A$88,$BA$205^A86,IF(A86='Données projet'!$A$88,'Données projet'!$B$88,BD85+BC86-BL85)))</f>
        <v>311.79999999999984</v>
      </c>
      <c r="BE86" s="13">
        <f>BD86*VLOOKUP('Données projet'!$B$11,Paramètres!$A$1:$I$89,3,0)*VLOOKUP('Données projet'!$B$11,Paramètres!$A$1:$I$89,5,0)</f>
        <v>282.11663999999985</v>
      </c>
      <c r="BF86" s="13">
        <f t="shared" si="91"/>
        <v>67.414119514142243</v>
      </c>
      <c r="BG86" s="20">
        <f t="shared" si="61"/>
        <v>608.76607282046416</v>
      </c>
      <c r="BH86" s="59">
        <f t="shared" si="62"/>
        <v>902.09940615379742</v>
      </c>
      <c r="BI86" s="59">
        <f ca="1">AVERAGE(OFFSET($BH$3,0,0,'Données projet'!$E$11+1,1))-AVERAGE(OFFSET($H$3,0,0,'Données projet'!$E$11+1,1))</f>
        <v>469.68830256438338</v>
      </c>
      <c r="BJ86" s="59">
        <f t="shared" si="92"/>
        <v>332.61387922152159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0.84316149047647537</v>
      </c>
      <c r="BQ86" s="21">
        <f>EXP(-LN(2)/25)*BQ85+(1-EXP(-LN(2)/25))/(LN(2)/25)*Calculateur!BL86*Calculateur!BN86*VLOOKUP('Données projet'!$B$11,Paramètres!$A$1:$I$89,3,0)*0.475*44/12</f>
        <v>2.5955775390980453</v>
      </c>
      <c r="BR86" s="21">
        <f>EXP(-LN(2)/2)*BR85+(1-EXP(-LN(2)/2))/(LN(2)/2)*BL86*BO86*VLOOKUP('Données projet'!$B$11,Paramètres!$A$1:$I$89,3,0)*0.475*44/12</f>
        <v>2.2710130498063877E-7</v>
      </c>
      <c r="BS86" s="22">
        <f t="shared" si="63"/>
        <v>3.4387392566758255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8.1</v>
      </c>
      <c r="BY86" s="12">
        <f>IF('Données projet'!$A$114&gt;35,BY85+BX86-CG85,IF(A86&lt;'Données projet'!$A$114,$BV$205^A86,IF(A86='Données projet'!$A$114,'Données projet'!$B$114,BY85+BX86-CG85)))</f>
        <v>347.30000000000018</v>
      </c>
      <c r="BZ86" s="13">
        <f>BY86*VLOOKUP('Données projet'!$B$12,Paramètres!$A$1:$I$89,3,0)*VLOOKUP('Données projet'!$B$12,Paramètres!$A$1:$I$89,5,0)</f>
        <v>330.49068000000017</v>
      </c>
      <c r="CA86" s="13">
        <f t="shared" si="93"/>
        <v>77.532028856033449</v>
      </c>
      <c r="CB86" s="20">
        <f t="shared" si="64"/>
        <v>710.63955125759185</v>
      </c>
      <c r="CC86" s="59">
        <f t="shared" si="65"/>
        <v>1003.9728845909251</v>
      </c>
      <c r="CD86" s="59">
        <f ca="1">AVERAGE(OFFSET($CC$3,0,0,'Données projet'!$E$12+1,1))-AVERAGE(OFFSET($H$3,0,0,'Données projet'!$E$12+1,1))</f>
        <v>609.40025883662452</v>
      </c>
      <c r="CE86" s="59">
        <f t="shared" si="94"/>
        <v>294.48909834404577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0.90694531853444016</v>
      </c>
      <c r="CM86" s="21">
        <f>EXP(-LN(2)/2)*CM85+(1-EXP(-LN(2)/2))/(LN(2)/2)*CG86*CJ86*VLOOKUP('Données projet'!$B$12,Paramètres!$A$1:$I$89,3,0)*0.475*44/12</f>
        <v>8.2779327611161123E-8</v>
      </c>
      <c r="CN86" s="22">
        <f t="shared" si="66"/>
        <v>0.90694540131376777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17.5</v>
      </c>
      <c r="CT86" s="12">
        <f>IF('Données projet'!$A$140&gt;35,CT85+CS86-DB85,IF(A86&lt;'Données projet'!$A$140,$CQ$205^A86,IF(A86='Données projet'!$A$140,'Données projet'!$B$140,CT85+CS86-DB85)))</f>
        <v>502.09999999999991</v>
      </c>
      <c r="CU86" s="17">
        <f>CT86*VLOOKUP('Données projet'!$B$13,Paramètres!$A$1:$I$89,3,0)*VLOOKUP('Données projet'!$B$13,Paramètres!$A$1:$I$89,5,0)</f>
        <v>234.98279999999997</v>
      </c>
      <c r="CV86" s="13">
        <f t="shared" si="95"/>
        <v>57.358731763746825</v>
      </c>
      <c r="CW86" s="20">
        <f t="shared" si="67"/>
        <v>509.16150115519235</v>
      </c>
      <c r="CX86" s="59">
        <f t="shared" si="68"/>
        <v>802.49483448852561</v>
      </c>
      <c r="CY86" s="59">
        <f ca="1">AVERAGE(OFFSET($CX$3,0,0,'Données projet'!$E$13+1,1))-AVERAGE(OFFSET($H$3,0,0,'Données projet'!$E$13+1,1))</f>
        <v>346.16623654404509</v>
      </c>
      <c r="CZ86" s="59">
        <f t="shared" si="96"/>
        <v>281.80933156559087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1.0973221814853225</v>
      </c>
      <c r="DG86" s="21">
        <f>EXP(-LN(2)/25)*DG85+(1-EXP(-LN(2)/25))/(LN(2)/25)*Calculateur!DB86*Calculateur!DD86*VLOOKUP('Données projet'!$B$13,Paramètres!$A$1:$I$89,3,0)*0.475*44/12</f>
        <v>1.8071253221171202</v>
      </c>
      <c r="DH86" s="21">
        <f>EXP(-LN(2)/2)*DH85+(1-EXP(-LN(2)/2))/(LN(2)/2)*DB86*DE86*VLOOKUP('Données projet'!$B$13,Paramètres!$A$1:$I$89,3,0)*0.475*44/12</f>
        <v>1.0359881316185261E-7</v>
      </c>
      <c r="DI86" s="22">
        <f t="shared" si="69"/>
        <v>2.9044476072012557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6.2527760746888816E-13</v>
      </c>
      <c r="DP86" s="17">
        <f>DO86*VLOOKUP('Données projet'!$B$14,Paramètres!$A$1:$I$89,3,0)*VLOOKUP('Données projet'!$B$14,Paramètres!$A$1:$I$89,5,0)</f>
        <v>3.9017322706058616E-13</v>
      </c>
      <c r="DQ86" s="13">
        <f t="shared" si="97"/>
        <v>5.0025007393608908E-12</v>
      </c>
      <c r="DR86" s="20">
        <f t="shared" si="70"/>
        <v>9.3922404915174053E-12</v>
      </c>
      <c r="DS86" s="59">
        <f t="shared" si="71"/>
        <v>293.33333333334269</v>
      </c>
      <c r="DT86" s="59">
        <f ca="1">AVERAGE(OFFSET($DS$3,0,0,'Données projet'!$E$14+1,1))-AVERAGE(OFFSET($H$3,0,0,'Données projet'!$E$14+1,1))</f>
        <v>319.97171762304686</v>
      </c>
      <c r="DU86" s="59">
        <f t="shared" si="98"/>
        <v>337.89345858359621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2.4341470454814034</v>
      </c>
      <c r="EB86" s="21">
        <f>EXP(-LN(2)/25)*EB85+(1-EXP(-LN(2)/25))/(LN(2)/25)*Calculateur!DW86*Calculateur!DY86*VLOOKUP('Données projet'!$B$14,Paramètres!$A$1:$I$89,3,0)*0.475*44/12</f>
        <v>4.7821941613063954</v>
      </c>
      <c r="EC86" s="21">
        <f>EXP(-LN(2)/2)*EC85+(1-EXP(-LN(2)/2))/(LN(2)/2)*DW86*DZ86*VLOOKUP('Données projet'!$B$14,Paramètres!$A$1:$I$89,3,0)*0.475*44/12</f>
        <v>2.1274481058662277E-7</v>
      </c>
      <c r="ED86" s="22">
        <f t="shared" si="72"/>
        <v>7.2163414195326094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>
        <f>EJ86*VLOOKUP('Données projet'!$B$15,Paramètres!$A$1:$I$89,3,0)*VLOOKUP('Données projet'!$B$15,Paramètres!$A$1:$I$89,5,0)</f>
        <v>0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258.46015871559956</v>
      </c>
      <c r="EP86" s="59">
        <f t="shared" si="100"/>
        <v>280.26155987300996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2.1747257458308358</v>
      </c>
      <c r="EW86" s="21">
        <f>EXP(-LN(2)/25)*EW85+(1-EXP(-LN(2)/25))/(LN(2)/25)*Calculateur!ER86*Calculateur!ET86*VLOOKUP('Données projet'!$B$15,Paramètres!$A$1:$I$89,3,0)*0.475*44/12</f>
        <v>2.8366813923897958</v>
      </c>
      <c r="EX86" s="21">
        <f>EXP(-LN(2)/2)*EX85+(1-EXP(-LN(2)/2))/(LN(2)/2)*ER86*EU86*VLOOKUP('Données projet'!$B$15,Paramètres!$A$1:$I$89,3,0)*0.475*44/12</f>
        <v>5.737969288175874E-8</v>
      </c>
      <c r="EY86" s="22">
        <f t="shared" si="75"/>
        <v>5.0114071956003245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3.3</v>
      </c>
      <c r="N87" s="13">
        <f>IF('Données projet'!$A$36&gt;35,N86+M87-V86,IF(A87&lt;'Données projet'!$A$36,$K$205^A87,IF(A87='Données projet'!$A$36,'Données projet'!$B$36,N86+M87-V86)))</f>
        <v>243.2000000000001</v>
      </c>
      <c r="O87" s="13">
        <f>N87*VLOOKUP('Données projet'!$B$9,Paramètres!$A$1:$I$89,3,0)*VLOOKUP('Données projet'!$B$9,Paramètres!$A$1:$I$89,5,0)</f>
        <v>212.45952000000011</v>
      </c>
      <c r="P87" s="13">
        <f t="shared" si="87"/>
        <v>52.472687927697876</v>
      </c>
      <c r="Q87" s="20">
        <f t="shared" si="54"/>
        <v>461.42359547407392</v>
      </c>
      <c r="R87" s="59">
        <f t="shared" si="55"/>
        <v>754.75692880740723</v>
      </c>
      <c r="S87" s="59">
        <f ca="1">AVERAGE(OFFSET($R$3,0,0,'Données projet'!$E$9+1,1))-AVERAGE(OFFSET($H$3,0,0,'Données projet'!$E$9+1,1))</f>
        <v>368.41876532159154</v>
      </c>
      <c r="T87" s="59">
        <f t="shared" si="88"/>
        <v>369.39570124551125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2.1135743325537719</v>
      </c>
      <c r="AA87" s="21">
        <f>EXP(-LN(2)/25)*AA86+(1-EXP(-LN(2)/25))/(LN(2)/25)*Calculateur!V87*Calculateur!X87*VLOOKUP('Données projet'!$B$9,Paramètres!$A$1:$I$89,3,0)*0.475*44/12</f>
        <v>3.6295505748242936</v>
      </c>
      <c r="AB87" s="21">
        <f>EXP(-LN(2)/2)*AB86+(1-EXP(-LN(2)/2))/(LN(2)/2)*V87*Y87*VLOOKUP('Données projet'!$B$9,Paramètres!$A$1:$I$89,3,0)*0.475*44/12</f>
        <v>1.324015905107918E-7</v>
      </c>
      <c r="AC87" s="22">
        <f t="shared" si="57"/>
        <v>5.743125039779656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-5.1159076974727213E-13</v>
      </c>
      <c r="AJ87" s="13">
        <f>AI87*VLOOKUP('Données projet'!$B$10,Paramètres!$A$1:$I$89,3,0)*VLOOKUP('Données projet'!$B$10,Paramètres!$A$1:$I$89,5,0)</f>
        <v>-4.4692569645121704E-13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402.82278346470082</v>
      </c>
      <c r="AO87" s="59">
        <f t="shared" si="90"/>
        <v>440.17787299198977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1.2296665699299567</v>
      </c>
      <c r="AV87" s="21">
        <f>EXP(-LN(2)/25)*AV86+(1-EXP(-LN(2)/25))/(LN(2)/25)*Calculateur!AQ87*Calculateur!AS87*VLOOKUP('Données projet'!$B$10,Paramètres!$A$1:$I$89,3,0)*0.475*44/12</f>
        <v>5.0415259682049731</v>
      </c>
      <c r="AW87" s="21">
        <f>EXP(-LN(2)/2)*AW86+(1-EXP(-LN(2)/2))/(LN(2)/2)*AQ87*AT87*VLOOKUP('Données projet'!$B$10,Paramètres!$A$1:$I$89,3,0)*0.475*44/12</f>
        <v>1.9666405258143788E-7</v>
      </c>
      <c r="AX87" s="21">
        <f t="shared" si="60"/>
        <v>6.2711927347989818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6.6</v>
      </c>
      <c r="BD87" s="12">
        <f>IF('Données projet'!$A$88&gt;35,BD86+BC87-BL86,IF(A87&lt;'Données projet'!$A$88,$BA$205^A87,IF(A87='Données projet'!$A$88,'Données projet'!$B$88,BD86+BC87-BL86)))</f>
        <v>318.39999999999986</v>
      </c>
      <c r="BE87" s="13">
        <f>BD87*VLOOKUP('Données projet'!$B$11,Paramètres!$A$1:$I$89,3,0)*VLOOKUP('Données projet'!$B$11,Paramètres!$A$1:$I$89,5,0)</f>
        <v>288.0883199999999</v>
      </c>
      <c r="BF87" s="13">
        <f t="shared" si="91"/>
        <v>68.673460144735557</v>
      </c>
      <c r="BG87" s="20">
        <f t="shared" si="61"/>
        <v>621.36010041874761</v>
      </c>
      <c r="BH87" s="59">
        <f t="shared" si="62"/>
        <v>914.69343375208086</v>
      </c>
      <c r="BI87" s="59">
        <f ca="1">AVERAGE(OFFSET($BH$3,0,0,'Données projet'!$E$11+1,1))-AVERAGE(OFFSET($H$3,0,0,'Données projet'!$E$11+1,1))</f>
        <v>469.68830256438338</v>
      </c>
      <c r="BJ87" s="59">
        <f t="shared" si="92"/>
        <v>332.61387922152159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0.82662760792596013</v>
      </c>
      <c r="BQ87" s="21">
        <f>EXP(-LN(2)/25)*BQ86+(1-EXP(-LN(2)/25))/(LN(2)/25)*Calculateur!BL87*Calculateur!BN87*VLOOKUP('Données projet'!$B$11,Paramètres!$A$1:$I$89,3,0)*0.475*44/12</f>
        <v>2.5246013347959186</v>
      </c>
      <c r="BR87" s="21">
        <f>EXP(-LN(2)/2)*BR86+(1-EXP(-LN(2)/2))/(LN(2)/2)*BL87*BO87*VLOOKUP('Données projet'!$B$11,Paramètres!$A$1:$I$89,3,0)*0.475*44/12</f>
        <v>1.6058487276812396E-7</v>
      </c>
      <c r="BS87" s="22">
        <f t="shared" si="63"/>
        <v>3.3512291033067516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8.1</v>
      </c>
      <c r="BY87" s="12">
        <f>IF('Données projet'!$A$114&gt;35,BY86+BX87-CG86,IF(A87&lt;'Données projet'!$A$114,$BV$205^A87,IF(A87='Données projet'!$A$114,'Données projet'!$B$114,BY86+BX87-CG86)))</f>
        <v>355.4000000000002</v>
      </c>
      <c r="BZ87" s="13">
        <f>BY87*VLOOKUP('Données projet'!$B$12,Paramètres!$A$1:$I$89,3,0)*VLOOKUP('Données projet'!$B$12,Paramètres!$A$1:$I$89,5,0)</f>
        <v>338.19864000000018</v>
      </c>
      <c r="CA87" s="13">
        <f t="shared" si="93"/>
        <v>79.127659054341521</v>
      </c>
      <c r="CB87" s="20">
        <f t="shared" si="64"/>
        <v>726.84330418631168</v>
      </c>
      <c r="CC87" s="59">
        <f t="shared" si="65"/>
        <v>1020.1766375196451</v>
      </c>
      <c r="CD87" s="59">
        <f ca="1">AVERAGE(OFFSET($CC$3,0,0,'Données projet'!$E$12+1,1))-AVERAGE(OFFSET($H$3,0,0,'Données projet'!$E$12+1,1))</f>
        <v>609.40025883662452</v>
      </c>
      <c r="CE87" s="59">
        <f t="shared" si="94"/>
        <v>294.48909834404577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0.88214485110493446</v>
      </c>
      <c r="CM87" s="21">
        <f>EXP(-LN(2)/2)*CM86+(1-EXP(-LN(2)/2))/(LN(2)/2)*CG87*CJ87*VLOOKUP('Données projet'!$B$12,Paramètres!$A$1:$I$89,3,0)*0.475*44/12</f>
        <v>5.8533823895914841E-8</v>
      </c>
      <c r="CN87" s="22">
        <f t="shared" si="66"/>
        <v>0.88214490963875836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17.5</v>
      </c>
      <c r="CT87" s="12">
        <f>IF('Données projet'!$A$140&gt;35,CT86+CS87-DB86,IF(A87&lt;'Données projet'!$A$140,$CQ$205^A87,IF(A87='Données projet'!$A$140,'Données projet'!$B$140,CT86+CS87-DB86)))</f>
        <v>519.59999999999991</v>
      </c>
      <c r="CU87" s="17">
        <f>CT87*VLOOKUP('Données projet'!$B$13,Paramètres!$A$1:$I$89,3,0)*VLOOKUP('Données projet'!$B$13,Paramètres!$A$1:$I$89,5,0)</f>
        <v>243.17279999999994</v>
      </c>
      <c r="CV87" s="13">
        <f t="shared" si="95"/>
        <v>59.121651195612671</v>
      </c>
      <c r="CW87" s="20">
        <f t="shared" si="67"/>
        <v>526.49616916569187</v>
      </c>
      <c r="CX87" s="59">
        <f t="shared" si="68"/>
        <v>819.82950249902524</v>
      </c>
      <c r="CY87" s="59">
        <f ca="1">AVERAGE(OFFSET($CX$3,0,0,'Données projet'!$E$13+1,1))-AVERAGE(OFFSET($H$3,0,0,'Données projet'!$E$13+1,1))</f>
        <v>346.16623654404509</v>
      </c>
      <c r="CZ87" s="59">
        <f t="shared" si="96"/>
        <v>281.80933156559087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1.0758043628068381</v>
      </c>
      <c r="DG87" s="21">
        <f>EXP(-LN(2)/25)*DG86+(1-EXP(-LN(2)/25))/(LN(2)/25)*Calculateur!DB87*Calculateur!DD87*VLOOKUP('Données projet'!$B$13,Paramètres!$A$1:$I$89,3,0)*0.475*44/12</f>
        <v>1.7577093851512371</v>
      </c>
      <c r="DH87" s="21">
        <f>EXP(-LN(2)/2)*DH86+(1-EXP(-LN(2)/2))/(LN(2)/2)*DB87*DE87*VLOOKUP('Données projet'!$B$13,Paramètres!$A$1:$I$89,3,0)*0.475*44/12</f>
        <v>7.3255423309624135E-8</v>
      </c>
      <c r="DI87" s="22">
        <f t="shared" si="69"/>
        <v>2.8335138212134985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6.2527760746888816E-13</v>
      </c>
      <c r="DP87" s="17">
        <f>DO87*VLOOKUP('Données projet'!$B$14,Paramètres!$A$1:$I$89,3,0)*VLOOKUP('Données projet'!$B$14,Paramètres!$A$1:$I$89,5,0)</f>
        <v>3.9017322706058616E-13</v>
      </c>
      <c r="DQ87" s="13">
        <f t="shared" si="97"/>
        <v>5.0025007393608908E-12</v>
      </c>
      <c r="DR87" s="20">
        <f t="shared" si="70"/>
        <v>9.3922404915174053E-12</v>
      </c>
      <c r="DS87" s="59">
        <f t="shared" si="71"/>
        <v>293.33333333334269</v>
      </c>
      <c r="DT87" s="59">
        <f ca="1">AVERAGE(OFFSET($DS$3,0,0,'Données projet'!$E$14+1,1))-AVERAGE(OFFSET($H$3,0,0,'Données projet'!$E$14+1,1))</f>
        <v>319.97171762304686</v>
      </c>
      <c r="DU87" s="59">
        <f t="shared" si="98"/>
        <v>337.89345858359621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2.3864149066026106</v>
      </c>
      <c r="EB87" s="21">
        <f>EXP(-LN(2)/25)*EB86+(1-EXP(-LN(2)/25))/(LN(2)/25)*Calculateur!DW87*Calculateur!DY87*VLOOKUP('Données projet'!$B$14,Paramètres!$A$1:$I$89,3,0)*0.475*44/12</f>
        <v>4.6514248104808109</v>
      </c>
      <c r="EC87" s="21">
        <f>EXP(-LN(2)/2)*EC86+(1-EXP(-LN(2)/2))/(LN(2)/2)*DW87*DZ87*VLOOKUP('Données projet'!$B$14,Paramètres!$A$1:$I$89,3,0)*0.475*44/12</f>
        <v>1.5043329822804856E-7</v>
      </c>
      <c r="ED87" s="22">
        <f t="shared" si="72"/>
        <v>7.0378398675167197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>
        <f>EJ87*VLOOKUP('Données projet'!$B$15,Paramètres!$A$1:$I$89,3,0)*VLOOKUP('Données projet'!$B$15,Paramètres!$A$1:$I$89,5,0)</f>
        <v>0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258.46015871559956</v>
      </c>
      <c r="EP87" s="59">
        <f t="shared" si="100"/>
        <v>280.26155987300996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2.1320807004068216</v>
      </c>
      <c r="EW87" s="21">
        <f>EXP(-LN(2)/25)*EW86+(1-EXP(-LN(2)/25))/(LN(2)/25)*Calculateur!ER87*Calculateur!ET87*VLOOKUP('Données projet'!$B$15,Paramètres!$A$1:$I$89,3,0)*0.475*44/12</f>
        <v>2.7591121905403058</v>
      </c>
      <c r="EX87" s="21">
        <f>EXP(-LN(2)/2)*EX86+(1-EXP(-LN(2)/2))/(LN(2)/2)*ER87*EU87*VLOOKUP('Données projet'!$B$15,Paramètres!$A$1:$I$89,3,0)*0.475*44/12</f>
        <v>4.0573569939093075E-8</v>
      </c>
      <c r="EY87" s="22">
        <f t="shared" si="75"/>
        <v>4.8911929315206981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3.3</v>
      </c>
      <c r="N88" s="13">
        <f>IF('Données projet'!$A$36&gt;35,N87+M88-V87,IF(A88&lt;'Données projet'!$A$36,$K$205^A88,IF(A88='Données projet'!$A$36,'Données projet'!$B$36,N87+M88-V87)))</f>
        <v>246.50000000000011</v>
      </c>
      <c r="O88" s="13">
        <f>N88*VLOOKUP('Données projet'!$B$9,Paramètres!$A$1:$I$89,3,0)*VLOOKUP('Données projet'!$B$9,Paramètres!$A$1:$I$89,5,0)</f>
        <v>215.34240000000014</v>
      </c>
      <c r="P88" s="13">
        <f t="shared" si="87"/>
        <v>53.101322124397299</v>
      </c>
      <c r="Q88" s="20">
        <f t="shared" si="54"/>
        <v>467.53948269999211</v>
      </c>
      <c r="R88" s="59">
        <f t="shared" si="55"/>
        <v>760.87281603332542</v>
      </c>
      <c r="S88" s="59">
        <f ca="1">AVERAGE(OFFSET($R$3,0,0,'Données projet'!$E$9+1,1))-AVERAGE(OFFSET($H$3,0,0,'Données projet'!$E$9+1,1))</f>
        <v>368.41876532159154</v>
      </c>
      <c r="T88" s="59">
        <f t="shared" si="88"/>
        <v>369.39570124551125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2.072128429045442</v>
      </c>
      <c r="AA88" s="21">
        <f>EXP(-LN(2)/25)*AA87+(1-EXP(-LN(2)/25))/(LN(2)/25)*Calculateur!V88*Calculateur!X88*VLOOKUP('Données projet'!$B$9,Paramètres!$A$1:$I$89,3,0)*0.475*44/12</f>
        <v>3.530300323485954</v>
      </c>
      <c r="AB88" s="21">
        <f>EXP(-LN(2)/2)*AB87+(1-EXP(-LN(2)/2))/(LN(2)/2)*V88*Y88*VLOOKUP('Données projet'!$B$9,Paramètres!$A$1:$I$89,3,0)*0.475*44/12</f>
        <v>9.3622062490065327E-8</v>
      </c>
      <c r="AC88" s="22">
        <f t="shared" si="57"/>
        <v>5.6024288461534582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-5.1159076974727213E-13</v>
      </c>
      <c r="AJ88" s="13">
        <f>AI88*VLOOKUP('Données projet'!$B$10,Paramètres!$A$1:$I$89,3,0)*VLOOKUP('Données projet'!$B$10,Paramètres!$A$1:$I$89,5,0)</f>
        <v>-4.4692569645121704E-13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402.82278346470082</v>
      </c>
      <c r="AO88" s="59">
        <f t="shared" si="90"/>
        <v>440.17787299198977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1.2055535585161794</v>
      </c>
      <c r="AV88" s="21">
        <f>EXP(-LN(2)/25)*AV87+(1-EXP(-LN(2)/25))/(LN(2)/25)*Calculateur!AQ88*Calculateur!AS88*VLOOKUP('Données projet'!$B$10,Paramètres!$A$1:$I$89,3,0)*0.475*44/12</f>
        <v>4.9036651754820797</v>
      </c>
      <c r="AW88" s="21">
        <f>EXP(-LN(2)/2)*AW87+(1-EXP(-LN(2)/2))/(LN(2)/2)*AQ88*AT88*VLOOKUP('Données projet'!$B$10,Paramètres!$A$1:$I$89,3,0)*0.475*44/12</f>
        <v>1.3906248519596247E-7</v>
      </c>
      <c r="AX88" s="21">
        <f t="shared" si="60"/>
        <v>6.109218873060744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6.6</v>
      </c>
      <c r="BD88" s="12">
        <f>IF('Données projet'!$A$88&gt;35,BD87+BC88-BL87,IF(A88&lt;'Données projet'!$A$88,$BA$205^A88,IF(A88='Données projet'!$A$88,'Données projet'!$B$88,BD87+BC88-BL87)))</f>
        <v>324.99999999999989</v>
      </c>
      <c r="BE88" s="13">
        <f>BD88*VLOOKUP('Données projet'!$B$11,Paramètres!$A$1:$I$89,3,0)*VLOOKUP('Données projet'!$B$11,Paramètres!$A$1:$I$89,5,0)</f>
        <v>294.05999999999989</v>
      </c>
      <c r="BF88" s="13">
        <f t="shared" si="91"/>
        <v>69.929765653573313</v>
      </c>
      <c r="BG88" s="20">
        <f t="shared" si="61"/>
        <v>633.94884184663999</v>
      </c>
      <c r="BH88" s="59">
        <f t="shared" si="62"/>
        <v>927.28217517997336</v>
      </c>
      <c r="BI88" s="59">
        <f ca="1">AVERAGE(OFFSET($BH$3,0,0,'Données projet'!$E$11+1,1))-AVERAGE(OFFSET($H$3,0,0,'Données projet'!$E$11+1,1))</f>
        <v>469.68830256438338</v>
      </c>
      <c r="BJ88" s="59">
        <f t="shared" si="92"/>
        <v>332.61387922152159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0.81041794472758799</v>
      </c>
      <c r="BQ88" s="21">
        <f>EXP(-LN(2)/25)*BQ87+(1-EXP(-LN(2)/25))/(LN(2)/25)*Calculateur!BL88*Calculateur!BN88*VLOOKUP('Données projet'!$B$11,Paramètres!$A$1:$I$89,3,0)*0.475*44/12</f>
        <v>2.4555659785329103</v>
      </c>
      <c r="BR88" s="21">
        <f>EXP(-LN(2)/2)*BR87+(1-EXP(-LN(2)/2))/(LN(2)/2)*BL88*BO88*VLOOKUP('Données projet'!$B$11,Paramètres!$A$1:$I$89,3,0)*0.475*44/12</f>
        <v>1.1355065249031941E-7</v>
      </c>
      <c r="BS88" s="22">
        <f t="shared" si="63"/>
        <v>3.2659840368111506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8.1</v>
      </c>
      <c r="BY88" s="12">
        <f>IF('Données projet'!$A$114&gt;35,BY87+BX88-CG87,IF(A88&lt;'Données projet'!$A$114,$BV$205^A88,IF(A88='Données projet'!$A$114,'Données projet'!$B$114,BY87+BX88-CG87)))</f>
        <v>363.50000000000023</v>
      </c>
      <c r="BZ88" s="13">
        <f>BY88*VLOOKUP('Données projet'!$B$12,Paramètres!$A$1:$I$89,3,0)*VLOOKUP('Données projet'!$B$12,Paramètres!$A$1:$I$89,5,0)</f>
        <v>345.9066000000002</v>
      </c>
      <c r="CA88" s="13">
        <f t="shared" si="93"/>
        <v>80.719061431361865</v>
      </c>
      <c r="CB88" s="20">
        <f t="shared" si="64"/>
        <v>743.03969365962223</v>
      </c>
      <c r="CC88" s="59">
        <f t="shared" si="65"/>
        <v>1036.3730269929556</v>
      </c>
      <c r="CD88" s="59">
        <f ca="1">AVERAGE(OFFSET($CC$3,0,0,'Données projet'!$E$12+1,1))-AVERAGE(OFFSET($H$3,0,0,'Données projet'!$E$12+1,1))</f>
        <v>609.40025883662452</v>
      </c>
      <c r="CE88" s="59">
        <f t="shared" si="94"/>
        <v>294.48909834404577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0.8580225537614885</v>
      </c>
      <c r="CM88" s="21">
        <f>EXP(-LN(2)/2)*CM87+(1-EXP(-LN(2)/2))/(LN(2)/2)*CG88*CJ88*VLOOKUP('Données projet'!$B$12,Paramètres!$A$1:$I$89,3,0)*0.475*44/12</f>
        <v>4.1389663805580568E-8</v>
      </c>
      <c r="CN88" s="22">
        <f t="shared" si="66"/>
        <v>0.85802259515115231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17.5</v>
      </c>
      <c r="CT88" s="12">
        <f>IF('Données projet'!$A$140&gt;35,CT87+CS88-DB87,IF(A88&lt;'Données projet'!$A$140,$CQ$205^A88,IF(A88='Données projet'!$A$140,'Données projet'!$B$140,CT87+CS88-DB87)))</f>
        <v>537.09999999999991</v>
      </c>
      <c r="CU88" s="17">
        <f>CT88*VLOOKUP('Données projet'!$B$13,Paramètres!$A$1:$I$89,3,0)*VLOOKUP('Données projet'!$B$13,Paramètres!$A$1:$I$89,5,0)</f>
        <v>251.36279999999996</v>
      </c>
      <c r="CV88" s="13">
        <f t="shared" si="95"/>
        <v>60.877671564837158</v>
      </c>
      <c r="CW88" s="20">
        <f t="shared" si="67"/>
        <v>543.81882130875795</v>
      </c>
      <c r="CX88" s="59">
        <f t="shared" si="68"/>
        <v>837.15215464209132</v>
      </c>
      <c r="CY88" s="59">
        <f ca="1">AVERAGE(OFFSET($CX$3,0,0,'Données projet'!$E$13+1,1))-AVERAGE(OFFSET($H$3,0,0,'Données projet'!$E$13+1,1))</f>
        <v>346.16623654404509</v>
      </c>
      <c r="CZ88" s="59">
        <f t="shared" si="96"/>
        <v>281.80933156559087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1.0547084954280654</v>
      </c>
      <c r="DG88" s="21">
        <f>EXP(-LN(2)/25)*DG87+(1-EXP(-LN(2)/25))/(LN(2)/25)*Calculateur!DB88*Calculateur!DD88*VLOOKUP('Données projet'!$B$13,Paramètres!$A$1:$I$89,3,0)*0.475*44/12</f>
        <v>1.7096447295803572</v>
      </c>
      <c r="DH88" s="21">
        <f>EXP(-LN(2)/2)*DH87+(1-EXP(-LN(2)/2))/(LN(2)/2)*DB88*DE88*VLOOKUP('Données projet'!$B$13,Paramètres!$A$1:$I$89,3,0)*0.475*44/12</f>
        <v>5.1799406580926307E-8</v>
      </c>
      <c r="DI88" s="22">
        <f t="shared" si="69"/>
        <v>2.7643532768078289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6.2527760746888816E-13</v>
      </c>
      <c r="DP88" s="17">
        <f>DO88*VLOOKUP('Données projet'!$B$14,Paramètres!$A$1:$I$89,3,0)*VLOOKUP('Données projet'!$B$14,Paramètres!$A$1:$I$89,5,0)</f>
        <v>3.9017322706058616E-13</v>
      </c>
      <c r="DQ88" s="13">
        <f t="shared" si="97"/>
        <v>5.0025007393608908E-12</v>
      </c>
      <c r="DR88" s="20">
        <f t="shared" si="70"/>
        <v>9.3922404915174053E-12</v>
      </c>
      <c r="DS88" s="59">
        <f t="shared" si="71"/>
        <v>293.33333333334269</v>
      </c>
      <c r="DT88" s="59">
        <f ca="1">AVERAGE(OFFSET($DS$3,0,0,'Données projet'!$E$14+1,1))-AVERAGE(OFFSET($H$3,0,0,'Données projet'!$E$14+1,1))</f>
        <v>319.97171762304686</v>
      </c>
      <c r="DU88" s="59">
        <f t="shared" si="98"/>
        <v>337.89345858359621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2.3396187658535008</v>
      </c>
      <c r="EB88" s="21">
        <f>EXP(-LN(2)/25)*EB87+(1-EXP(-LN(2)/25))/(LN(2)/25)*Calculateur!DW88*Calculateur!DY88*VLOOKUP('Données projet'!$B$14,Paramètres!$A$1:$I$89,3,0)*0.475*44/12</f>
        <v>4.5242313544304134</v>
      </c>
      <c r="EC88" s="21">
        <f>EXP(-LN(2)/2)*EC87+(1-EXP(-LN(2)/2))/(LN(2)/2)*DW88*DZ88*VLOOKUP('Données projet'!$B$14,Paramètres!$A$1:$I$89,3,0)*0.475*44/12</f>
        <v>1.0637240529331138E-7</v>
      </c>
      <c r="ED88" s="22">
        <f t="shared" si="72"/>
        <v>6.8638502266563188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>
        <f>EJ88*VLOOKUP('Données projet'!$B$15,Paramètres!$A$1:$I$89,3,0)*VLOOKUP('Données projet'!$B$15,Paramètres!$A$1:$I$89,5,0)</f>
        <v>0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258.46015871559956</v>
      </c>
      <c r="EP88" s="59">
        <f t="shared" si="100"/>
        <v>280.26155987300996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2.0902718983126634</v>
      </c>
      <c r="EW88" s="21">
        <f>EXP(-LN(2)/25)*EW87+(1-EXP(-LN(2)/25))/(LN(2)/25)*Calculateur!ER88*Calculateur!ET88*VLOOKUP('Données projet'!$B$15,Paramètres!$A$1:$I$89,3,0)*0.475*44/12</f>
        <v>2.683664122594577</v>
      </c>
      <c r="EX88" s="21">
        <f>EXP(-LN(2)/2)*EX87+(1-EXP(-LN(2)/2))/(LN(2)/2)*ER88*EU88*VLOOKUP('Données projet'!$B$15,Paramètres!$A$1:$I$89,3,0)*0.475*44/12</f>
        <v>2.868984644087937E-8</v>
      </c>
      <c r="EY88" s="22">
        <f t="shared" si="75"/>
        <v>4.7739360495970864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3.3</v>
      </c>
      <c r="N89" s="13">
        <f>IF('Données projet'!$A$36&gt;35,N88+M89-V88,IF(A89&lt;'Données projet'!$A$36,$K$205^A89,IF(A89='Données projet'!$A$36,'Données projet'!$B$36,N88+M89-V88)))</f>
        <v>249.80000000000013</v>
      </c>
      <c r="O89" s="13">
        <f>N89*VLOOKUP('Données projet'!$B$9,Paramètres!$A$1:$I$89,3,0)*VLOOKUP('Données projet'!$B$9,Paramètres!$A$1:$I$89,5,0)</f>
        <v>218.22528000000014</v>
      </c>
      <c r="P89" s="13">
        <f t="shared" si="87"/>
        <v>53.72897745478825</v>
      </c>
      <c r="Q89" s="20">
        <f t="shared" si="54"/>
        <v>473.65366506708978</v>
      </c>
      <c r="R89" s="59">
        <f t="shared" si="55"/>
        <v>766.98699840042309</v>
      </c>
      <c r="S89" s="59">
        <f ca="1">AVERAGE(OFFSET($R$3,0,0,'Données projet'!$E$9+1,1))-AVERAGE(OFFSET($H$3,0,0,'Données projet'!$E$9+1,1))</f>
        <v>368.41876532159154</v>
      </c>
      <c r="T89" s="59">
        <f t="shared" si="88"/>
        <v>369.39570124551125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2.0314952544254057</v>
      </c>
      <c r="AA89" s="21">
        <f>EXP(-LN(2)/25)*AA88+(1-EXP(-LN(2)/25))/(LN(2)/25)*Calculateur!V89*Calculateur!X89*VLOOKUP('Données projet'!$B$9,Paramètres!$A$1:$I$89,3,0)*0.475*44/12</f>
        <v>3.4337640754898051</v>
      </c>
      <c r="AB89" s="21">
        <f>EXP(-LN(2)/2)*AB88+(1-EXP(-LN(2)/2))/(LN(2)/2)*V89*Y89*VLOOKUP('Données projet'!$B$9,Paramètres!$A$1:$I$89,3,0)*0.475*44/12</f>
        <v>6.6200795255395901E-8</v>
      </c>
      <c r="AC89" s="22">
        <f t="shared" si="57"/>
        <v>5.4652593961160063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-5.1159076974727213E-13</v>
      </c>
      <c r="AJ89" s="13">
        <f>AI89*VLOOKUP('Données projet'!$B$10,Paramètres!$A$1:$I$89,3,0)*VLOOKUP('Données projet'!$B$10,Paramètres!$A$1:$I$89,5,0)</f>
        <v>-4.4692569645121704E-13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402.82278346470082</v>
      </c>
      <c r="AO89" s="59">
        <f t="shared" si="90"/>
        <v>440.17787299198977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1.1819133885487414</v>
      </c>
      <c r="AV89" s="21">
        <f>EXP(-LN(2)/25)*AV88+(1-EXP(-LN(2)/25))/(LN(2)/25)*Calculateur!AQ89*Calculateur!AS89*VLOOKUP('Données projet'!$B$10,Paramètres!$A$1:$I$89,3,0)*0.475*44/12</f>
        <v>4.7695741933859779</v>
      </c>
      <c r="AW89" s="21">
        <f>EXP(-LN(2)/2)*AW88+(1-EXP(-LN(2)/2))/(LN(2)/2)*AQ89*AT89*VLOOKUP('Données projet'!$B$10,Paramètres!$A$1:$I$89,3,0)*0.475*44/12</f>
        <v>9.8332026290718938E-8</v>
      </c>
      <c r="AX89" s="21">
        <f t="shared" si="60"/>
        <v>5.9514876802667454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6.6</v>
      </c>
      <c r="BD89" s="12">
        <f>IF('Données projet'!$A$88&gt;35,BD88+BC89-BL88,IF(A89&lt;'Données projet'!$A$88,$BA$205^A89,IF(A89='Données projet'!$A$88,'Données projet'!$B$88,BD88+BC89-BL88)))</f>
        <v>331.59999999999991</v>
      </c>
      <c r="BE89" s="13">
        <f>BD89*VLOOKUP('Données projet'!$B$11,Paramètres!$A$1:$I$89,3,0)*VLOOKUP('Données projet'!$B$11,Paramètres!$A$1:$I$89,5,0)</f>
        <v>300.03167999999994</v>
      </c>
      <c r="BF89" s="13">
        <f t="shared" si="91"/>
        <v>71.183104779714938</v>
      </c>
      <c r="BG89" s="20">
        <f t="shared" si="61"/>
        <v>646.53241682467001</v>
      </c>
      <c r="BH89" s="59">
        <f t="shared" si="62"/>
        <v>939.86575015800327</v>
      </c>
      <c r="BI89" s="59">
        <f ca="1">AVERAGE(OFFSET($BH$3,0,0,'Données projet'!$E$11+1,1))-AVERAGE(OFFSET($H$3,0,0,'Données projet'!$E$11+1,1))</f>
        <v>469.68830256438338</v>
      </c>
      <c r="BJ89" s="59">
        <f t="shared" si="92"/>
        <v>332.61387922152159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0.7945261431376176</v>
      </c>
      <c r="BQ89" s="21">
        <f>EXP(-LN(2)/25)*BQ88+(1-EXP(-LN(2)/25))/(LN(2)/25)*Calculateur!BL89*Calculateur!BN89*VLOOKUP('Données projet'!$B$11,Paramètres!$A$1:$I$89,3,0)*0.475*44/12</f>
        <v>2.3884183977173254</v>
      </c>
      <c r="BR89" s="21">
        <f>EXP(-LN(2)/2)*BR88+(1-EXP(-LN(2)/2))/(LN(2)/2)*BL89*BO89*VLOOKUP('Données projet'!$B$11,Paramètres!$A$1:$I$89,3,0)*0.475*44/12</f>
        <v>8.0292436384061992E-8</v>
      </c>
      <c r="BS89" s="22">
        <f t="shared" si="63"/>
        <v>3.1829446211473793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8.1</v>
      </c>
      <c r="BY89" s="12">
        <f>IF('Données projet'!$A$114&gt;35,BY88+BX89-CG88,IF(A89&lt;'Données projet'!$A$114,$BV$205^A89,IF(A89='Données projet'!$A$114,'Données projet'!$B$114,BY88+BX89-CG88)))</f>
        <v>371.60000000000025</v>
      </c>
      <c r="BZ89" s="13">
        <f>BY89*VLOOKUP('Données projet'!$B$12,Paramètres!$A$1:$I$89,3,0)*VLOOKUP('Données projet'!$B$12,Paramètres!$A$1:$I$89,5,0)</f>
        <v>353.61456000000027</v>
      </c>
      <c r="CA89" s="13">
        <f t="shared" si="93"/>
        <v>82.306341044473896</v>
      </c>
      <c r="CB89" s="20">
        <f t="shared" si="64"/>
        <v>759.22890265245906</v>
      </c>
      <c r="CC89" s="59">
        <f t="shared" si="65"/>
        <v>1052.5622359857923</v>
      </c>
      <c r="CD89" s="59">
        <f ca="1">AVERAGE(OFFSET($CC$3,0,0,'Données projet'!$E$12+1,1))-AVERAGE(OFFSET($H$3,0,0,'Données projet'!$E$12+1,1))</f>
        <v>609.40025883662452</v>
      </c>
      <c r="CE89" s="59">
        <f t="shared" si="94"/>
        <v>294.48909834404577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0.83455988190743557</v>
      </c>
      <c r="CM89" s="21">
        <f>EXP(-LN(2)/2)*CM88+(1-EXP(-LN(2)/2))/(LN(2)/2)*CG89*CJ89*VLOOKUP('Données projet'!$B$12,Paramètres!$A$1:$I$89,3,0)*0.475*44/12</f>
        <v>2.9266911947957427E-8</v>
      </c>
      <c r="CN89" s="22">
        <f t="shared" si="66"/>
        <v>0.83455991117434747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17.5</v>
      </c>
      <c r="CT89" s="12">
        <f>IF('Données projet'!$A$140&gt;35,CT88+CS89-DB88,IF(A89&lt;'Données projet'!$A$140,$CQ$205^A89,IF(A89='Données projet'!$A$140,'Données projet'!$B$140,CT88+CS89-DB88)))</f>
        <v>554.59999999999991</v>
      </c>
      <c r="CU89" s="17">
        <f>CT89*VLOOKUP('Données projet'!$B$13,Paramètres!$A$1:$I$89,3,0)*VLOOKUP('Données projet'!$B$13,Paramètres!$A$1:$I$89,5,0)</f>
        <v>259.55279999999993</v>
      </c>
      <c r="CV89" s="13">
        <f t="shared" si="95"/>
        <v>62.627043439399927</v>
      </c>
      <c r="CW89" s="20">
        <f t="shared" si="67"/>
        <v>561.12989399028811</v>
      </c>
      <c r="CX89" s="59">
        <f t="shared" si="68"/>
        <v>854.46322732362137</v>
      </c>
      <c r="CY89" s="59">
        <f ca="1">AVERAGE(OFFSET($CX$3,0,0,'Données projet'!$E$13+1,1))-AVERAGE(OFFSET($H$3,0,0,'Données projet'!$E$13+1,1))</f>
        <v>346.16623654404509</v>
      </c>
      <c r="CZ89" s="59">
        <f t="shared" si="96"/>
        <v>281.80933156559087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1.0340263051413818</v>
      </c>
      <c r="DG89" s="21">
        <f>EXP(-LN(2)/25)*DG88+(1-EXP(-LN(2)/25))/(LN(2)/25)*Calculateur!DB89*Calculateur!DD89*VLOOKUP('Données projet'!$B$13,Paramètres!$A$1:$I$89,3,0)*0.475*44/12</f>
        <v>1.6628944045436733</v>
      </c>
      <c r="DH89" s="21">
        <f>EXP(-LN(2)/2)*DH88+(1-EXP(-LN(2)/2))/(LN(2)/2)*DB89*DE89*VLOOKUP('Données projet'!$B$13,Paramètres!$A$1:$I$89,3,0)*0.475*44/12</f>
        <v>3.6627711654812067E-8</v>
      </c>
      <c r="DI89" s="22">
        <f t="shared" si="69"/>
        <v>2.6969207463127667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6.2527760746888816E-13</v>
      </c>
      <c r="DP89" s="17">
        <f>DO89*VLOOKUP('Données projet'!$B$14,Paramètres!$A$1:$I$89,3,0)*VLOOKUP('Données projet'!$B$14,Paramètres!$A$1:$I$89,5,0)</f>
        <v>3.9017322706058616E-13</v>
      </c>
      <c r="DQ89" s="13">
        <f t="shared" si="97"/>
        <v>5.0025007393608908E-12</v>
      </c>
      <c r="DR89" s="20">
        <f t="shared" si="70"/>
        <v>9.3922404915174053E-12</v>
      </c>
      <c r="DS89" s="59">
        <f t="shared" si="71"/>
        <v>293.33333333334269</v>
      </c>
      <c r="DT89" s="59">
        <f ca="1">AVERAGE(OFFSET($DS$3,0,0,'Données projet'!$E$14+1,1))-AVERAGE(OFFSET($H$3,0,0,'Données projet'!$E$14+1,1))</f>
        <v>319.97171762304686</v>
      </c>
      <c r="DU89" s="59">
        <f t="shared" si="98"/>
        <v>337.89345858359621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2.2937402688816535</v>
      </c>
      <c r="EB89" s="21">
        <f>EXP(-LN(2)/25)*EB88+(1-EXP(-LN(2)/25))/(LN(2)/25)*Calculateur!DW89*Calculateur!DY89*VLOOKUP('Données projet'!$B$14,Paramètres!$A$1:$I$89,3,0)*0.475*44/12</f>
        <v>4.4005160101245266</v>
      </c>
      <c r="EC89" s="21">
        <f>EXP(-LN(2)/2)*EC88+(1-EXP(-LN(2)/2))/(LN(2)/2)*DW89*DZ89*VLOOKUP('Données projet'!$B$14,Paramètres!$A$1:$I$89,3,0)*0.475*44/12</f>
        <v>7.5216649114024282E-8</v>
      </c>
      <c r="ED89" s="22">
        <f t="shared" si="72"/>
        <v>6.6942563542228291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>
        <f>EJ89*VLOOKUP('Données projet'!$B$15,Paramètres!$A$1:$I$89,3,0)*VLOOKUP('Données projet'!$B$15,Paramètres!$A$1:$I$89,5,0)</f>
        <v>0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258.46015871559956</v>
      </c>
      <c r="EP89" s="59">
        <f t="shared" si="100"/>
        <v>280.26155987300996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2.04928294132672</v>
      </c>
      <c r="EW89" s="21">
        <f>EXP(-LN(2)/25)*EW88+(1-EXP(-LN(2)/25))/(LN(2)/25)*Calculateur!ER89*Calculateur!ET89*VLOOKUP('Données projet'!$B$15,Paramètres!$A$1:$I$89,3,0)*0.475*44/12</f>
        <v>2.6102791860344658</v>
      </c>
      <c r="EX89" s="21">
        <f>EXP(-LN(2)/2)*EX88+(1-EXP(-LN(2)/2))/(LN(2)/2)*ER89*EU89*VLOOKUP('Données projet'!$B$15,Paramètres!$A$1:$I$89,3,0)*0.475*44/12</f>
        <v>2.0286784969546538E-8</v>
      </c>
      <c r="EY89" s="22">
        <f t="shared" si="75"/>
        <v>4.6595621476479705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3.3</v>
      </c>
      <c r="N90" s="13">
        <f>IF('Données projet'!$A$36&gt;35,N89+M90-V89,IF(A90&lt;'Données projet'!$A$36,$K$205^A90,IF(A90='Données projet'!$A$36,'Données projet'!$B$36,N89+M90-V89)))</f>
        <v>253.10000000000014</v>
      </c>
      <c r="O90" s="13">
        <f>N90*VLOOKUP('Données projet'!$B$9,Paramètres!$A$1:$I$89,3,0)*VLOOKUP('Données projet'!$B$9,Paramètres!$A$1:$I$89,5,0)</f>
        <v>221.10816000000017</v>
      </c>
      <c r="P90" s="13">
        <f t="shared" si="87"/>
        <v>54.355668345214148</v>
      </c>
      <c r="Q90" s="20">
        <f t="shared" si="54"/>
        <v>479.76616770124832</v>
      </c>
      <c r="R90" s="59">
        <f t="shared" si="55"/>
        <v>773.09950103458164</v>
      </c>
      <c r="S90" s="59">
        <f ca="1">AVERAGE(OFFSET($R$3,0,0,'Données projet'!$E$9+1,1))-AVERAGE(OFFSET($H$3,0,0,'Données projet'!$E$9+1,1))</f>
        <v>368.41876532159154</v>
      </c>
      <c r="T90" s="59">
        <f t="shared" si="88"/>
        <v>369.39570124551125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1.9916588715758787</v>
      </c>
      <c r="AA90" s="21">
        <f>EXP(-LN(2)/25)*AA89+(1-EXP(-LN(2)/25))/(LN(2)/25)*Calculateur!V90*Calculateur!X90*VLOOKUP('Données projet'!$B$9,Paramètres!$A$1:$I$89,3,0)*0.475*44/12</f>
        <v>3.3398676162717318</v>
      </c>
      <c r="AB90" s="21">
        <f>EXP(-LN(2)/2)*AB89+(1-EXP(-LN(2)/2))/(LN(2)/2)*V90*Y90*VLOOKUP('Données projet'!$B$9,Paramètres!$A$1:$I$89,3,0)*0.475*44/12</f>
        <v>4.6811031245032664E-8</v>
      </c>
      <c r="AC90" s="22">
        <f t="shared" si="57"/>
        <v>5.331526534658642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-5.1159076974727213E-13</v>
      </c>
      <c r="AJ90" s="13">
        <f>AI90*VLOOKUP('Données projet'!$B$10,Paramètres!$A$1:$I$89,3,0)*VLOOKUP('Données projet'!$B$10,Paramètres!$A$1:$I$89,5,0)</f>
        <v>-4.4692569645121704E-13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402.82278346470082</v>
      </c>
      <c r="AO90" s="59">
        <f t="shared" si="90"/>
        <v>440.17787299198977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1.158736787895285</v>
      </c>
      <c r="AV90" s="21">
        <f>EXP(-LN(2)/25)*AV89+(1-EXP(-LN(2)/25))/(LN(2)/25)*Calculateur!AQ90*Calculateur!AS90*VLOOKUP('Données projet'!$B$10,Paramètres!$A$1:$I$89,3,0)*0.475*44/12</f>
        <v>4.6391499362468327</v>
      </c>
      <c r="AW90" s="21">
        <f>EXP(-LN(2)/2)*AW89+(1-EXP(-LN(2)/2))/(LN(2)/2)*AQ90*AT90*VLOOKUP('Données projet'!$B$10,Paramètres!$A$1:$I$89,3,0)*0.475*44/12</f>
        <v>6.9531242597981233E-8</v>
      </c>
      <c r="AX90" s="21">
        <f t="shared" si="60"/>
        <v>5.7978867936733609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6.6</v>
      </c>
      <c r="BD90" s="12">
        <f>IF('Données projet'!$A$88&gt;35,BD89+BC90-BL89,IF(A90&lt;'Données projet'!$A$88,$BA$205^A90,IF(A90='Données projet'!$A$88,'Données projet'!$B$88,BD89+BC90-BL89)))</f>
        <v>338.19999999999993</v>
      </c>
      <c r="BE90" s="13">
        <f>BD90*VLOOKUP('Données projet'!$B$11,Paramètres!$A$1:$I$89,3,0)*VLOOKUP('Données projet'!$B$11,Paramètres!$A$1:$I$89,5,0)</f>
        <v>306.00335999999993</v>
      </c>
      <c r="BF90" s="13">
        <f t="shared" si="91"/>
        <v>72.433543369450447</v>
      </c>
      <c r="BG90" s="20">
        <f t="shared" si="61"/>
        <v>659.11094003512596</v>
      </c>
      <c r="BH90" s="59">
        <f t="shared" si="62"/>
        <v>952.44427336845933</v>
      </c>
      <c r="BI90" s="59">
        <f ca="1">AVERAGE(OFFSET($BH$3,0,0,'Données projet'!$E$11+1,1))-AVERAGE(OFFSET($H$3,0,0,'Données projet'!$E$11+1,1))</f>
        <v>469.68830256438338</v>
      </c>
      <c r="BJ90" s="59">
        <f t="shared" si="92"/>
        <v>332.61387922152159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0.77894597008378463</v>
      </c>
      <c r="BQ90" s="21">
        <f>EXP(-LN(2)/25)*BQ89+(1-EXP(-LN(2)/25))/(LN(2)/25)*Calculateur!BL90*Calculateur!BN90*VLOOKUP('Données projet'!$B$11,Paramètres!$A$1:$I$89,3,0)*0.475*44/12</f>
        <v>2.3231069710302803</v>
      </c>
      <c r="BR90" s="21">
        <f>EXP(-LN(2)/2)*BR89+(1-EXP(-LN(2)/2))/(LN(2)/2)*BL90*BO90*VLOOKUP('Données projet'!$B$11,Paramètres!$A$1:$I$89,3,0)*0.475*44/12</f>
        <v>5.6775326245159712E-8</v>
      </c>
      <c r="BS90" s="22">
        <f t="shared" si="63"/>
        <v>3.1020529978893912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8.1</v>
      </c>
      <c r="BY90" s="12">
        <f>IF('Données projet'!$A$114&gt;35,BY89+BX90-CG89,IF(A90&lt;'Données projet'!$A$114,$BV$205^A90,IF(A90='Données projet'!$A$114,'Données projet'!$B$114,BY89+BX90-CG89)))</f>
        <v>379.70000000000027</v>
      </c>
      <c r="BZ90" s="13">
        <f>BY90*VLOOKUP('Données projet'!$B$12,Paramètres!$A$1:$I$89,3,0)*VLOOKUP('Données projet'!$B$12,Paramètres!$A$1:$I$89,5,0)</f>
        <v>361.32252000000028</v>
      </c>
      <c r="CA90" s="13">
        <f t="shared" si="93"/>
        <v>83.889598109488034</v>
      </c>
      <c r="CB90" s="20">
        <f t="shared" si="64"/>
        <v>775.41110570735873</v>
      </c>
      <c r="CC90" s="59">
        <f t="shared" si="65"/>
        <v>1068.744439040692</v>
      </c>
      <c r="CD90" s="59">
        <f ca="1">AVERAGE(OFFSET($CC$3,0,0,'Données projet'!$E$12+1,1))-AVERAGE(OFFSET($H$3,0,0,'Données projet'!$E$12+1,1))</f>
        <v>609.40025883662452</v>
      </c>
      <c r="CE90" s="59">
        <f t="shared" si="94"/>
        <v>294.48909834404577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0.81173879804908</v>
      </c>
      <c r="CM90" s="21">
        <f>EXP(-LN(2)/2)*CM89+(1-EXP(-LN(2)/2))/(LN(2)/2)*CG90*CJ90*VLOOKUP('Données projet'!$B$12,Paramètres!$A$1:$I$89,3,0)*0.475*44/12</f>
        <v>2.0694831902790287E-8</v>
      </c>
      <c r="CN90" s="22">
        <f t="shared" si="66"/>
        <v>0.81173881874391185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17.5</v>
      </c>
      <c r="CT90" s="12">
        <f>IF('Données projet'!$A$140&gt;35,CT89+CS90-DB89,IF(A90&lt;'Données projet'!$A$140,$CQ$205^A90,IF(A90='Données projet'!$A$140,'Données projet'!$B$140,CT89+CS90-DB89)))</f>
        <v>572.09999999999991</v>
      </c>
      <c r="CU90" s="17">
        <f>CT90*VLOOKUP('Données projet'!$B$13,Paramètres!$A$1:$I$89,3,0)*VLOOKUP('Données projet'!$B$13,Paramètres!$A$1:$I$89,5,0)</f>
        <v>267.74279999999993</v>
      </c>
      <c r="CV90" s="13">
        <f t="shared" si="95"/>
        <v>64.370000676259949</v>
      </c>
      <c r="CW90" s="20">
        <f t="shared" si="67"/>
        <v>578.42979451115264</v>
      </c>
      <c r="CX90" s="59">
        <f t="shared" si="68"/>
        <v>871.76312784448601</v>
      </c>
      <c r="CY90" s="59">
        <f ca="1">AVERAGE(OFFSET($CX$3,0,0,'Données projet'!$E$13+1,1))-AVERAGE(OFFSET($H$3,0,0,'Données projet'!$E$13+1,1))</f>
        <v>346.16623654404509</v>
      </c>
      <c r="CZ90" s="59">
        <f t="shared" si="96"/>
        <v>281.80933156559087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1.0137496799913297</v>
      </c>
      <c r="DG90" s="21">
        <f>EXP(-LN(2)/25)*DG89+(1-EXP(-LN(2)/25))/(LN(2)/25)*Calculateur!DB90*Calculateur!DD90*VLOOKUP('Données projet'!$B$13,Paramètres!$A$1:$I$89,3,0)*0.475*44/12</f>
        <v>1.6174224696036104</v>
      </c>
      <c r="DH90" s="21">
        <f>EXP(-LN(2)/2)*DH89+(1-EXP(-LN(2)/2))/(LN(2)/2)*DB90*DE90*VLOOKUP('Données projet'!$B$13,Paramètres!$A$1:$I$89,3,0)*0.475*44/12</f>
        <v>2.5899703290463154E-8</v>
      </c>
      <c r="DI90" s="22">
        <f t="shared" si="69"/>
        <v>2.6311721754946436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6.2527760746888816E-13</v>
      </c>
      <c r="DP90" s="17">
        <f>DO90*VLOOKUP('Données projet'!$B$14,Paramètres!$A$1:$I$89,3,0)*VLOOKUP('Données projet'!$B$14,Paramètres!$A$1:$I$89,5,0)</f>
        <v>3.9017322706058616E-13</v>
      </c>
      <c r="DQ90" s="13">
        <f t="shared" si="97"/>
        <v>5.0025007393608908E-12</v>
      </c>
      <c r="DR90" s="20">
        <f t="shared" si="70"/>
        <v>9.3922404915174053E-12</v>
      </c>
      <c r="DS90" s="59">
        <f t="shared" si="71"/>
        <v>293.33333333334269</v>
      </c>
      <c r="DT90" s="59">
        <f ca="1">AVERAGE(OFFSET($DS$3,0,0,'Données projet'!$E$14+1,1))-AVERAGE(OFFSET($H$3,0,0,'Données projet'!$E$14+1,1))</f>
        <v>319.97171762304686</v>
      </c>
      <c r="DU90" s="59">
        <f t="shared" si="98"/>
        <v>337.89345858359621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2.2487614212523042</v>
      </c>
      <c r="EB90" s="21">
        <f>EXP(-LN(2)/25)*EB89+(1-EXP(-LN(2)/25))/(LN(2)/25)*Calculateur!DW90*Calculateur!DY90*VLOOKUP('Données projet'!$B$14,Paramètres!$A$1:$I$89,3,0)*0.475*44/12</f>
        <v>4.2801836684145922</v>
      </c>
      <c r="EC90" s="21">
        <f>EXP(-LN(2)/2)*EC89+(1-EXP(-LN(2)/2))/(LN(2)/2)*DW90*DZ90*VLOOKUP('Données projet'!$B$14,Paramètres!$A$1:$I$89,3,0)*0.475*44/12</f>
        <v>5.3186202646655692E-8</v>
      </c>
      <c r="ED90" s="22">
        <f t="shared" si="72"/>
        <v>6.5289451428530993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>
        <f>EJ90*VLOOKUP('Données projet'!$B$15,Paramètres!$A$1:$I$89,3,0)*VLOOKUP('Données projet'!$B$15,Paramètres!$A$1:$I$89,5,0)</f>
        <v>0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258.46015871559956</v>
      </c>
      <c r="EP90" s="59">
        <f t="shared" si="100"/>
        <v>280.26155987300996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2.009097752786476</v>
      </c>
      <c r="EW90" s="21">
        <f>EXP(-LN(2)/25)*EW89+(1-EXP(-LN(2)/25))/(LN(2)/25)*Calculateur!ER90*Calculateur!ET90*VLOOKUP('Données projet'!$B$15,Paramètres!$A$1:$I$89,3,0)*0.475*44/12</f>
        <v>2.5389009644237368</v>
      </c>
      <c r="EX90" s="21">
        <f>EXP(-LN(2)/2)*EX89+(1-EXP(-LN(2)/2))/(LN(2)/2)*ER90*EU90*VLOOKUP('Données projet'!$B$15,Paramètres!$A$1:$I$89,3,0)*0.475*44/12</f>
        <v>1.4344923220439685E-8</v>
      </c>
      <c r="EY90" s="22">
        <f t="shared" si="75"/>
        <v>4.5479987315551362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3.3</v>
      </c>
      <c r="N91" s="13">
        <f>IF('Données projet'!$A$36&gt;35,N90+M91-V90,IF(A91&lt;'Données projet'!$A$36,$K$205^A91,IF(A91='Données projet'!$A$36,'Données projet'!$B$36,N90+M91-V90)))</f>
        <v>256.40000000000015</v>
      </c>
      <c r="O91" s="13">
        <f>N91*VLOOKUP('Données projet'!$B$9,Paramètres!$A$1:$I$89,3,0)*VLOOKUP('Données projet'!$B$9,Paramètres!$A$1:$I$89,5,0)</f>
        <v>223.99104000000014</v>
      </c>
      <c r="P91" s="13">
        <f t="shared" si="87"/>
        <v>54.981408824201601</v>
      </c>
      <c r="Q91" s="20">
        <f t="shared" si="54"/>
        <v>485.8770150354847</v>
      </c>
      <c r="R91" s="59">
        <f t="shared" si="55"/>
        <v>779.21034836881802</v>
      </c>
      <c r="S91" s="59">
        <f ca="1">AVERAGE(OFFSET($R$3,0,0,'Données projet'!$E$9+1,1))-AVERAGE(OFFSET($H$3,0,0,'Données projet'!$E$9+1,1))</f>
        <v>368.41876532159154</v>
      </c>
      <c r="T91" s="59">
        <f t="shared" si="88"/>
        <v>369.39570124551125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1.9526036558962367</v>
      </c>
      <c r="AA91" s="21">
        <f>EXP(-LN(2)/25)*AA90+(1-EXP(-LN(2)/25))/(LN(2)/25)*Calculateur!V91*Calculateur!X91*VLOOKUP('Données projet'!$B$9,Paramètres!$A$1:$I$89,3,0)*0.475*44/12</f>
        <v>3.2485387606687768</v>
      </c>
      <c r="AB91" s="21">
        <f>EXP(-LN(2)/2)*AB90+(1-EXP(-LN(2)/2))/(LN(2)/2)*V91*Y91*VLOOKUP('Données projet'!$B$9,Paramètres!$A$1:$I$89,3,0)*0.475*44/12</f>
        <v>3.3100397627697951E-8</v>
      </c>
      <c r="AC91" s="22">
        <f t="shared" si="57"/>
        <v>5.2011424496654115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-5.1159076974727213E-13</v>
      </c>
      <c r="AJ91" s="13">
        <f>AI91*VLOOKUP('Données projet'!$B$10,Paramètres!$A$1:$I$89,3,0)*VLOOKUP('Données projet'!$B$10,Paramètres!$A$1:$I$89,5,0)</f>
        <v>-4.4692569645121704E-13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402.82278346470082</v>
      </c>
      <c r="AO91" s="59">
        <f t="shared" si="90"/>
        <v>440.17787299198977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1.1360146662443125</v>
      </c>
      <c r="AV91" s="21">
        <f>EXP(-LN(2)/25)*AV90+(1-EXP(-LN(2)/25))/(LN(2)/25)*Calculateur!AQ91*Calculateur!AS91*VLOOKUP('Données projet'!$B$10,Paramètres!$A$1:$I$89,3,0)*0.475*44/12</f>
        <v>4.5122921372778713</v>
      </c>
      <c r="AW91" s="21">
        <f>EXP(-LN(2)/2)*AW90+(1-EXP(-LN(2)/2))/(LN(2)/2)*AQ91*AT91*VLOOKUP('Données projet'!$B$10,Paramètres!$A$1:$I$89,3,0)*0.475*44/12</f>
        <v>4.9166013145359469E-8</v>
      </c>
      <c r="AX91" s="21">
        <f t="shared" si="60"/>
        <v>5.6483068526881972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6.6</v>
      </c>
      <c r="BD91" s="12">
        <f>IF('Données projet'!$A$88&gt;35,BD90+BC91-BL90,IF(A91&lt;'Données projet'!$A$88,$BA$205^A91,IF(A91='Données projet'!$A$88,'Données projet'!$B$88,BD90+BC91-BL90)))</f>
        <v>344.79999999999995</v>
      </c>
      <c r="BE91" s="13">
        <f>BD91*VLOOKUP('Données projet'!$B$11,Paramètres!$A$1:$I$89,3,0)*VLOOKUP('Données projet'!$B$11,Paramètres!$A$1:$I$89,5,0)</f>
        <v>311.97503999999992</v>
      </c>
      <c r="BF91" s="13">
        <f t="shared" si="91"/>
        <v>73.681144552074599</v>
      </c>
      <c r="BG91" s="20">
        <f t="shared" si="61"/>
        <v>671.68452142819649</v>
      </c>
      <c r="BH91" s="59">
        <f t="shared" si="62"/>
        <v>965.01785476152986</v>
      </c>
      <c r="BI91" s="59">
        <f ca="1">AVERAGE(OFFSET($BH$3,0,0,'Données projet'!$E$11+1,1))-AVERAGE(OFFSET($H$3,0,0,'Données projet'!$E$11+1,1))</f>
        <v>469.68830256438338</v>
      </c>
      <c r="BJ91" s="59">
        <f t="shared" si="92"/>
        <v>332.61387922152159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0.76367131472057015</v>
      </c>
      <c r="BQ91" s="21">
        <f>EXP(-LN(2)/25)*BQ90+(1-EXP(-LN(2)/25))/(LN(2)/25)*Calculateur!BL91*Calculateur!BN91*VLOOKUP('Données projet'!$B$11,Paramètres!$A$1:$I$89,3,0)*0.475*44/12</f>
        <v>2.2595814887405714</v>
      </c>
      <c r="BR91" s="21">
        <f>EXP(-LN(2)/2)*BR90+(1-EXP(-LN(2)/2))/(LN(2)/2)*BL91*BO91*VLOOKUP('Données projet'!$B$11,Paramètres!$A$1:$I$89,3,0)*0.475*44/12</f>
        <v>4.0146218192031003E-8</v>
      </c>
      <c r="BS91" s="22">
        <f t="shared" si="63"/>
        <v>3.0232528436073598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8.1</v>
      </c>
      <c r="BY91" s="12">
        <f>IF('Données projet'!$A$114&gt;35,BY90+BX91-CG90,IF(A91&lt;'Données projet'!$A$114,$BV$205^A91,IF(A91='Données projet'!$A$114,'Données projet'!$B$114,BY90+BX91-CG90)))</f>
        <v>387.8000000000003</v>
      </c>
      <c r="BZ91" s="13">
        <f>BY91*VLOOKUP('Données projet'!$B$12,Paramètres!$A$1:$I$89,3,0)*VLOOKUP('Données projet'!$B$12,Paramètres!$A$1:$I$89,5,0)</f>
        <v>369.0304800000003</v>
      </c>
      <c r="CA91" s="13">
        <f t="shared" si="93"/>
        <v>85.468928322216456</v>
      </c>
      <c r="CB91" s="20">
        <f t="shared" si="64"/>
        <v>791.58646949452748</v>
      </c>
      <c r="CC91" s="59">
        <f t="shared" si="65"/>
        <v>1084.9198028278608</v>
      </c>
      <c r="CD91" s="59">
        <f ca="1">AVERAGE(OFFSET($CC$3,0,0,'Données projet'!$E$12+1,1))-AVERAGE(OFFSET($H$3,0,0,'Données projet'!$E$12+1,1))</f>
        <v>609.40025883662452</v>
      </c>
      <c r="CE91" s="59">
        <f t="shared" si="94"/>
        <v>294.48909834404577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0.78954175792893977</v>
      </c>
      <c r="CM91" s="21">
        <f>EXP(-LN(2)/2)*CM90+(1-EXP(-LN(2)/2))/(LN(2)/2)*CG91*CJ91*VLOOKUP('Données projet'!$B$12,Paramètres!$A$1:$I$89,3,0)*0.475*44/12</f>
        <v>1.4633455973978715E-8</v>
      </c>
      <c r="CN91" s="22">
        <f t="shared" si="66"/>
        <v>0.78954177256239577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17.5</v>
      </c>
      <c r="CT91" s="12">
        <f>IF('Données projet'!$A$140&gt;35,CT90+CS91-DB90,IF(A91&lt;'Données projet'!$A$140,$CQ$205^A91,IF(A91='Données projet'!$A$140,'Données projet'!$B$140,CT90+CS91-DB90)))</f>
        <v>589.59999999999991</v>
      </c>
      <c r="CU91" s="17">
        <f>CT91*VLOOKUP('Données projet'!$B$13,Paramètres!$A$1:$I$89,3,0)*VLOOKUP('Données projet'!$B$13,Paramètres!$A$1:$I$89,5,0)</f>
        <v>275.93279999999999</v>
      </c>
      <c r="CV91" s="13">
        <f t="shared" si="95"/>
        <v>66.106762012556132</v>
      </c>
      <c r="CW91" s="20">
        <f t="shared" si="67"/>
        <v>595.7189038385352</v>
      </c>
      <c r="CX91" s="59">
        <f t="shared" si="68"/>
        <v>889.05223717186846</v>
      </c>
      <c r="CY91" s="59">
        <f ca="1">AVERAGE(OFFSET($CX$3,0,0,'Données projet'!$E$13+1,1))-AVERAGE(OFFSET($H$3,0,0,'Données projet'!$E$13+1,1))</f>
        <v>346.16623654404509</v>
      </c>
      <c r="CZ91" s="59">
        <f t="shared" si="96"/>
        <v>281.80933156559087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0.99387066709294991</v>
      </c>
      <c r="DG91" s="21">
        <f>EXP(-LN(2)/25)*DG90+(1-EXP(-LN(2)/25))/(LN(2)/25)*Calculateur!DB91*Calculateur!DD91*VLOOKUP('Données projet'!$B$13,Paramètres!$A$1:$I$89,3,0)*0.475*44/12</f>
        <v>1.5731939671157487</v>
      </c>
      <c r="DH91" s="21">
        <f>EXP(-LN(2)/2)*DH90+(1-EXP(-LN(2)/2))/(LN(2)/2)*DB91*DE91*VLOOKUP('Données projet'!$B$13,Paramètres!$A$1:$I$89,3,0)*0.475*44/12</f>
        <v>1.8313855827406034E-8</v>
      </c>
      <c r="DI91" s="22">
        <f t="shared" si="69"/>
        <v>2.5670646525225544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6.2527760746888816E-13</v>
      </c>
      <c r="DP91" s="17">
        <f>DO91*VLOOKUP('Données projet'!$B$14,Paramètres!$A$1:$I$89,3,0)*VLOOKUP('Données projet'!$B$14,Paramètres!$A$1:$I$89,5,0)</f>
        <v>3.9017322706058616E-13</v>
      </c>
      <c r="DQ91" s="13">
        <f t="shared" si="97"/>
        <v>5.0025007393608908E-12</v>
      </c>
      <c r="DR91" s="20">
        <f t="shared" si="70"/>
        <v>9.3922404915174053E-12</v>
      </c>
      <c r="DS91" s="59">
        <f t="shared" si="71"/>
        <v>293.33333333334269</v>
      </c>
      <c r="DT91" s="59">
        <f ca="1">AVERAGE(OFFSET($DS$3,0,0,'Données projet'!$E$14+1,1))-AVERAGE(OFFSET($H$3,0,0,'Données projet'!$E$14+1,1))</f>
        <v>319.97171762304686</v>
      </c>
      <c r="DU91" s="59">
        <f t="shared" si="98"/>
        <v>337.89345858359621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2.2046645813905781</v>
      </c>
      <c r="EB91" s="21">
        <f>EXP(-LN(2)/25)*EB90+(1-EXP(-LN(2)/25))/(LN(2)/25)*Calculateur!DW91*Calculateur!DY91*VLOOKUP('Données projet'!$B$14,Paramètres!$A$1:$I$89,3,0)*0.475*44/12</f>
        <v>4.1631418209167181</v>
      </c>
      <c r="EC91" s="21">
        <f>EXP(-LN(2)/2)*EC90+(1-EXP(-LN(2)/2))/(LN(2)/2)*DW91*DZ91*VLOOKUP('Données projet'!$B$14,Paramètres!$A$1:$I$89,3,0)*0.475*44/12</f>
        <v>3.7608324557012141E-8</v>
      </c>
      <c r="ED91" s="22">
        <f t="shared" si="72"/>
        <v>6.3678064399156211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>
        <f>EJ91*VLOOKUP('Données projet'!$B$15,Paramètres!$A$1:$I$89,3,0)*VLOOKUP('Données projet'!$B$15,Paramètres!$A$1:$I$89,5,0)</f>
        <v>0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258.46015871559956</v>
      </c>
      <c r="EP91" s="59">
        <f t="shared" si="100"/>
        <v>280.26155987300996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1.9697005712829614</v>
      </c>
      <c r="EW91" s="21">
        <f>EXP(-LN(2)/25)*EW90+(1-EXP(-LN(2)/25))/(LN(2)/25)*Calculateur!ER91*Calculateur!ET91*VLOOKUP('Données projet'!$B$15,Paramètres!$A$1:$I$89,3,0)*0.475*44/12</f>
        <v>2.4694745840365706</v>
      </c>
      <c r="EX91" s="21">
        <f>EXP(-LN(2)/2)*EX90+(1-EXP(-LN(2)/2))/(LN(2)/2)*ER91*EU91*VLOOKUP('Données projet'!$B$15,Paramètres!$A$1:$I$89,3,0)*0.475*44/12</f>
        <v>1.0143392484773269E-8</v>
      </c>
      <c r="EY91" s="22">
        <f t="shared" si="75"/>
        <v>4.4391751654629248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3.3</v>
      </c>
      <c r="N92" s="13">
        <f>IF('Données projet'!$A$36&gt;35,N91+M92-V91,IF(A92&lt;'Données projet'!$A$36,$K$205^A92,IF(A92='Données projet'!$A$36,'Données projet'!$B$36,N91+M92-V91)))</f>
        <v>259.70000000000016</v>
      </c>
      <c r="O92" s="13">
        <f>N92*VLOOKUP('Données projet'!$B$9,Paramètres!$A$1:$I$89,3,0)*VLOOKUP('Données projet'!$B$9,Paramètres!$A$1:$I$89,5,0)</f>
        <v>226.87392000000017</v>
      </c>
      <c r="P92" s="13">
        <f t="shared" si="87"/>
        <v>55.606212538406723</v>
      </c>
      <c r="Q92" s="20">
        <f t="shared" si="54"/>
        <v>491.98623083772537</v>
      </c>
      <c r="R92" s="59">
        <f t="shared" si="55"/>
        <v>785.31956417105869</v>
      </c>
      <c r="S92" s="59">
        <f ca="1">AVERAGE(OFFSET($R$3,0,0,'Données projet'!$E$9+1,1))-AVERAGE(OFFSET($H$3,0,0,'Données projet'!$E$9+1,1))</f>
        <v>368.41876532159154</v>
      </c>
      <c r="T92" s="59">
        <f t="shared" si="88"/>
        <v>369.39570124551125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1.9143142891747431</v>
      </c>
      <c r="AA92" s="21">
        <f>EXP(-LN(2)/25)*AA91+(1-EXP(-LN(2)/25))/(LN(2)/25)*Calculateur!V92*Calculateur!X92*VLOOKUP('Données projet'!$B$9,Paramètres!$A$1:$I$89,3,0)*0.475*44/12</f>
        <v>3.1597072974250602</v>
      </c>
      <c r="AB92" s="21">
        <f>EXP(-LN(2)/2)*AB91+(1-EXP(-LN(2)/2))/(LN(2)/2)*V92*Y92*VLOOKUP('Données projet'!$B$9,Paramètres!$A$1:$I$89,3,0)*0.475*44/12</f>
        <v>2.3405515622516332E-8</v>
      </c>
      <c r="AC92" s="22">
        <f t="shared" si="57"/>
        <v>5.0740216100053193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-5.1159076974727213E-13</v>
      </c>
      <c r="AJ92" s="13">
        <f>AI92*VLOOKUP('Données projet'!$B$10,Paramètres!$A$1:$I$89,3,0)*VLOOKUP('Données projet'!$B$10,Paramètres!$A$1:$I$89,5,0)</f>
        <v>-4.4692569645121704E-13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402.82278346470082</v>
      </c>
      <c r="AO92" s="59">
        <f t="shared" si="90"/>
        <v>440.17787299198977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1.1137381115397897</v>
      </c>
      <c r="AV92" s="21">
        <f>EXP(-LN(2)/25)*AV91+(1-EXP(-LN(2)/25))/(LN(2)/25)*Calculateur!AQ92*Calculateur!AS92*VLOOKUP('Données projet'!$B$10,Paramètres!$A$1:$I$89,3,0)*0.475*44/12</f>
        <v>4.3889032714928771</v>
      </c>
      <c r="AW92" s="21">
        <f>EXP(-LN(2)/2)*AW91+(1-EXP(-LN(2)/2))/(LN(2)/2)*AQ92*AT92*VLOOKUP('Données projet'!$B$10,Paramètres!$A$1:$I$89,3,0)*0.475*44/12</f>
        <v>3.4765621298990616E-8</v>
      </c>
      <c r="AX92" s="21">
        <f t="shared" si="60"/>
        <v>5.5026414177982881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6.6</v>
      </c>
      <c r="BD92" s="12">
        <f>IF('Données projet'!$A$88&gt;35,BD91+BC92-BL91,IF(A92&lt;'Données projet'!$A$88,$BA$205^A92,IF(A92='Données projet'!$A$88,'Données projet'!$B$88,BD91+BC92-BL91)))</f>
        <v>351.4</v>
      </c>
      <c r="BE92" s="13">
        <f>BD92*VLOOKUP('Données projet'!$B$11,Paramètres!$A$1:$I$89,3,0)*VLOOKUP('Données projet'!$B$11,Paramètres!$A$1:$I$89,5,0)</f>
        <v>317.94671999999997</v>
      </c>
      <c r="BF92" s="13">
        <f t="shared" si="91"/>
        <v>74.925968901822259</v>
      </c>
      <c r="BG92" s="20">
        <f t="shared" si="61"/>
        <v>684.253266504007</v>
      </c>
      <c r="BH92" s="59">
        <f t="shared" si="62"/>
        <v>977.58659983734037</v>
      </c>
      <c r="BI92" s="59">
        <f ca="1">AVERAGE(OFFSET($BH$3,0,0,'Données projet'!$E$11+1,1))-AVERAGE(OFFSET($H$3,0,0,'Données projet'!$E$11+1,1))</f>
        <v>469.68830256438338</v>
      </c>
      <c r="BJ92" s="59">
        <f t="shared" si="92"/>
        <v>332.61387922152159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0.74869618603240851</v>
      </c>
      <c r="BQ92" s="21">
        <f>EXP(-LN(2)/25)*BQ91+(1-EXP(-LN(2)/25))/(LN(2)/25)*Calculateur!BL92*Calculateur!BN92*VLOOKUP('Données projet'!$B$11,Paramètres!$A$1:$I$89,3,0)*0.475*44/12</f>
        <v>2.1977931141047344</v>
      </c>
      <c r="BR92" s="21">
        <f>EXP(-LN(2)/2)*BR91+(1-EXP(-LN(2)/2))/(LN(2)/2)*BL92*BO92*VLOOKUP('Données projet'!$B$11,Paramètres!$A$1:$I$89,3,0)*0.475*44/12</f>
        <v>2.8387663122579863E-8</v>
      </c>
      <c r="BS92" s="22">
        <f t="shared" si="63"/>
        <v>2.9464893285248062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8.1</v>
      </c>
      <c r="BY92" s="12">
        <f>IF('Données projet'!$A$114&gt;35,BY91+BX92-CG91,IF(A92&lt;'Données projet'!$A$114,$BV$205^A92,IF(A92='Données projet'!$A$114,'Données projet'!$B$114,BY91+BX92-CG91)))</f>
        <v>395.90000000000032</v>
      </c>
      <c r="BZ92" s="13">
        <f>BY92*VLOOKUP('Données projet'!$B$12,Paramètres!$A$1:$I$89,3,0)*VLOOKUP('Données projet'!$B$12,Paramètres!$A$1:$I$89,5,0)</f>
        <v>376.73844000000031</v>
      </c>
      <c r="CA92" s="13">
        <f t="shared" si="93"/>
        <v>87.044423152418545</v>
      </c>
      <c r="CB92" s="20">
        <f t="shared" si="64"/>
        <v>807.75515332379609</v>
      </c>
      <c r="CC92" s="59">
        <f t="shared" si="65"/>
        <v>1101.0884866571294</v>
      </c>
      <c r="CD92" s="59">
        <f ca="1">AVERAGE(OFFSET($CC$3,0,0,'Données projet'!$E$12+1,1))-AVERAGE(OFFSET($H$3,0,0,'Données projet'!$E$12+1,1))</f>
        <v>609.40025883662452</v>
      </c>
      <c r="CE92" s="59">
        <f t="shared" si="94"/>
        <v>294.48909834404577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0.76795169703817634</v>
      </c>
      <c r="CM92" s="21">
        <f>EXP(-LN(2)/2)*CM91+(1-EXP(-LN(2)/2))/(LN(2)/2)*CG92*CJ92*VLOOKUP('Données projet'!$B$12,Paramètres!$A$1:$I$89,3,0)*0.475*44/12</f>
        <v>1.0347415951395145E-8</v>
      </c>
      <c r="CN92" s="22">
        <f t="shared" si="66"/>
        <v>0.76795170738559226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17.5</v>
      </c>
      <c r="CT92" s="12">
        <f>IF('Données projet'!$A$140&gt;35,CT91+CS92-DB91,IF(A92&lt;'Données projet'!$A$140,$CQ$205^A92,IF(A92='Données projet'!$A$140,'Données projet'!$B$140,CT91+CS92-DB91)))</f>
        <v>607.09999999999991</v>
      </c>
      <c r="CU92" s="17">
        <f>CT92*VLOOKUP('Données projet'!$B$13,Paramètres!$A$1:$I$89,3,0)*VLOOKUP('Données projet'!$B$13,Paramètres!$A$1:$I$89,5,0)</f>
        <v>284.12279999999993</v>
      </c>
      <c r="CV92" s="13">
        <f t="shared" si="95"/>
        <v>67.837532462585557</v>
      </c>
      <c r="CW92" s="20">
        <f t="shared" si="67"/>
        <v>612.99757903900297</v>
      </c>
      <c r="CX92" s="59">
        <f t="shared" si="68"/>
        <v>906.33091237233634</v>
      </c>
      <c r="CY92" s="59">
        <f ca="1">AVERAGE(OFFSET($CX$3,0,0,'Données projet'!$E$13+1,1))-AVERAGE(OFFSET($H$3,0,0,'Données projet'!$E$13+1,1))</f>
        <v>346.16623654404509</v>
      </c>
      <c r="CZ92" s="59">
        <f t="shared" si="96"/>
        <v>281.80933156559087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0.9743814695125067</v>
      </c>
      <c r="DG92" s="21">
        <f>EXP(-LN(2)/25)*DG91+(1-EXP(-LN(2)/25))/(LN(2)/25)*Calculateur!DB92*Calculateur!DD92*VLOOKUP('Données projet'!$B$13,Paramètres!$A$1:$I$89,3,0)*0.475*44/12</f>
        <v>1.5301748953542933</v>
      </c>
      <c r="DH92" s="21">
        <f>EXP(-LN(2)/2)*DH91+(1-EXP(-LN(2)/2))/(LN(2)/2)*DB92*DE92*VLOOKUP('Données projet'!$B$13,Paramètres!$A$1:$I$89,3,0)*0.475*44/12</f>
        <v>1.2949851645231577E-8</v>
      </c>
      <c r="DI92" s="22">
        <f t="shared" si="69"/>
        <v>2.5045563778166517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6.2527760746888816E-13</v>
      </c>
      <c r="DP92" s="17">
        <f>DO92*VLOOKUP('Données projet'!$B$14,Paramètres!$A$1:$I$89,3,0)*VLOOKUP('Données projet'!$B$14,Paramètres!$A$1:$I$89,5,0)</f>
        <v>3.9017322706058616E-13</v>
      </c>
      <c r="DQ92" s="13">
        <f t="shared" si="97"/>
        <v>5.0025007393608908E-12</v>
      </c>
      <c r="DR92" s="20">
        <f t="shared" si="70"/>
        <v>9.3922404915174053E-12</v>
      </c>
      <c r="DS92" s="59">
        <f t="shared" si="71"/>
        <v>293.33333333334269</v>
      </c>
      <c r="DT92" s="59">
        <f ca="1">AVERAGE(OFFSET($DS$3,0,0,'Données projet'!$E$14+1,1))-AVERAGE(OFFSET($H$3,0,0,'Données projet'!$E$14+1,1))</f>
        <v>319.97171762304686</v>
      </c>
      <c r="DU92" s="59">
        <f t="shared" si="98"/>
        <v>337.89345858359621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2.1614324536621243</v>
      </c>
      <c r="EB92" s="21">
        <f>EXP(-LN(2)/25)*EB91+(1-EXP(-LN(2)/25))/(LN(2)/25)*Calculateur!DW92*Calculateur!DY92*VLOOKUP('Données projet'!$B$14,Paramètres!$A$1:$I$89,3,0)*0.475*44/12</f>
        <v>4.0493004888936373</v>
      </c>
      <c r="EC92" s="21">
        <f>EXP(-LN(2)/2)*EC91+(1-EXP(-LN(2)/2))/(LN(2)/2)*DW92*DZ92*VLOOKUP('Données projet'!$B$14,Paramètres!$A$1:$I$89,3,0)*0.475*44/12</f>
        <v>2.6593101323327846E-8</v>
      </c>
      <c r="ED92" s="22">
        <f t="shared" si="72"/>
        <v>6.2107329691488626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>
        <f>EJ92*VLOOKUP('Données projet'!$B$15,Paramètres!$A$1:$I$89,3,0)*VLOOKUP('Données projet'!$B$15,Paramètres!$A$1:$I$89,5,0)</f>
        <v>0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258.46015871559956</v>
      </c>
      <c r="EP92" s="59">
        <f t="shared" si="100"/>
        <v>280.26155987300996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1.9310759444788228</v>
      </c>
      <c r="EW92" s="21">
        <f>EXP(-LN(2)/25)*EW91+(1-EXP(-LN(2)/25))/(LN(2)/25)*Calculateur!ER92*Calculateur!ET92*VLOOKUP('Données projet'!$B$15,Paramètres!$A$1:$I$89,3,0)*0.475*44/12</f>
        <v>2.4019466716720661</v>
      </c>
      <c r="EX92" s="21">
        <f>EXP(-LN(2)/2)*EX91+(1-EXP(-LN(2)/2))/(LN(2)/2)*ER92*EU92*VLOOKUP('Données projet'!$B$15,Paramètres!$A$1:$I$89,3,0)*0.475*44/12</f>
        <v>7.1724616102198425E-9</v>
      </c>
      <c r="EY92" s="22">
        <f t="shared" si="75"/>
        <v>4.3330226233233509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263</v>
      </c>
      <c r="L93" s="12">
        <f>VLOOKUP(A93,'Données projet'!$A$35:$I$55,9,0)</f>
        <v>3.3</v>
      </c>
      <c r="M93" s="12">
        <f t="array" ref="M93">INDEX(L:L,MIN(IF(ISNUMBER(L93:L289),ROW(L93:L289),"")))</f>
        <v>3.3</v>
      </c>
      <c r="N93" s="13">
        <f>IF('Données projet'!$A$36&gt;35,N92+M93-V92,IF(A93&lt;'Données projet'!$A$36,$K$205^A93,IF(A93='Données projet'!$A$36,'Données projet'!$B$36,N92+M93-V92)))</f>
        <v>263.00000000000017</v>
      </c>
      <c r="O93" s="13">
        <f>N93*VLOOKUP('Données projet'!$B$9,Paramètres!$A$1:$I$89,3,0)*VLOOKUP('Données projet'!$B$9,Paramètres!$A$1:$I$89,5,0)</f>
        <v>229.7568000000002</v>
      </c>
      <c r="P93" s="13">
        <f t="shared" si="87"/>
        <v>56.230092767727569</v>
      </c>
      <c r="Q93" s="20">
        <f t="shared" si="54"/>
        <v>498.09383823712591</v>
      </c>
      <c r="R93" s="59">
        <f t="shared" si="55"/>
        <v>791.42717157045922</v>
      </c>
      <c r="S93" s="59">
        <f ca="1">AVERAGE(OFFSET($R$3,0,0,'Données projet'!$E$9+1,1))-AVERAGE(OFFSET($H$3,0,0,'Données projet'!$E$9+1,1))</f>
        <v>368.41876532159154</v>
      </c>
      <c r="T93" s="59">
        <f t="shared" si="88"/>
        <v>369.39570124551125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26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1.8767757535804503</v>
      </c>
      <c r="AA93" s="21">
        <f>EXP(-LN(2)/25)*AA92+(1-EXP(-LN(2)/25))/(LN(2)/25)*Calculateur!V93*Calculateur!X93*VLOOKUP('Données projet'!$B$9,Paramètres!$A$1:$I$89,3,0)*0.475*44/12</f>
        <v>3.0733049352151869</v>
      </c>
      <c r="AB93" s="21">
        <f>EXP(-LN(2)/2)*AB92+(1-EXP(-LN(2)/2))/(LN(2)/2)*V93*Y93*VLOOKUP('Données projet'!$B$9,Paramètres!$A$1:$I$89,3,0)*0.475*44/12</f>
        <v>1.6550198813848975E-8</v>
      </c>
      <c r="AC93" s="22">
        <f t="shared" si="57"/>
        <v>4.9500807053458358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-5.1159076974727213E-13</v>
      </c>
      <c r="AJ93" s="13">
        <f>AI93*VLOOKUP('Données projet'!$B$10,Paramètres!$A$1:$I$89,3,0)*VLOOKUP('Données projet'!$B$10,Paramètres!$A$1:$I$89,5,0)</f>
        <v>-4.4692569645121704E-13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402.82278346470082</v>
      </c>
      <c r="AO93" s="59">
        <f t="shared" si="90"/>
        <v>440.17787299198977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1.091898386485666</v>
      </c>
      <c r="AV93" s="21">
        <f>EXP(-LN(2)/25)*AV92+(1-EXP(-LN(2)/25))/(LN(2)/25)*Calculateur!AQ93*Calculateur!AS93*VLOOKUP('Données projet'!$B$10,Paramètres!$A$1:$I$89,3,0)*0.475*44/12</f>
        <v>4.2688884807315119</v>
      </c>
      <c r="AW93" s="21">
        <f>EXP(-LN(2)/2)*AW92+(1-EXP(-LN(2)/2))/(LN(2)/2)*AQ93*AT93*VLOOKUP('Données projet'!$B$10,Paramètres!$A$1:$I$89,3,0)*0.475*44/12</f>
        <v>2.4583006572679734E-8</v>
      </c>
      <c r="AX93" s="21">
        <f t="shared" si="60"/>
        <v>5.3607868918001849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358</v>
      </c>
      <c r="BB93" s="12">
        <f>VLOOKUP(A93,'Données projet'!$A$87:$I$107,9,0)</f>
        <v>6.6</v>
      </c>
      <c r="BC93" s="12">
        <f t="array" ref="BC93">INDEX(BB:BB,MIN(IF(ISNUMBER(BB93:BB289),ROW(BB93:BB289),"")))</f>
        <v>6.6</v>
      </c>
      <c r="BD93" s="12">
        <f>IF('Données projet'!$A$88&gt;35,BD92+BC93-BL92,IF(A93&lt;'Données projet'!$A$88,$BA$205^A93,IF(A93='Données projet'!$A$88,'Données projet'!$B$88,BD92+BC93-BL92)))</f>
        <v>358</v>
      </c>
      <c r="BE93" s="13">
        <f>BD93*VLOOKUP('Données projet'!$B$11,Paramètres!$A$1:$I$89,3,0)*VLOOKUP('Données projet'!$B$11,Paramètres!$A$1:$I$89,5,0)</f>
        <v>323.91839999999996</v>
      </c>
      <c r="BF93" s="13">
        <f t="shared" si="91"/>
        <v>76.168074587293091</v>
      </c>
      <c r="BG93" s="20">
        <f t="shared" si="61"/>
        <v>696.81727657286876</v>
      </c>
      <c r="BH93" s="59">
        <f t="shared" si="62"/>
        <v>990.15060990620213</v>
      </c>
      <c r="BI93" s="59">
        <f ca="1">AVERAGE(OFFSET($BH$3,0,0,'Données projet'!$E$11+1,1))-AVERAGE(OFFSET($H$3,0,0,'Données projet'!$E$11+1,1))</f>
        <v>469.68830256438338</v>
      </c>
      <c r="BJ93" s="59">
        <f t="shared" si="92"/>
        <v>332.61387922152159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56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0.73401471048389511</v>
      </c>
      <c r="BQ93" s="21">
        <f>EXP(-LN(2)/25)*BQ92+(1-EXP(-LN(2)/25))/(LN(2)/25)*Calculateur!BL93*Calculateur!BN93*VLOOKUP('Données projet'!$B$11,Paramètres!$A$1:$I$89,3,0)*0.475*44/12</f>
        <v>2.1376943458226236</v>
      </c>
      <c r="BR93" s="21">
        <f>EXP(-LN(2)/2)*BR92+(1-EXP(-LN(2)/2))/(LN(2)/2)*BL93*BO93*VLOOKUP('Données projet'!$B$11,Paramètres!$A$1:$I$89,3,0)*0.475*44/12</f>
        <v>2.0073109096015505E-8</v>
      </c>
      <c r="BS93" s="22">
        <f t="shared" si="63"/>
        <v>2.8717090763796276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404</v>
      </c>
      <c r="BW93" s="12">
        <f>VLOOKUP(A93,'Données projet'!$A$113:$I$133,9,0)</f>
        <v>8.1</v>
      </c>
      <c r="BX93" s="12">
        <f t="array" ref="BX93">INDEX(BW:BW,MIN(IF(ISNUMBER(BW93:BW289),ROW(BW93:BW289),"")))</f>
        <v>8.1</v>
      </c>
      <c r="BY93" s="12">
        <f>IF('Données projet'!$A$114&gt;35,BY92+BX93-CG92,IF(A93&lt;'Données projet'!$A$114,$BV$205^A93,IF(A93='Données projet'!$A$114,'Données projet'!$B$114,BY92+BX93-CG92)))</f>
        <v>404.00000000000034</v>
      </c>
      <c r="BZ93" s="13">
        <f>BY93*VLOOKUP('Données projet'!$B$12,Paramètres!$A$1:$I$89,3,0)*VLOOKUP('Données projet'!$B$12,Paramètres!$A$1:$I$89,5,0)</f>
        <v>384.44640000000032</v>
      </c>
      <c r="CA93" s="13">
        <f t="shared" si="93"/>
        <v>88.616170113012146</v>
      </c>
      <c r="CB93" s="20">
        <f t="shared" si="64"/>
        <v>823.91730961349674</v>
      </c>
      <c r="CC93" s="59">
        <f t="shared" si="65"/>
        <v>1117.2506429468301</v>
      </c>
      <c r="CD93" s="59">
        <f ca="1">AVERAGE(OFFSET($CC$3,0,0,'Données projet'!$E$12+1,1))-AVERAGE(OFFSET($H$3,0,0,'Données projet'!$E$12+1,1))</f>
        <v>609.40025883662452</v>
      </c>
      <c r="CE93" s="59">
        <f t="shared" si="94"/>
        <v>294.48909834404577</v>
      </c>
      <c r="CF93" s="15">
        <f>IF(ISNA(VLOOKUP(A93,'Données projet'!$A$113:$I$133,3,0)),0,VLOOKUP(A93,'Données projet'!$A$113:$I$133,3,0))</f>
        <v>7</v>
      </c>
      <c r="CG93" s="15">
        <f>IF(ISNA(VLOOKUP(A93,'Données projet'!$A$113:$I$133,4,0)),0,VLOOKUP(A93,'Données projet'!$A$113:$I$133,4,0))</f>
        <v>53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0.74695201749784279</v>
      </c>
      <c r="CM93" s="21">
        <f>EXP(-LN(2)/2)*CM92+(1-EXP(-LN(2)/2))/(LN(2)/2)*CG93*CJ93*VLOOKUP('Données projet'!$B$12,Paramètres!$A$1:$I$89,3,0)*0.475*44/12</f>
        <v>7.3167279869893593E-9</v>
      </c>
      <c r="CN93" s="22">
        <f t="shared" si="66"/>
        <v>0.74695202481457079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624.6</v>
      </c>
      <c r="CR93" s="12">
        <f>VLOOKUP(A93,'Données projet'!$A$139:$I$159,9,0)</f>
        <v>17.5</v>
      </c>
      <c r="CS93" s="12">
        <f t="array" ref="CS93">INDEX(CR:CR,MIN(IF(ISNUMBER(CR93:CR289),ROW(CR93:CR289),"")))</f>
        <v>17.5</v>
      </c>
      <c r="CT93" s="12">
        <f>IF('Données projet'!$A$140&gt;35,CT92+CS93-DB92,IF(A93&lt;'Données projet'!$A$140,$CQ$205^A93,IF(A93='Données projet'!$A$140,'Données projet'!$B$140,CT92+CS93-DB92)))</f>
        <v>624.59999999999991</v>
      </c>
      <c r="CU93" s="17">
        <f>CT93*VLOOKUP('Données projet'!$B$13,Paramètres!$A$1:$I$89,3,0)*VLOOKUP('Données projet'!$B$13,Paramètres!$A$1:$I$89,5,0)</f>
        <v>292.31279999999998</v>
      </c>
      <c r="CV93" s="13">
        <f t="shared" si="95"/>
        <v>69.562504549179678</v>
      </c>
      <c r="CW93" s="20">
        <f t="shared" si="67"/>
        <v>630.26615542315449</v>
      </c>
      <c r="CX93" s="59">
        <f t="shared" si="68"/>
        <v>923.59948875648774</v>
      </c>
      <c r="CY93" s="59">
        <f ca="1">AVERAGE(OFFSET($CX$3,0,0,'Données projet'!$E$13+1,1))-AVERAGE(OFFSET($H$3,0,0,'Données projet'!$E$13+1,1))</f>
        <v>346.16623654404509</v>
      </c>
      <c r="CZ93" s="59">
        <f t="shared" si="96"/>
        <v>281.80933156559087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83.4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0.95527444320937926</v>
      </c>
      <c r="DG93" s="21">
        <f>EXP(-LN(2)/25)*DG92+(1-EXP(-LN(2)/25))/(LN(2)/25)*Calculateur!DB93*Calculateur!DD93*VLOOKUP('Données projet'!$B$13,Paramètres!$A$1:$I$89,3,0)*0.475*44/12</f>
        <v>1.4883321823724296</v>
      </c>
      <c r="DH93" s="21">
        <f>EXP(-LN(2)/2)*DH92+(1-EXP(-LN(2)/2))/(LN(2)/2)*DB93*DE93*VLOOKUP('Données projet'!$B$13,Paramètres!$A$1:$I$89,3,0)*0.475*44/12</f>
        <v>9.1569279137030168E-9</v>
      </c>
      <c r="DI93" s="22">
        <f t="shared" si="69"/>
        <v>2.4436066347387371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6.2527760746888816E-13</v>
      </c>
      <c r="DP93" s="17">
        <f>DO93*VLOOKUP('Données projet'!$B$14,Paramètres!$A$1:$I$89,3,0)*VLOOKUP('Données projet'!$B$14,Paramètres!$A$1:$I$89,5,0)</f>
        <v>3.9017322706058616E-13</v>
      </c>
      <c r="DQ93" s="13">
        <f t="shared" si="97"/>
        <v>5.0025007393608908E-12</v>
      </c>
      <c r="DR93" s="20">
        <f t="shared" si="70"/>
        <v>9.3922404915174053E-12</v>
      </c>
      <c r="DS93" s="59">
        <f t="shared" si="71"/>
        <v>293.33333333334269</v>
      </c>
      <c r="DT93" s="59">
        <f ca="1">AVERAGE(OFFSET($DS$3,0,0,'Données projet'!$E$14+1,1))-AVERAGE(OFFSET($H$3,0,0,'Données projet'!$E$14+1,1))</f>
        <v>319.97171762304686</v>
      </c>
      <c r="DU93" s="59">
        <f t="shared" si="98"/>
        <v>337.89345858359621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2.119048081589431</v>
      </c>
      <c r="EB93" s="21">
        <f>EXP(-LN(2)/25)*EB92+(1-EXP(-LN(2)/25))/(LN(2)/25)*Calculateur!DW93*Calculateur!DY93*VLOOKUP('Données projet'!$B$14,Paramètres!$A$1:$I$89,3,0)*0.475*44/12</f>
        <v>3.9385721540813829</v>
      </c>
      <c r="EC93" s="21">
        <f>EXP(-LN(2)/2)*EC92+(1-EXP(-LN(2)/2))/(LN(2)/2)*DW93*DZ93*VLOOKUP('Données projet'!$B$14,Paramètres!$A$1:$I$89,3,0)*0.475*44/12</f>
        <v>1.880416227850607E-8</v>
      </c>
      <c r="ED93" s="22">
        <f t="shared" si="72"/>
        <v>6.0576202544749771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>
        <f>EJ93*VLOOKUP('Données projet'!$B$15,Paramètres!$A$1:$I$89,3,0)*VLOOKUP('Données projet'!$B$15,Paramètres!$A$1:$I$89,5,0)</f>
        <v>0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258.46015871559956</v>
      </c>
      <c r="EP93" s="59">
        <f t="shared" si="100"/>
        <v>280.26155987300996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1.8932087230476171</v>
      </c>
      <c r="EW93" s="21">
        <f>EXP(-LN(2)/25)*EW92+(1-EXP(-LN(2)/25))/(LN(2)/25)*Calculateur!ER93*Calculateur!ET93*VLOOKUP('Données projet'!$B$15,Paramètres!$A$1:$I$89,3,0)*0.475*44/12</f>
        <v>2.3362653136223077</v>
      </c>
      <c r="EX93" s="21">
        <f>EXP(-LN(2)/2)*EX92+(1-EXP(-LN(2)/2))/(LN(2)/2)*ER93*EU93*VLOOKUP('Données projet'!$B$15,Paramètres!$A$1:$I$89,3,0)*0.475*44/12</f>
        <v>5.0716962423866344E-9</v>
      </c>
      <c r="EY93" s="22">
        <f t="shared" si="75"/>
        <v>4.2294740417416206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3</v>
      </c>
      <c r="N94" s="13">
        <f>IF('Données projet'!$A$36&gt;35,N93+M94-V93,IF(A94&lt;'Données projet'!$A$36,$K$205^A94,IF(A94='Données projet'!$A$36,'Données projet'!$B$36,N93+M94-V93)))</f>
        <v>240.00000000000017</v>
      </c>
      <c r="O94" s="13">
        <f>N94*VLOOKUP('Données projet'!$B$9,Paramètres!$A$1:$I$89,3,0)*VLOOKUP('Données projet'!$B$9,Paramètres!$A$1:$I$89,5,0)</f>
        <v>209.66400000000019</v>
      </c>
      <c r="P94" s="13">
        <f t="shared" si="87"/>
        <v>51.862154403304579</v>
      </c>
      <c r="Q94" s="20">
        <f t="shared" si="54"/>
        <v>455.49138558575578</v>
      </c>
      <c r="R94" s="59">
        <f t="shared" si="55"/>
        <v>748.82471891908904</v>
      </c>
      <c r="S94" s="59">
        <f ca="1">AVERAGE(OFFSET($R$3,0,0,'Données projet'!$E$9+1,1))-AVERAGE(OFFSET($H$3,0,0,'Données projet'!$E$9+1,1))</f>
        <v>368.41876532159154</v>
      </c>
      <c r="T94" s="59">
        <f t="shared" si="88"/>
        <v>369.39570124551125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1.8399733257729156</v>
      </c>
      <c r="AA94" s="21">
        <f>EXP(-LN(2)/25)*AA93+(1-EXP(-LN(2)/25))/(LN(2)/25)*Calculateur!V94*Calculateur!X94*VLOOKUP('Données projet'!$B$9,Paramètres!$A$1:$I$89,3,0)*0.475*44/12</f>
        <v>2.989265250143645</v>
      </c>
      <c r="AB94" s="21">
        <f>EXP(-LN(2)/2)*AB93+(1-EXP(-LN(2)/2))/(LN(2)/2)*V94*Y94*VLOOKUP('Données projet'!$B$9,Paramètres!$A$1:$I$89,3,0)*0.475*44/12</f>
        <v>1.1702757811258166E-8</v>
      </c>
      <c r="AC94" s="22">
        <f t="shared" si="57"/>
        <v>4.8292385876193187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-5.1159076974727213E-13</v>
      </c>
      <c r="AJ94" s="13">
        <f>AI94*VLOOKUP('Données projet'!$B$10,Paramètres!$A$1:$I$89,3,0)*VLOOKUP('Données projet'!$B$10,Paramètres!$A$1:$I$89,5,0)</f>
        <v>-4.4692569645121704E-13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402.82278346470082</v>
      </c>
      <c r="AO94" s="59">
        <f t="shared" si="90"/>
        <v>440.17787299198977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1.0704869251189366</v>
      </c>
      <c r="AV94" s="21">
        <f>EXP(-LN(2)/25)*AV93+(1-EXP(-LN(2)/25))/(LN(2)/25)*Calculateur!AQ94*Calculateur!AS94*VLOOKUP('Données projet'!$B$10,Paramètres!$A$1:$I$89,3,0)*0.475*44/12</f>
        <v>4.1521555007348203</v>
      </c>
      <c r="AW94" s="21">
        <f>EXP(-LN(2)/2)*AW93+(1-EXP(-LN(2)/2))/(LN(2)/2)*AQ94*AT94*VLOOKUP('Données projet'!$B$10,Paramètres!$A$1:$I$89,3,0)*0.475*44/12</f>
        <v>1.7382810649495308E-8</v>
      </c>
      <c r="AX94" s="21">
        <f t="shared" si="60"/>
        <v>5.2226424432365679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5.9</v>
      </c>
      <c r="BD94" s="12">
        <f>IF('Données projet'!$A$88&gt;35,BD93+BC94-BL93,IF(A94&lt;'Données projet'!$A$88,$BA$205^A94,IF(A94='Données projet'!$A$88,'Données projet'!$B$88,BD93+BC94-BL93)))</f>
        <v>307.89999999999998</v>
      </c>
      <c r="BE94" s="13">
        <f>BD94*VLOOKUP('Données projet'!$B$11,Paramètres!$A$1:$I$89,3,0)*VLOOKUP('Données projet'!$B$11,Paramètres!$A$1:$I$89,5,0)</f>
        <v>278.58791999999994</v>
      </c>
      <c r="BF94" s="13">
        <f t="shared" si="91"/>
        <v>66.668508032294213</v>
      </c>
      <c r="BG94" s="20">
        <f t="shared" si="61"/>
        <v>601.32161215624558</v>
      </c>
      <c r="BH94" s="59">
        <f t="shared" si="62"/>
        <v>894.65494548957895</v>
      </c>
      <c r="BI94" s="59">
        <f ca="1">AVERAGE(OFFSET($BH$3,0,0,'Données projet'!$E$11+1,1))-AVERAGE(OFFSET($H$3,0,0,'Données projet'!$E$11+1,1))</f>
        <v>469.68830256438338</v>
      </c>
      <c r="BJ94" s="59">
        <f t="shared" si="92"/>
        <v>332.61387922152159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0.71962112971607217</v>
      </c>
      <c r="BQ94" s="21">
        <f>EXP(-LN(2)/25)*BQ93+(1-EXP(-LN(2)/25))/(LN(2)/25)*Calculateur!BL94*Calculateur!BN94*VLOOKUP('Données projet'!$B$11,Paramètres!$A$1:$I$89,3,0)*0.475*44/12</f>
        <v>2.0792389815196439</v>
      </c>
      <c r="BR94" s="21">
        <f>EXP(-LN(2)/2)*BR93+(1-EXP(-LN(2)/2))/(LN(2)/2)*BL94*BO94*VLOOKUP('Données projet'!$B$11,Paramètres!$A$1:$I$89,3,0)*0.475*44/12</f>
        <v>1.4193831561289933E-8</v>
      </c>
      <c r="BS94" s="22">
        <f t="shared" si="63"/>
        <v>2.7988601254295475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7.4</v>
      </c>
      <c r="BY94" s="12">
        <f>IF('Données projet'!$A$114&gt;35,BY93+BX94-CG93,IF(A94&lt;'Données projet'!$A$114,$BV$205^A94,IF(A94='Données projet'!$A$114,'Données projet'!$B$114,BY93+BX94-CG93)))</f>
        <v>358.40000000000032</v>
      </c>
      <c r="BZ94" s="13">
        <f>BY94*VLOOKUP('Données projet'!$B$12,Paramètres!$A$1:$I$89,3,0)*VLOOKUP('Données projet'!$B$12,Paramètres!$A$1:$I$89,5,0)</f>
        <v>341.05344000000031</v>
      </c>
      <c r="CA94" s="13">
        <f t="shared" si="93"/>
        <v>79.717554593592794</v>
      </c>
      <c r="CB94" s="20">
        <f t="shared" si="64"/>
        <v>732.84281558384134</v>
      </c>
      <c r="CC94" s="59">
        <f t="shared" si="65"/>
        <v>1026.1761489171747</v>
      </c>
      <c r="CD94" s="59">
        <f ca="1">AVERAGE(OFFSET($CC$3,0,0,'Données projet'!$E$12+1,1))-AVERAGE(OFFSET($H$3,0,0,'Données projet'!$E$12+1,1))</f>
        <v>609.40025883662452</v>
      </c>
      <c r="CE94" s="59">
        <f t="shared" si="94"/>
        <v>294.48909834404577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0.72652657529886489</v>
      </c>
      <c r="CM94" s="21">
        <f>EXP(-LN(2)/2)*CM93+(1-EXP(-LN(2)/2))/(LN(2)/2)*CG94*CJ94*VLOOKUP('Données projet'!$B$12,Paramètres!$A$1:$I$89,3,0)*0.475*44/12</f>
        <v>5.1737079756975735E-9</v>
      </c>
      <c r="CN94" s="22">
        <f t="shared" si="66"/>
        <v>0.7265265804725729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18.5</v>
      </c>
      <c r="CT94" s="12">
        <f>IF('Données projet'!$A$140&gt;35,CT93+CS94-DB93,IF(A94&lt;'Données projet'!$A$140,$CQ$205^A94,IF(A94='Données projet'!$A$140,'Données projet'!$B$140,CT93+CS94-DB93)))</f>
        <v>559.69999999999993</v>
      </c>
      <c r="CU94" s="17">
        <f>CT94*VLOOKUP('Données projet'!$B$13,Paramètres!$A$1:$I$89,3,0)*VLOOKUP('Données projet'!$B$13,Paramètres!$A$1:$I$89,5,0)</f>
        <v>261.93959999999998</v>
      </c>
      <c r="CV94" s="13">
        <f t="shared" si="95"/>
        <v>63.135643285567426</v>
      </c>
      <c r="CW94" s="20">
        <f t="shared" si="67"/>
        <v>566.1727153890298</v>
      </c>
      <c r="CX94" s="59">
        <f t="shared" si="68"/>
        <v>859.50604872236318</v>
      </c>
      <c r="CY94" s="59">
        <f ca="1">AVERAGE(OFFSET($CX$3,0,0,'Données projet'!$E$13+1,1))-AVERAGE(OFFSET($H$3,0,0,'Données projet'!$E$13+1,1))</f>
        <v>346.16623654404509</v>
      </c>
      <c r="CZ94" s="59">
        <f t="shared" si="96"/>
        <v>281.80933156559087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0.93654209403792077</v>
      </c>
      <c r="DG94" s="21">
        <f>EXP(-LN(2)/25)*DG93+(1-EXP(-LN(2)/25))/(LN(2)/25)*Calculateur!DB94*Calculateur!DD94*VLOOKUP('Données projet'!$B$13,Paramètres!$A$1:$I$89,3,0)*0.475*44/12</f>
        <v>1.4476336605774676</v>
      </c>
      <c r="DH94" s="21">
        <f>EXP(-LN(2)/2)*DH93+(1-EXP(-LN(2)/2))/(LN(2)/2)*DB94*DE94*VLOOKUP('Données projet'!$B$13,Paramètres!$A$1:$I$89,3,0)*0.475*44/12</f>
        <v>6.4749258226157884E-9</v>
      </c>
      <c r="DI94" s="22">
        <f t="shared" si="69"/>
        <v>2.3841757610903143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6.2527760746888816E-13</v>
      </c>
      <c r="DP94" s="17">
        <f>DO94*VLOOKUP('Données projet'!$B$14,Paramètres!$A$1:$I$89,3,0)*VLOOKUP('Données projet'!$B$14,Paramètres!$A$1:$I$89,5,0)</f>
        <v>3.9017322706058616E-13</v>
      </c>
      <c r="DQ94" s="13">
        <f t="shared" si="97"/>
        <v>5.0025007393608908E-12</v>
      </c>
      <c r="DR94" s="20">
        <f t="shared" si="70"/>
        <v>9.3922404915174053E-12</v>
      </c>
      <c r="DS94" s="59">
        <f t="shared" si="71"/>
        <v>293.33333333334269</v>
      </c>
      <c r="DT94" s="59">
        <f ca="1">AVERAGE(OFFSET($DS$3,0,0,'Données projet'!$E$14+1,1))-AVERAGE(OFFSET($H$3,0,0,'Données projet'!$E$14+1,1))</f>
        <v>319.97171762304686</v>
      </c>
      <c r="DU94" s="59">
        <f t="shared" si="98"/>
        <v>337.89345858359621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2.0774948412011689</v>
      </c>
      <c r="EB94" s="21">
        <f>EXP(-LN(2)/25)*EB93+(1-EXP(-LN(2)/25))/(LN(2)/25)*Calculateur!DW94*Calculateur!DY94*VLOOKUP('Données projet'!$B$14,Paramètres!$A$1:$I$89,3,0)*0.475*44/12</f>
        <v>3.8308716914075198</v>
      </c>
      <c r="EC94" s="21">
        <f>EXP(-LN(2)/2)*EC93+(1-EXP(-LN(2)/2))/(LN(2)/2)*DW94*DZ94*VLOOKUP('Données projet'!$B$14,Paramètres!$A$1:$I$89,3,0)*0.475*44/12</f>
        <v>1.3296550661663923E-8</v>
      </c>
      <c r="ED94" s="22">
        <f t="shared" si="72"/>
        <v>5.9083665459052392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>
        <f>EJ94*VLOOKUP('Données projet'!$B$15,Paramètres!$A$1:$I$89,3,0)*VLOOKUP('Données projet'!$B$15,Paramètres!$A$1:$I$89,5,0)</f>
        <v>0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258.46015871559956</v>
      </c>
      <c r="EP94" s="59">
        <f t="shared" si="100"/>
        <v>280.26155987300996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1.856084054731953</v>
      </c>
      <c r="EW94" s="21">
        <f>EXP(-LN(2)/25)*EW93+(1-EXP(-LN(2)/25))/(LN(2)/25)*Calculateur!ER94*Calculateur!ET94*VLOOKUP('Données projet'!$B$15,Paramètres!$A$1:$I$89,3,0)*0.475*44/12</f>
        <v>2.2723800157624523</v>
      </c>
      <c r="EX94" s="21">
        <f>EXP(-LN(2)/2)*EX93+(1-EXP(-LN(2)/2))/(LN(2)/2)*ER94*EU94*VLOOKUP('Données projet'!$B$15,Paramètres!$A$1:$I$89,3,0)*0.475*44/12</f>
        <v>3.5862308051099212E-9</v>
      </c>
      <c r="EY94" s="22">
        <f t="shared" si="75"/>
        <v>4.128464074080636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3</v>
      </c>
      <c r="N95" s="13">
        <f>IF('Données projet'!$A$36&gt;35,N94+M95-V94,IF(A95&lt;'Données projet'!$A$36,$K$205^A95,IF(A95='Données projet'!$A$36,'Données projet'!$B$36,N94+M95-V94)))</f>
        <v>243.00000000000017</v>
      </c>
      <c r="O95" s="13">
        <f>N95*VLOOKUP('Données projet'!$B$9,Paramètres!$A$1:$I$89,3,0)*VLOOKUP('Données projet'!$B$9,Paramètres!$A$1:$I$89,5,0)</f>
        <v>212.28480000000016</v>
      </c>
      <c r="P95" s="13">
        <f t="shared" si="87"/>
        <v>52.434557099704236</v>
      </c>
      <c r="Q95" s="20">
        <f t="shared" si="54"/>
        <v>461.0528802819851</v>
      </c>
      <c r="R95" s="59">
        <f t="shared" si="55"/>
        <v>754.38621361531841</v>
      </c>
      <c r="S95" s="59">
        <f ca="1">AVERAGE(OFFSET($R$3,0,0,'Données projet'!$E$9+1,1))-AVERAGE(OFFSET($H$3,0,0,'Données projet'!$E$9+1,1))</f>
        <v>368.41876532159154</v>
      </c>
      <c r="T95" s="59">
        <f t="shared" si="88"/>
        <v>369.39570124551125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1.8038925711274223</v>
      </c>
      <c r="AA95" s="21">
        <f>EXP(-LN(2)/25)*AA94+(1-EXP(-LN(2)/25))/(LN(2)/25)*Calculateur!V95*Calculateur!X95*VLOOKUP('Données projet'!$B$9,Paramètres!$A$1:$I$89,3,0)*0.475*44/12</f>
        <v>2.9075236346798397</v>
      </c>
      <c r="AB95" s="21">
        <f>EXP(-LN(2)/2)*AB94+(1-EXP(-LN(2)/2))/(LN(2)/2)*V95*Y95*VLOOKUP('Données projet'!$B$9,Paramètres!$A$1:$I$89,3,0)*0.475*44/12</f>
        <v>8.2750994069244876E-9</v>
      </c>
      <c r="AC95" s="22">
        <f t="shared" si="57"/>
        <v>4.7114162140823614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-5.1159076974727213E-13</v>
      </c>
      <c r="AJ95" s="13">
        <f>AI95*VLOOKUP('Données projet'!$B$10,Paramètres!$A$1:$I$89,3,0)*VLOOKUP('Données projet'!$B$10,Paramètres!$A$1:$I$89,5,0)</f>
        <v>-4.4692569645121704E-13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402.82278346470082</v>
      </c>
      <c r="AO95" s="59">
        <f t="shared" si="90"/>
        <v>440.17787299198977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1.0494953294499068</v>
      </c>
      <c r="AV95" s="21">
        <f>EXP(-LN(2)/25)*AV94+(1-EXP(-LN(2)/25))/(LN(2)/25)*Calculateur!AQ95*Calculateur!AS95*VLOOKUP('Données projet'!$B$10,Paramètres!$A$1:$I$89,3,0)*0.475*44/12</f>
        <v>4.0386145902148591</v>
      </c>
      <c r="AW95" s="21">
        <f>EXP(-LN(2)/2)*AW94+(1-EXP(-LN(2)/2))/(LN(2)/2)*AQ95*AT95*VLOOKUP('Données projet'!$B$10,Paramètres!$A$1:$I$89,3,0)*0.475*44/12</f>
        <v>1.2291503286339867E-8</v>
      </c>
      <c r="AX95" s="21">
        <f t="shared" si="60"/>
        <v>5.0881099319562688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5.9</v>
      </c>
      <c r="BD95" s="12">
        <f>IF('Données projet'!$A$88&gt;35,BD94+BC95-BL94,IF(A95&lt;'Données projet'!$A$88,$BA$205^A95,IF(A95='Données projet'!$A$88,'Données projet'!$B$88,BD94+BC95-BL94)))</f>
        <v>313.79999999999995</v>
      </c>
      <c r="BE95" s="13">
        <f>BD95*VLOOKUP('Données projet'!$B$11,Paramètres!$A$1:$I$89,3,0)*VLOOKUP('Données projet'!$B$11,Paramètres!$A$1:$I$89,5,0)</f>
        <v>283.92623999999995</v>
      </c>
      <c r="BF95" s="13">
        <f t="shared" si="91"/>
        <v>67.796062628528304</v>
      </c>
      <c r="BG95" s="20">
        <f t="shared" si="61"/>
        <v>612.58301041135337</v>
      </c>
      <c r="BH95" s="59">
        <f t="shared" si="62"/>
        <v>905.91634374468663</v>
      </c>
      <c r="BI95" s="59">
        <f ca="1">AVERAGE(OFFSET($BH$3,0,0,'Données projet'!$E$11+1,1))-AVERAGE(OFFSET($H$3,0,0,'Données projet'!$E$11+1,1))</f>
        <v>469.68830256438338</v>
      </c>
      <c r="BJ95" s="59">
        <f t="shared" si="92"/>
        <v>332.61387922152159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0.70550979828788885</v>
      </c>
      <c r="BQ95" s="21">
        <f>EXP(-LN(2)/25)*BQ94+(1-EXP(-LN(2)/25))/(LN(2)/25)*Calculateur!BL95*Calculateur!BN95*VLOOKUP('Données projet'!$B$11,Paramètres!$A$1:$I$89,3,0)*0.475*44/12</f>
        <v>2.0223820822275633</v>
      </c>
      <c r="BR95" s="21">
        <f>EXP(-LN(2)/2)*BR94+(1-EXP(-LN(2)/2))/(LN(2)/2)*BL95*BO95*VLOOKUP('Données projet'!$B$11,Paramètres!$A$1:$I$89,3,0)*0.475*44/12</f>
        <v>1.0036554548007754E-8</v>
      </c>
      <c r="BS95" s="22">
        <f t="shared" si="63"/>
        <v>2.7278918905520069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7.4</v>
      </c>
      <c r="BY95" s="12">
        <f>IF('Données projet'!$A$114&gt;35,BY94+BX95-CG94,IF(A95&lt;'Données projet'!$A$114,$BV$205^A95,IF(A95='Données projet'!$A$114,'Données projet'!$B$114,BY94+BX95-CG94)))</f>
        <v>365.8000000000003</v>
      </c>
      <c r="BZ95" s="13">
        <f>BY95*VLOOKUP('Données projet'!$B$12,Paramètres!$A$1:$I$89,3,0)*VLOOKUP('Données projet'!$B$12,Paramètres!$A$1:$I$89,5,0)</f>
        <v>348.09528000000029</v>
      </c>
      <c r="CA95" s="13">
        <f t="shared" si="93"/>
        <v>81.170185135132598</v>
      </c>
      <c r="CB95" s="20">
        <f t="shared" si="64"/>
        <v>747.63735177702301</v>
      </c>
      <c r="CC95" s="59">
        <f t="shared" si="65"/>
        <v>1040.9706851103563</v>
      </c>
      <c r="CD95" s="59">
        <f ca="1">AVERAGE(OFFSET($CC$3,0,0,'Données projet'!$E$12+1,1))-AVERAGE(OFFSET($H$3,0,0,'Données projet'!$E$12+1,1))</f>
        <v>609.40025883662452</v>
      </c>
      <c r="CE95" s="59">
        <f t="shared" si="94"/>
        <v>294.48909834404577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0.70665966789094536</v>
      </c>
      <c r="CM95" s="21">
        <f>EXP(-LN(2)/2)*CM94+(1-EXP(-LN(2)/2))/(LN(2)/2)*CG95*CJ95*VLOOKUP('Données projet'!$B$12,Paramètres!$A$1:$I$89,3,0)*0.475*44/12</f>
        <v>3.6583639934946801E-9</v>
      </c>
      <c r="CN95" s="22">
        <f t="shared" si="66"/>
        <v>0.70665967154930931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18.5</v>
      </c>
      <c r="CT95" s="12">
        <f>IF('Données projet'!$A$140&gt;35,CT94+CS95-DB94,IF(A95&lt;'Données projet'!$A$140,$CQ$205^A95,IF(A95='Données projet'!$A$140,'Données projet'!$B$140,CT94+CS95-DB94)))</f>
        <v>578.19999999999993</v>
      </c>
      <c r="CU95" s="17">
        <f>CT95*VLOOKUP('Données projet'!$B$13,Paramètres!$A$1:$I$89,3,0)*VLOOKUP('Données projet'!$B$13,Paramètres!$A$1:$I$89,5,0)</f>
        <v>270.59759999999994</v>
      </c>
      <c r="CV95" s="13">
        <f t="shared" si="95"/>
        <v>64.976078766498532</v>
      </c>
      <c r="CW95" s="20">
        <f t="shared" si="67"/>
        <v>584.45749051831808</v>
      </c>
      <c r="CX95" s="59">
        <f t="shared" si="68"/>
        <v>877.79082385165134</v>
      </c>
      <c r="CY95" s="59">
        <f ca="1">AVERAGE(OFFSET($CX$3,0,0,'Données projet'!$E$13+1,1))-AVERAGE(OFFSET($H$3,0,0,'Données projet'!$E$13+1,1))</f>
        <v>346.16623654404509</v>
      </c>
      <c r="CZ95" s="59">
        <f t="shared" si="96"/>
        <v>281.80933156559087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0.91817707480810984</v>
      </c>
      <c r="DG95" s="21">
        <f>EXP(-LN(2)/25)*DG94+(1-EXP(-LN(2)/25))/(LN(2)/25)*Calculateur!DB95*Calculateur!DD95*VLOOKUP('Données projet'!$B$13,Paramètres!$A$1:$I$89,3,0)*0.475*44/12</f>
        <v>1.4080480420012311</v>
      </c>
      <c r="DH95" s="21">
        <f>EXP(-LN(2)/2)*DH94+(1-EXP(-LN(2)/2))/(LN(2)/2)*DB95*DE95*VLOOKUP('Données projet'!$B$13,Paramètres!$A$1:$I$89,3,0)*0.475*44/12</f>
        <v>4.5784639568515084E-9</v>
      </c>
      <c r="DI95" s="22">
        <f t="shared" si="69"/>
        <v>2.3262251213878047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6.2527760746888816E-13</v>
      </c>
      <c r="DP95" s="17">
        <f>DO95*VLOOKUP('Données projet'!$B$14,Paramètres!$A$1:$I$89,3,0)*VLOOKUP('Données projet'!$B$14,Paramètres!$A$1:$I$89,5,0)</f>
        <v>3.9017322706058616E-13</v>
      </c>
      <c r="DQ95" s="13">
        <f t="shared" si="97"/>
        <v>5.0025007393608908E-12</v>
      </c>
      <c r="DR95" s="20">
        <f t="shared" si="70"/>
        <v>9.3922404915174053E-12</v>
      </c>
      <c r="DS95" s="59">
        <f t="shared" si="71"/>
        <v>293.33333333334269</v>
      </c>
      <c r="DT95" s="59">
        <f ca="1">AVERAGE(OFFSET($DS$3,0,0,'Données projet'!$E$14+1,1))-AVERAGE(OFFSET($H$3,0,0,'Données projet'!$E$14+1,1))</f>
        <v>319.97171762304686</v>
      </c>
      <c r="DU95" s="59">
        <f t="shared" si="98"/>
        <v>337.89345858359621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2.0367564345119469</v>
      </c>
      <c r="EB95" s="21">
        <f>EXP(-LN(2)/25)*EB94+(1-EXP(-LN(2)/25))/(LN(2)/25)*Calculateur!DW95*Calculateur!DY95*VLOOKUP('Données projet'!$B$14,Paramètres!$A$1:$I$89,3,0)*0.475*44/12</f>
        <v>3.7261163035491944</v>
      </c>
      <c r="EC95" s="21">
        <f>EXP(-LN(2)/2)*EC94+(1-EXP(-LN(2)/2))/(LN(2)/2)*DW95*DZ95*VLOOKUP('Données projet'!$B$14,Paramètres!$A$1:$I$89,3,0)*0.475*44/12</f>
        <v>9.4020811392530352E-9</v>
      </c>
      <c r="ED95" s="22">
        <f t="shared" si="72"/>
        <v>5.7628727474632218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>
        <f>EJ95*VLOOKUP('Données projet'!$B$15,Paramètres!$A$1:$I$89,3,0)*VLOOKUP('Données projet'!$B$15,Paramètres!$A$1:$I$89,5,0)</f>
        <v>0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258.46015871559956</v>
      </c>
      <c r="EP95" s="59">
        <f t="shared" si="100"/>
        <v>280.26155987300996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1.8196873785181473</v>
      </c>
      <c r="EW95" s="21">
        <f>EXP(-LN(2)/25)*EW94+(1-EXP(-LN(2)/25))/(LN(2)/25)*Calculateur!ER95*Calculateur!ET95*VLOOKUP('Données projet'!$B$15,Paramètres!$A$1:$I$89,3,0)*0.475*44/12</f>
        <v>2.2102416647321568</v>
      </c>
      <c r="EX95" s="21">
        <f>EXP(-LN(2)/2)*EX94+(1-EXP(-LN(2)/2))/(LN(2)/2)*ER95*EU95*VLOOKUP('Données projet'!$B$15,Paramètres!$A$1:$I$89,3,0)*0.475*44/12</f>
        <v>2.5358481211933172E-9</v>
      </c>
      <c r="EY95" s="22">
        <f t="shared" si="75"/>
        <v>4.0299290457861519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3</v>
      </c>
      <c r="N96" s="13">
        <f>IF('Données projet'!$A$36&gt;35,N95+M96-V95,IF(A96&lt;'Données projet'!$A$36,$K$205^A96,IF(A96='Données projet'!$A$36,'Données projet'!$B$36,N95+M96-V95)))</f>
        <v>246.00000000000017</v>
      </c>
      <c r="O96" s="13">
        <f>N96*VLOOKUP('Données projet'!$B$9,Paramètres!$A$1:$I$89,3,0)*VLOOKUP('Données projet'!$B$9,Paramètres!$A$1:$I$89,5,0)</f>
        <v>214.90560000000016</v>
      </c>
      <c r="P96" s="13">
        <f t="shared" si="87"/>
        <v>53.006137800892375</v>
      </c>
      <c r="Q96" s="20">
        <f t="shared" si="54"/>
        <v>466.61294333655451</v>
      </c>
      <c r="R96" s="59">
        <f t="shared" si="55"/>
        <v>759.94627666988777</v>
      </c>
      <c r="S96" s="59">
        <f ca="1">AVERAGE(OFFSET($R$3,0,0,'Données projet'!$E$9+1,1))-AVERAGE(OFFSET($H$3,0,0,'Données projet'!$E$9+1,1))</f>
        <v>368.41876532159154</v>
      </c>
      <c r="T96" s="59">
        <f t="shared" si="88"/>
        <v>369.39570124551125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1.7685193380734396</v>
      </c>
      <c r="AA96" s="21">
        <f>EXP(-LN(2)/25)*AA95+(1-EXP(-LN(2)/25))/(LN(2)/25)*Calculateur!V96*Calculateur!X96*VLOOKUP('Données projet'!$B$9,Paramètres!$A$1:$I$89,3,0)*0.475*44/12</f>
        <v>2.8280172479894969</v>
      </c>
      <c r="AB96" s="21">
        <f>EXP(-LN(2)/2)*AB95+(1-EXP(-LN(2)/2))/(LN(2)/2)*V96*Y96*VLOOKUP('Données projet'!$B$9,Paramètres!$A$1:$I$89,3,0)*0.475*44/12</f>
        <v>5.8513789056290829E-9</v>
      </c>
      <c r="AC96" s="22">
        <f t="shared" si="57"/>
        <v>4.5965365919143153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-5.1159076974727213E-13</v>
      </c>
      <c r="AJ96" s="13">
        <f>AI96*VLOOKUP('Données projet'!$B$10,Paramètres!$A$1:$I$89,3,0)*VLOOKUP('Données projet'!$B$10,Paramètres!$A$1:$I$89,5,0)</f>
        <v>-4.4692569645121704E-13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402.82278346470082</v>
      </c>
      <c r="AO96" s="59">
        <f t="shared" si="90"/>
        <v>440.17787299198977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1.0289153661683377</v>
      </c>
      <c r="AV96" s="21">
        <f>EXP(-LN(2)/25)*AV95+(1-EXP(-LN(2)/25))/(LN(2)/25)*Calculateur!AQ96*Calculateur!AS96*VLOOKUP('Données projet'!$B$10,Paramètres!$A$1:$I$89,3,0)*0.475*44/12</f>
        <v>3.9281784618639231</v>
      </c>
      <c r="AW96" s="21">
        <f>EXP(-LN(2)/2)*AW95+(1-EXP(-LN(2)/2))/(LN(2)/2)*AQ96*AT96*VLOOKUP('Données projet'!$B$10,Paramètres!$A$1:$I$89,3,0)*0.475*44/12</f>
        <v>8.6914053247476541E-9</v>
      </c>
      <c r="AX96" s="21">
        <f t="shared" si="60"/>
        <v>4.9570938367236659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5.9</v>
      </c>
      <c r="BD96" s="12">
        <f>IF('Données projet'!$A$88&gt;35,BD95+BC96-BL95,IF(A96&lt;'Données projet'!$A$88,$BA$205^A96,IF(A96='Données projet'!$A$88,'Données projet'!$B$88,BD95+BC96-BL95)))</f>
        <v>319.69999999999993</v>
      </c>
      <c r="BE96" s="13">
        <f>BD96*VLOOKUP('Données projet'!$B$11,Paramètres!$A$1:$I$89,3,0)*VLOOKUP('Données projet'!$B$11,Paramètres!$A$1:$I$89,5,0)</f>
        <v>289.26455999999996</v>
      </c>
      <c r="BF96" s="13">
        <f t="shared" si="91"/>
        <v>68.921152085057912</v>
      </c>
      <c r="BG96" s="20">
        <f t="shared" si="61"/>
        <v>623.84011521480909</v>
      </c>
      <c r="BH96" s="59">
        <f t="shared" si="62"/>
        <v>917.17344854814246</v>
      </c>
      <c r="BI96" s="59">
        <f ca="1">AVERAGE(OFFSET($BH$3,0,0,'Données projet'!$E$11+1,1))-AVERAGE(OFFSET($H$3,0,0,'Données projet'!$E$11+1,1))</f>
        <v>469.68830256438338</v>
      </c>
      <c r="BJ96" s="59">
        <f t="shared" si="92"/>
        <v>332.61387922152159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0.69167518146194984</v>
      </c>
      <c r="BQ96" s="21">
        <f>EXP(-LN(2)/25)*BQ95+(1-EXP(-LN(2)/25))/(LN(2)/25)*Calculateur!BL96*Calculateur!BN96*VLOOKUP('Données projet'!$B$11,Paramètres!$A$1:$I$89,3,0)*0.475*44/12</f>
        <v>1.9670799378365991</v>
      </c>
      <c r="BR96" s="21">
        <f>EXP(-LN(2)/2)*BR95+(1-EXP(-LN(2)/2))/(LN(2)/2)*BL96*BO96*VLOOKUP('Données projet'!$B$11,Paramètres!$A$1:$I$89,3,0)*0.475*44/12</f>
        <v>7.0969157806449674E-9</v>
      </c>
      <c r="BS96" s="22">
        <f t="shared" si="63"/>
        <v>2.658755126395465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7.4</v>
      </c>
      <c r="BY96" s="12">
        <f>IF('Données projet'!$A$114&gt;35,BY95+BX96-CG95,IF(A96&lt;'Données projet'!$A$114,$BV$205^A96,IF(A96='Données projet'!$A$114,'Données projet'!$B$114,BY95+BX96-CG95)))</f>
        <v>373.20000000000027</v>
      </c>
      <c r="BZ96" s="13">
        <f>BY96*VLOOKUP('Données projet'!$B$12,Paramètres!$A$1:$I$89,3,0)*VLOOKUP('Données projet'!$B$12,Paramètres!$A$1:$I$89,5,0)</f>
        <v>355.13712000000027</v>
      </c>
      <c r="CA96" s="13">
        <f t="shared" si="93"/>
        <v>82.619398902621057</v>
      </c>
      <c r="CB96" s="20">
        <f t="shared" si="64"/>
        <v>762.4259370887321</v>
      </c>
      <c r="CC96" s="59">
        <f t="shared" si="65"/>
        <v>1055.7592704220654</v>
      </c>
      <c r="CD96" s="59">
        <f ca="1">AVERAGE(OFFSET($CC$3,0,0,'Données projet'!$E$12+1,1))-AVERAGE(OFFSET($H$3,0,0,'Données projet'!$E$12+1,1))</f>
        <v>609.40025883662452</v>
      </c>
      <c r="CE96" s="59">
        <f t="shared" si="94"/>
        <v>294.48909834404577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0.68733602211085065</v>
      </c>
      <c r="CM96" s="21">
        <f>EXP(-LN(2)/2)*CM95+(1-EXP(-LN(2)/2))/(LN(2)/2)*CG96*CJ96*VLOOKUP('Données projet'!$B$12,Paramètres!$A$1:$I$89,3,0)*0.475*44/12</f>
        <v>2.5868539878487872E-9</v>
      </c>
      <c r="CN96" s="22">
        <f t="shared" si="66"/>
        <v>0.68733602469770461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18.5</v>
      </c>
      <c r="CT96" s="12">
        <f>IF('Données projet'!$A$140&gt;35,CT95+CS96-DB95,IF(A96&lt;'Données projet'!$A$140,$CQ$205^A96,IF(A96='Données projet'!$A$140,'Données projet'!$B$140,CT95+CS96-DB95)))</f>
        <v>596.69999999999993</v>
      </c>
      <c r="CU96" s="17">
        <f>CT96*VLOOKUP('Données projet'!$B$13,Paramètres!$A$1:$I$89,3,0)*VLOOKUP('Données projet'!$B$13,Paramètres!$A$1:$I$89,5,0)</f>
        <v>279.25559999999996</v>
      </c>
      <c r="CV96" s="13">
        <f t="shared" si="95"/>
        <v>66.809671397146161</v>
      </c>
      <c r="CW96" s="20">
        <f t="shared" si="67"/>
        <v>602.73034768336277</v>
      </c>
      <c r="CX96" s="59">
        <f t="shared" si="68"/>
        <v>896.06368101669614</v>
      </c>
      <c r="CY96" s="59">
        <f ca="1">AVERAGE(OFFSET($CX$3,0,0,'Données projet'!$E$13+1,1))-AVERAGE(OFFSET($H$3,0,0,'Données projet'!$E$13+1,1))</f>
        <v>346.16623654404509</v>
      </c>
      <c r="CZ96" s="59">
        <f t="shared" si="96"/>
        <v>281.80933156559087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0.90017218240383978</v>
      </c>
      <c r="DG96" s="21">
        <f>EXP(-LN(2)/25)*DG95+(1-EXP(-LN(2)/25))/(LN(2)/25)*Calculateur!DB96*Calculateur!DD96*VLOOKUP('Données projet'!$B$13,Paramètres!$A$1:$I$89,3,0)*0.475*44/12</f>
        <v>1.369544894246679</v>
      </c>
      <c r="DH96" s="21">
        <f>EXP(-LN(2)/2)*DH95+(1-EXP(-LN(2)/2))/(LN(2)/2)*DB96*DE96*VLOOKUP('Données projet'!$B$13,Paramètres!$A$1:$I$89,3,0)*0.475*44/12</f>
        <v>3.2374629113078942E-9</v>
      </c>
      <c r="DI96" s="22">
        <f t="shared" si="69"/>
        <v>2.2697170798879815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6.2527760746888816E-13</v>
      </c>
      <c r="DP96" s="17">
        <f>DO96*VLOOKUP('Données projet'!$B$14,Paramètres!$A$1:$I$89,3,0)*VLOOKUP('Données projet'!$B$14,Paramètres!$A$1:$I$89,5,0)</f>
        <v>3.9017322706058616E-13</v>
      </c>
      <c r="DQ96" s="13">
        <f t="shared" si="97"/>
        <v>5.0025007393608908E-12</v>
      </c>
      <c r="DR96" s="20">
        <f t="shared" si="70"/>
        <v>9.3922404915174053E-12</v>
      </c>
      <c r="DS96" s="59">
        <f t="shared" si="71"/>
        <v>293.33333333334269</v>
      </c>
      <c r="DT96" s="59">
        <f ca="1">AVERAGE(OFFSET($DS$3,0,0,'Données projet'!$E$14+1,1))-AVERAGE(OFFSET($H$3,0,0,'Données projet'!$E$14+1,1))</f>
        <v>319.97171762304686</v>
      </c>
      <c r="DU96" s="59">
        <f t="shared" si="98"/>
        <v>337.89345858359621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1.9968168831299258</v>
      </c>
      <c r="EB96" s="21">
        <f>EXP(-LN(2)/25)*EB95+(1-EXP(-LN(2)/25))/(LN(2)/25)*Calculateur!DW96*Calculateur!DY96*VLOOKUP('Données projet'!$B$14,Paramètres!$A$1:$I$89,3,0)*0.475*44/12</f>
        <v>3.6242254572807013</v>
      </c>
      <c r="EC96" s="21">
        <f>EXP(-LN(2)/2)*EC95+(1-EXP(-LN(2)/2))/(LN(2)/2)*DW96*DZ96*VLOOKUP('Données projet'!$B$14,Paramètres!$A$1:$I$89,3,0)*0.475*44/12</f>
        <v>6.6482753308319615E-9</v>
      </c>
      <c r="ED96" s="22">
        <f t="shared" si="72"/>
        <v>5.6210423470589026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>
        <f>EJ96*VLOOKUP('Données projet'!$B$15,Paramètres!$A$1:$I$89,3,0)*VLOOKUP('Données projet'!$B$15,Paramètres!$A$1:$I$89,5,0)</f>
        <v>0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258.46015871559956</v>
      </c>
      <c r="EP96" s="59">
        <f t="shared" si="100"/>
        <v>280.26155987300996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1.7840044189251139</v>
      </c>
      <c r="EW96" s="21">
        <f>EXP(-LN(2)/25)*EW95+(1-EXP(-LN(2)/25))/(LN(2)/25)*Calculateur!ER96*Calculateur!ET96*VLOOKUP('Données projet'!$B$15,Paramètres!$A$1:$I$89,3,0)*0.475*44/12</f>
        <v>2.1498024901784984</v>
      </c>
      <c r="EX96" s="21">
        <f>EXP(-LN(2)/2)*EX95+(1-EXP(-LN(2)/2))/(LN(2)/2)*ER96*EU96*VLOOKUP('Données projet'!$B$15,Paramètres!$A$1:$I$89,3,0)*0.475*44/12</f>
        <v>1.7931154025549606E-9</v>
      </c>
      <c r="EY96" s="22">
        <f t="shared" si="75"/>
        <v>3.933806910896728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3</v>
      </c>
      <c r="N97" s="13">
        <f>IF('Données projet'!$A$36&gt;35,N96+M97-V96,IF(A97&lt;'Données projet'!$A$36,$K$205^A97,IF(A97='Données projet'!$A$36,'Données projet'!$B$36,N96+M97-V96)))</f>
        <v>249.00000000000017</v>
      </c>
      <c r="O97" s="13">
        <f>N97*VLOOKUP('Données projet'!$B$9,Paramètres!$A$1:$I$89,3,0)*VLOOKUP('Données projet'!$B$9,Paramètres!$A$1:$I$89,5,0)</f>
        <v>217.52640000000019</v>
      </c>
      <c r="P97" s="13">
        <f t="shared" si="87"/>
        <v>53.576907690651304</v>
      </c>
      <c r="Q97" s="20">
        <f t="shared" si="54"/>
        <v>472.17159422788467</v>
      </c>
      <c r="R97" s="59">
        <f t="shared" si="55"/>
        <v>765.50492756121798</v>
      </c>
      <c r="S97" s="59">
        <f ca="1">AVERAGE(OFFSET($R$3,0,0,'Données projet'!$E$9+1,1))-AVERAGE(OFFSET($H$3,0,0,'Données projet'!$E$9+1,1))</f>
        <v>368.41876532159154</v>
      </c>
      <c r="T97" s="59">
        <f t="shared" si="88"/>
        <v>369.39570124551125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1.7338397525441038</v>
      </c>
      <c r="AA97" s="21">
        <f>EXP(-LN(2)/25)*AA96+(1-EXP(-LN(2)/25))/(LN(2)/25)*Calculateur!V97*Calculateur!X97*VLOOKUP('Données projet'!$B$9,Paramètres!$A$1:$I$89,3,0)*0.475*44/12</f>
        <v>2.7506849676242604</v>
      </c>
      <c r="AB97" s="21">
        <f>EXP(-LN(2)/2)*AB96+(1-EXP(-LN(2)/2))/(LN(2)/2)*V97*Y97*VLOOKUP('Données projet'!$B$9,Paramètres!$A$1:$I$89,3,0)*0.475*44/12</f>
        <v>4.1375497034622438E-9</v>
      </c>
      <c r="AC97" s="22">
        <f t="shared" si="57"/>
        <v>4.4845247243059143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-5.1159076974727213E-13</v>
      </c>
      <c r="AJ97" s="13">
        <f>AI97*VLOOKUP('Données projet'!$B$10,Paramètres!$A$1:$I$89,3,0)*VLOOKUP('Données projet'!$B$10,Paramètres!$A$1:$I$89,5,0)</f>
        <v>-4.4692569645121704E-13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402.82278346470082</v>
      </c>
      <c r="AO97" s="59">
        <f t="shared" si="90"/>
        <v>440.17787299198977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1.0087389634141819</v>
      </c>
      <c r="AV97" s="21">
        <f>EXP(-LN(2)/25)*AV96+(1-EXP(-LN(2)/25))/(LN(2)/25)*Calculateur!AQ97*Calculateur!AS97*VLOOKUP('Données projet'!$B$10,Paramètres!$A$1:$I$89,3,0)*0.475*44/12</f>
        <v>3.8207622152503267</v>
      </c>
      <c r="AW97" s="21">
        <f>EXP(-LN(2)/2)*AW96+(1-EXP(-LN(2)/2))/(LN(2)/2)*AQ97*AT97*VLOOKUP('Données projet'!$B$10,Paramètres!$A$1:$I$89,3,0)*0.475*44/12</f>
        <v>6.1457516431699336E-9</v>
      </c>
      <c r="AX97" s="21">
        <f t="shared" si="60"/>
        <v>4.82950118481026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5.9</v>
      </c>
      <c r="BD97" s="12">
        <f>IF('Données projet'!$A$88&gt;35,BD96+BC97-BL96,IF(A97&lt;'Données projet'!$A$88,$BA$205^A97,IF(A97='Données projet'!$A$88,'Données projet'!$B$88,BD96+BC97-BL96)))</f>
        <v>325.59999999999991</v>
      </c>
      <c r="BE97" s="13">
        <f>BD97*VLOOKUP('Données projet'!$B$11,Paramètres!$A$1:$I$89,3,0)*VLOOKUP('Données projet'!$B$11,Paramètres!$A$1:$I$89,5,0)</f>
        <v>294.60287999999991</v>
      </c>
      <c r="BF97" s="13">
        <f t="shared" si="91"/>
        <v>70.043827142305673</v>
      </c>
      <c r="BG97" s="20">
        <f t="shared" si="61"/>
        <v>635.09301493951546</v>
      </c>
      <c r="BH97" s="59">
        <f t="shared" si="62"/>
        <v>928.42634827284883</v>
      </c>
      <c r="BI97" s="59">
        <f ca="1">AVERAGE(OFFSET($BH$3,0,0,'Données projet'!$E$11+1,1))-AVERAGE(OFFSET($H$3,0,0,'Données projet'!$E$11+1,1))</f>
        <v>469.68830256438338</v>
      </c>
      <c r="BJ97" s="59">
        <f t="shared" si="92"/>
        <v>332.61387922152159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0.67811185303368449</v>
      </c>
      <c r="BQ97" s="21">
        <f>EXP(-LN(2)/25)*BQ96+(1-EXP(-LN(2)/25))/(LN(2)/25)*Calculateur!BL97*Calculateur!BN97*VLOOKUP('Données projet'!$B$11,Paramètres!$A$1:$I$89,3,0)*0.475*44/12</f>
        <v>1.9132900334922192</v>
      </c>
      <c r="BR97" s="21">
        <f>EXP(-LN(2)/2)*BR96+(1-EXP(-LN(2)/2))/(LN(2)/2)*BL97*BO97*VLOOKUP('Données projet'!$B$11,Paramètres!$A$1:$I$89,3,0)*0.475*44/12</f>
        <v>5.018277274003877E-9</v>
      </c>
      <c r="BS97" s="22">
        <f t="shared" si="63"/>
        <v>2.591401891544181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7.4</v>
      </c>
      <c r="BY97" s="12">
        <f>IF('Données projet'!$A$114&gt;35,BY96+BX97-CG96,IF(A97&lt;'Données projet'!$A$114,$BV$205^A97,IF(A97='Données projet'!$A$114,'Données projet'!$B$114,BY96+BX97-CG96)))</f>
        <v>380.60000000000025</v>
      </c>
      <c r="BZ97" s="13">
        <f>BY97*VLOOKUP('Données projet'!$B$12,Paramètres!$A$1:$I$89,3,0)*VLOOKUP('Données projet'!$B$12,Paramètres!$A$1:$I$89,5,0)</f>
        <v>362.17896000000025</v>
      </c>
      <c r="CA97" s="13">
        <f t="shared" si="93"/>
        <v>84.065271454417811</v>
      </c>
      <c r="CB97" s="20">
        <f t="shared" si="64"/>
        <v>777.20870311644478</v>
      </c>
      <c r="CC97" s="59">
        <f t="shared" si="65"/>
        <v>1070.5420364497782</v>
      </c>
      <c r="CD97" s="59">
        <f ca="1">AVERAGE(OFFSET($CC$3,0,0,'Données projet'!$E$12+1,1))-AVERAGE(OFFSET($H$3,0,0,'Données projet'!$E$12+1,1))</f>
        <v>609.40025883662452</v>
      </c>
      <c r="CE97" s="59">
        <f t="shared" si="94"/>
        <v>294.48909834404577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0.66854078244079895</v>
      </c>
      <c r="CM97" s="21">
        <f>EXP(-LN(2)/2)*CM96+(1-EXP(-LN(2)/2))/(LN(2)/2)*CG97*CJ97*VLOOKUP('Données projet'!$B$12,Paramètres!$A$1:$I$89,3,0)*0.475*44/12</f>
        <v>1.8291819967473402E-9</v>
      </c>
      <c r="CN97" s="22">
        <f t="shared" si="66"/>
        <v>0.66854078426998098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18.5</v>
      </c>
      <c r="CT97" s="12">
        <f>IF('Données projet'!$A$140&gt;35,CT96+CS97-DB96,IF(A97&lt;'Données projet'!$A$140,$CQ$205^A97,IF(A97='Données projet'!$A$140,'Données projet'!$B$140,CT96+CS97-DB96)))</f>
        <v>615.19999999999993</v>
      </c>
      <c r="CU97" s="17">
        <f>CT97*VLOOKUP('Données projet'!$B$13,Paramètres!$A$1:$I$89,3,0)*VLOOKUP('Données projet'!$B$13,Paramètres!$A$1:$I$89,5,0)</f>
        <v>287.91359999999997</v>
      </c>
      <c r="CV97" s="13">
        <f t="shared" si="95"/>
        <v>68.636657677063752</v>
      </c>
      <c r="CW97" s="20">
        <f t="shared" si="67"/>
        <v>620.99169878755254</v>
      </c>
      <c r="CX97" s="59">
        <f t="shared" si="68"/>
        <v>914.32503212088591</v>
      </c>
      <c r="CY97" s="59">
        <f ca="1">AVERAGE(OFFSET($CX$3,0,0,'Données projet'!$E$13+1,1))-AVERAGE(OFFSET($H$3,0,0,'Données projet'!$E$13+1,1))</f>
        <v>346.16623654404509</v>
      </c>
      <c r="CZ97" s="59">
        <f t="shared" si="96"/>
        <v>281.80933156559087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0.88252035495771752</v>
      </c>
      <c r="DG97" s="21">
        <f>EXP(-LN(2)/25)*DG96+(1-EXP(-LN(2)/25))/(LN(2)/25)*Calculateur!DB97*Calculateur!DD97*VLOOKUP('Données projet'!$B$13,Paramètres!$A$1:$I$89,3,0)*0.475*44/12</f>
        <v>1.3320946170922678</v>
      </c>
      <c r="DH97" s="21">
        <f>EXP(-LN(2)/2)*DH96+(1-EXP(-LN(2)/2))/(LN(2)/2)*DB97*DE97*VLOOKUP('Données projet'!$B$13,Paramètres!$A$1:$I$89,3,0)*0.475*44/12</f>
        <v>2.2892319784257542E-9</v>
      </c>
      <c r="DI97" s="22">
        <f t="shared" si="69"/>
        <v>2.2146149743392174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6.2527760746888816E-13</v>
      </c>
      <c r="DP97" s="17">
        <f>DO97*VLOOKUP('Données projet'!$B$14,Paramètres!$A$1:$I$89,3,0)*VLOOKUP('Données projet'!$B$14,Paramètres!$A$1:$I$89,5,0)</f>
        <v>3.9017322706058616E-13</v>
      </c>
      <c r="DQ97" s="13">
        <f t="shared" si="97"/>
        <v>5.0025007393608908E-12</v>
      </c>
      <c r="DR97" s="20">
        <f t="shared" si="70"/>
        <v>9.3922404915174053E-12</v>
      </c>
      <c r="DS97" s="59">
        <f t="shared" si="71"/>
        <v>293.33333333334269</v>
      </c>
      <c r="DT97" s="59">
        <f ca="1">AVERAGE(OFFSET($DS$3,0,0,'Données projet'!$E$14+1,1))-AVERAGE(OFFSET($H$3,0,0,'Données projet'!$E$14+1,1))</f>
        <v>319.97171762304686</v>
      </c>
      <c r="DU97" s="59">
        <f t="shared" si="98"/>
        <v>337.89345858359621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1.9576605219897854</v>
      </c>
      <c r="EB97" s="21">
        <f>EXP(-LN(2)/25)*EB96+(1-EXP(-LN(2)/25))/(LN(2)/25)*Calculateur!DW97*Calculateur!DY97*VLOOKUP('Données projet'!$B$14,Paramètres!$A$1:$I$89,3,0)*0.475*44/12</f>
        <v>3.525120821561627</v>
      </c>
      <c r="EC97" s="21">
        <f>EXP(-LN(2)/2)*EC96+(1-EXP(-LN(2)/2))/(LN(2)/2)*DW97*DZ97*VLOOKUP('Données projet'!$B$14,Paramètres!$A$1:$I$89,3,0)*0.475*44/12</f>
        <v>4.7010405696265176E-9</v>
      </c>
      <c r="ED97" s="22">
        <f t="shared" si="72"/>
        <v>5.4827813482524528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>
        <f>EJ97*VLOOKUP('Données projet'!$B$15,Paramètres!$A$1:$I$89,3,0)*VLOOKUP('Données projet'!$B$15,Paramètres!$A$1:$I$89,5,0)</f>
        <v>0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258.46015871559956</v>
      </c>
      <c r="EP97" s="59">
        <f t="shared" si="100"/>
        <v>280.26155987300996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1.7490211804052436</v>
      </c>
      <c r="EW97" s="21">
        <f>EXP(-LN(2)/25)*EW96+(1-EXP(-LN(2)/25))/(LN(2)/25)*Calculateur!ER97*Calculateur!ET97*VLOOKUP('Données projet'!$B$15,Paramètres!$A$1:$I$89,3,0)*0.475*44/12</f>
        <v>2.0910160280313681</v>
      </c>
      <c r="EX97" s="21">
        <f>EXP(-LN(2)/2)*EX96+(1-EXP(-LN(2)/2))/(LN(2)/2)*ER97*EU97*VLOOKUP('Données projet'!$B$15,Paramètres!$A$1:$I$89,3,0)*0.475*44/12</f>
        <v>1.2679240605966586E-9</v>
      </c>
      <c r="EY97" s="22">
        <f t="shared" si="75"/>
        <v>3.8400372097045357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3</v>
      </c>
      <c r="N98" s="13">
        <f>IF('Données projet'!$A$36&gt;35,N97+M98-V97,IF(A98&lt;'Données projet'!$A$36,$K$205^A98,IF(A98='Données projet'!$A$36,'Données projet'!$B$36,N97+M98-V97)))</f>
        <v>252.00000000000017</v>
      </c>
      <c r="O98" s="13">
        <f>N98*VLOOKUP('Données projet'!$B$9,Paramètres!$A$1:$I$89,3,0)*VLOOKUP('Données projet'!$B$9,Paramètres!$A$1:$I$89,5,0)</f>
        <v>220.1472000000002</v>
      </c>
      <c r="P98" s="13">
        <f t="shared" si="87"/>
        <v>54.146877667769687</v>
      </c>
      <c r="Q98" s="20">
        <f t="shared" si="54"/>
        <v>477.72885193803262</v>
      </c>
      <c r="R98" s="59">
        <f t="shared" si="55"/>
        <v>771.06218527136593</v>
      </c>
      <c r="S98" s="59">
        <f ca="1">AVERAGE(OFFSET($R$3,0,0,'Données projet'!$E$9+1,1))-AVERAGE(OFFSET($H$3,0,0,'Données projet'!$E$9+1,1))</f>
        <v>368.41876532159154</v>
      </c>
      <c r="T98" s="59">
        <f t="shared" si="88"/>
        <v>369.39570124551125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1.6998402125345398</v>
      </c>
      <c r="AA98" s="21">
        <f>EXP(-LN(2)/25)*AA97+(1-EXP(-LN(2)/25))/(LN(2)/25)*Calculateur!V98*Calculateur!X98*VLOOKUP('Données projet'!$B$9,Paramètres!$A$1:$I$89,3,0)*0.475*44/12</f>
        <v>2.6754673425323392</v>
      </c>
      <c r="AB98" s="21">
        <f>EXP(-LN(2)/2)*AB97+(1-EXP(-LN(2)/2))/(LN(2)/2)*V98*Y98*VLOOKUP('Données projet'!$B$9,Paramètres!$A$1:$I$89,3,0)*0.475*44/12</f>
        <v>2.9256894528145415E-9</v>
      </c>
      <c r="AC98" s="22">
        <f t="shared" si="57"/>
        <v>4.375307557992568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-5.1159076974727213E-13</v>
      </c>
      <c r="AJ98" s="13">
        <f>AI98*VLOOKUP('Données projet'!$B$10,Paramètres!$A$1:$I$89,3,0)*VLOOKUP('Données projet'!$B$10,Paramètres!$A$1:$I$89,5,0)</f>
        <v>-4.4692569645121704E-13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402.82278346470082</v>
      </c>
      <c r="AO98" s="59">
        <f t="shared" si="90"/>
        <v>440.17787299198977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0.98895820761164466</v>
      </c>
      <c r="AV98" s="21">
        <f>EXP(-LN(2)/25)*AV97+(1-EXP(-LN(2)/25))/(LN(2)/25)*Calculateur!AQ98*Calculateur!AS98*VLOOKUP('Données projet'!$B$10,Paramètres!$A$1:$I$89,3,0)*0.475*44/12</f>
        <v>3.7162832715491541</v>
      </c>
      <c r="AW98" s="21">
        <f>EXP(-LN(2)/2)*AW97+(1-EXP(-LN(2)/2))/(LN(2)/2)*AQ98*AT98*VLOOKUP('Données projet'!$B$10,Paramètres!$A$1:$I$89,3,0)*0.475*44/12</f>
        <v>4.3457026623738271E-9</v>
      </c>
      <c r="AX98" s="21">
        <f t="shared" si="60"/>
        <v>4.7052414835065015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5.9</v>
      </c>
      <c r="BD98" s="12">
        <f>IF('Données projet'!$A$88&gt;35,BD97+BC98-BL97,IF(A98&lt;'Données projet'!$A$88,$BA$205^A98,IF(A98='Données projet'!$A$88,'Données projet'!$B$88,BD97+BC98-BL97)))</f>
        <v>331.49999999999989</v>
      </c>
      <c r="BE98" s="13">
        <f>BD98*VLOOKUP('Données projet'!$B$11,Paramètres!$A$1:$I$89,3,0)*VLOOKUP('Données projet'!$B$11,Paramètres!$A$1:$I$89,5,0)</f>
        <v>299.94119999999987</v>
      </c>
      <c r="BF98" s="13">
        <f t="shared" si="91"/>
        <v>71.164136596531506</v>
      </c>
      <c r="BG98" s="20">
        <f t="shared" si="61"/>
        <v>646.3417945722922</v>
      </c>
      <c r="BH98" s="59">
        <f t="shared" si="62"/>
        <v>939.67512790562546</v>
      </c>
      <c r="BI98" s="59">
        <f ca="1">AVERAGE(OFFSET($BH$3,0,0,'Données projet'!$E$11+1,1))-AVERAGE(OFFSET($H$3,0,0,'Données projet'!$E$11+1,1))</f>
        <v>469.68830256438338</v>
      </c>
      <c r="BJ98" s="59">
        <f t="shared" si="92"/>
        <v>332.61387922152159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0.66481449320308394</v>
      </c>
      <c r="BQ98" s="21">
        <f>EXP(-LN(2)/25)*BQ97+(1-EXP(-LN(2)/25))/(LN(2)/25)*Calculateur!BL98*Calculateur!BN98*VLOOKUP('Données projet'!$B$11,Paramètres!$A$1:$I$89,3,0)*0.475*44/12</f>
        <v>1.8609710169108244</v>
      </c>
      <c r="BR98" s="21">
        <f>EXP(-LN(2)/2)*BR97+(1-EXP(-LN(2)/2))/(LN(2)/2)*BL98*BO98*VLOOKUP('Données projet'!$B$11,Paramètres!$A$1:$I$89,3,0)*0.475*44/12</f>
        <v>3.5484578903224837E-9</v>
      </c>
      <c r="BS98" s="22">
        <f t="shared" si="63"/>
        <v>2.5257855136623664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7.4</v>
      </c>
      <c r="BY98" s="12">
        <f>IF('Données projet'!$A$114&gt;35,BY97+BX98-CG97,IF(A98&lt;'Données projet'!$A$114,$BV$205^A98,IF(A98='Données projet'!$A$114,'Données projet'!$B$114,BY97+BX98-CG97)))</f>
        <v>388.00000000000023</v>
      </c>
      <c r="BZ98" s="13">
        <f>BY98*VLOOKUP('Données projet'!$B$12,Paramètres!$A$1:$I$89,3,0)*VLOOKUP('Données projet'!$B$12,Paramètres!$A$1:$I$89,5,0)</f>
        <v>369.22080000000022</v>
      </c>
      <c r="CA98" s="13">
        <f t="shared" si="93"/>
        <v>85.507875242650471</v>
      </c>
      <c r="CB98" s="20">
        <f t="shared" si="64"/>
        <v>791.98577604761658</v>
      </c>
      <c r="CC98" s="59">
        <f t="shared" si="65"/>
        <v>1085.3191093809498</v>
      </c>
      <c r="CD98" s="59">
        <f ca="1">AVERAGE(OFFSET($CC$3,0,0,'Données projet'!$E$12+1,1))-AVERAGE(OFFSET($H$3,0,0,'Données projet'!$E$12+1,1))</f>
        <v>609.40025883662452</v>
      </c>
      <c r="CE98" s="59">
        <f t="shared" si="94"/>
        <v>294.48909834404577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0.65025949958792351</v>
      </c>
      <c r="CM98" s="21">
        <f>EXP(-LN(2)/2)*CM97+(1-EXP(-LN(2)/2))/(LN(2)/2)*CG98*CJ98*VLOOKUP('Données projet'!$B$12,Paramètres!$A$1:$I$89,3,0)*0.475*44/12</f>
        <v>1.2934269939243938E-9</v>
      </c>
      <c r="CN98" s="22">
        <f t="shared" si="66"/>
        <v>0.65025950088135054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18.5</v>
      </c>
      <c r="CT98" s="12">
        <f>IF('Données projet'!$A$140&gt;35,CT97+CS98-DB97,IF(A98&lt;'Données projet'!$A$140,$CQ$205^A98,IF(A98='Données projet'!$A$140,'Données projet'!$B$140,CT97+CS98-DB97)))</f>
        <v>633.69999999999993</v>
      </c>
      <c r="CU98" s="17">
        <f>CT98*VLOOKUP('Données projet'!$B$13,Paramètres!$A$1:$I$89,3,0)*VLOOKUP('Données projet'!$B$13,Paramètres!$A$1:$I$89,5,0)</f>
        <v>296.57159999999999</v>
      </c>
      <c r="CV98" s="13">
        <f t="shared" si="95"/>
        <v>70.457259073622822</v>
      </c>
      <c r="CW98" s="20">
        <f t="shared" si="67"/>
        <v>639.24192955322633</v>
      </c>
      <c r="CX98" s="59">
        <f t="shared" si="68"/>
        <v>932.57526288655959</v>
      </c>
      <c r="CY98" s="59">
        <f ca="1">AVERAGE(OFFSET($CX$3,0,0,'Données projet'!$E$13+1,1))-AVERAGE(OFFSET($H$3,0,0,'Données projet'!$E$13+1,1))</f>
        <v>346.16623654404509</v>
      </c>
      <c r="CZ98" s="59">
        <f t="shared" si="96"/>
        <v>281.80933156559087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0.8652146690812621</v>
      </c>
      <c r="DG98" s="21">
        <f>EXP(-LN(2)/25)*DG97+(1-EXP(-LN(2)/25))/(LN(2)/25)*Calculateur!DB98*Calculateur!DD98*VLOOKUP('Données projet'!$B$13,Paramètres!$A$1:$I$89,3,0)*0.475*44/12</f>
        <v>1.2956684197360684</v>
      </c>
      <c r="DH98" s="21">
        <f>EXP(-LN(2)/2)*DH97+(1-EXP(-LN(2)/2))/(LN(2)/2)*DB98*DE98*VLOOKUP('Données projet'!$B$13,Paramètres!$A$1:$I$89,3,0)*0.475*44/12</f>
        <v>1.6187314556539471E-9</v>
      </c>
      <c r="DI98" s="22">
        <f t="shared" si="69"/>
        <v>2.1608830904360619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6.2527760746888816E-13</v>
      </c>
      <c r="DP98" s="17">
        <f>DO98*VLOOKUP('Données projet'!$B$14,Paramètres!$A$1:$I$89,3,0)*VLOOKUP('Données projet'!$B$14,Paramètres!$A$1:$I$89,5,0)</f>
        <v>3.9017322706058616E-13</v>
      </c>
      <c r="DQ98" s="13">
        <f t="shared" si="97"/>
        <v>5.0025007393608908E-12</v>
      </c>
      <c r="DR98" s="20">
        <f t="shared" si="70"/>
        <v>9.3922404915174053E-12</v>
      </c>
      <c r="DS98" s="59">
        <f t="shared" si="71"/>
        <v>293.33333333334269</v>
      </c>
      <c r="DT98" s="59">
        <f ca="1">AVERAGE(OFFSET($DS$3,0,0,'Données projet'!$E$14+1,1))-AVERAGE(OFFSET($H$3,0,0,'Données projet'!$E$14+1,1))</f>
        <v>319.97171762304686</v>
      </c>
      <c r="DU98" s="59">
        <f t="shared" si="98"/>
        <v>337.89345858359621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1.9192719932085809</v>
      </c>
      <c r="EB98" s="21">
        <f>EXP(-LN(2)/25)*EB97+(1-EXP(-LN(2)/25))/(LN(2)/25)*Calculateur!DW98*Calculateur!DY98*VLOOKUP('Données projet'!$B$14,Paramètres!$A$1:$I$89,3,0)*0.475*44/12</f>
        <v>3.4287262073179772</v>
      </c>
      <c r="EC98" s="21">
        <f>EXP(-LN(2)/2)*EC97+(1-EXP(-LN(2)/2))/(LN(2)/2)*DW98*DZ98*VLOOKUP('Données projet'!$B$14,Paramètres!$A$1:$I$89,3,0)*0.475*44/12</f>
        <v>3.3241376654159808E-9</v>
      </c>
      <c r="ED98" s="22">
        <f t="shared" si="72"/>
        <v>5.347998203850695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>
        <f>EJ98*VLOOKUP('Données projet'!$B$15,Paramètres!$A$1:$I$89,3,0)*VLOOKUP('Données projet'!$B$15,Paramètres!$A$1:$I$89,5,0)</f>
        <v>0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258.46015871559956</v>
      </c>
      <c r="EP98" s="59">
        <f t="shared" si="100"/>
        <v>280.26155987300996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1.7147239418550793</v>
      </c>
      <c r="EW98" s="21">
        <f>EXP(-LN(2)/25)*EW97+(1-EXP(-LN(2)/25))/(LN(2)/25)*Calculateur!ER98*Calculateur!ET98*VLOOKUP('Données projet'!$B$15,Paramètres!$A$1:$I$89,3,0)*0.475*44/12</f>
        <v>2.0338370847830967</v>
      </c>
      <c r="EX98" s="21">
        <f>EXP(-LN(2)/2)*EX97+(1-EXP(-LN(2)/2))/(LN(2)/2)*ER98*EU98*VLOOKUP('Données projet'!$B$15,Paramètres!$A$1:$I$89,3,0)*0.475*44/12</f>
        <v>8.9655770127748031E-10</v>
      </c>
      <c r="EY98" s="22">
        <f t="shared" si="75"/>
        <v>3.7485610275347332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3</v>
      </c>
      <c r="N99" s="13">
        <f>IF('Données projet'!$A$36&gt;35,N98+M99-V98,IF(A99&lt;'Données projet'!$A$36,$K$205^A99,IF(A99='Données projet'!$A$36,'Données projet'!$B$36,N98+M99-V98)))</f>
        <v>255.00000000000017</v>
      </c>
      <c r="O99" s="13">
        <f>N99*VLOOKUP('Données projet'!$B$9,Paramètres!$A$1:$I$89,3,0)*VLOOKUP('Données projet'!$B$9,Paramètres!$A$1:$I$89,5,0)</f>
        <v>222.76800000000017</v>
      </c>
      <c r="P99" s="13">
        <f t="shared" si="87"/>
        <v>54.716058356609558</v>
      </c>
      <c r="Q99" s="20">
        <f t="shared" ref="Q99:Q130" si="107">(O99+P99)*0.475*44/12</f>
        <v>483.28473497109536</v>
      </c>
      <c r="R99" s="59">
        <f t="shared" si="55"/>
        <v>776.61806830442868</v>
      </c>
      <c r="S99" s="59">
        <f ca="1">AVERAGE(OFFSET($R$3,0,0,'Données projet'!$E$9+1,1))-AVERAGE(OFFSET($H$3,0,0,'Données projet'!$E$9+1,1))</f>
        <v>368.41876532159154</v>
      </c>
      <c r="T99" s="59">
        <f t="shared" si="88"/>
        <v>369.39570124551125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1.6665073827668915</v>
      </c>
      <c r="AA99" s="21">
        <f>EXP(-LN(2)/25)*AA98+(1-EXP(-LN(2)/25))/(LN(2)/25)*Calculateur!V99*Calculateur!X99*VLOOKUP('Données projet'!$B$9,Paramètres!$A$1:$I$89,3,0)*0.475*44/12</f>
        <v>2.6023065473540798</v>
      </c>
      <c r="AB99" s="21">
        <f>EXP(-LN(2)/2)*AB98+(1-EXP(-LN(2)/2))/(LN(2)/2)*V99*Y99*VLOOKUP('Données projet'!$B$9,Paramètres!$A$1:$I$89,3,0)*0.475*44/12</f>
        <v>2.0687748517311219E-9</v>
      </c>
      <c r="AC99" s="22">
        <f t="shared" si="57"/>
        <v>4.2688139321897456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-5.1159076974727213E-13</v>
      </c>
      <c r="AJ99" s="13">
        <f>AI99*VLOOKUP('Données projet'!$B$10,Paramètres!$A$1:$I$89,3,0)*VLOOKUP('Données projet'!$B$10,Paramètres!$A$1:$I$89,5,0)</f>
        <v>-4.4692569645121704E-13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402.82278346470082</v>
      </c>
      <c r="AO99" s="59">
        <f t="shared" si="90"/>
        <v>440.17787299198977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0.96956534036532538</v>
      </c>
      <c r="AV99" s="21">
        <f>EXP(-LN(2)/25)*AV98+(1-EXP(-LN(2)/25))/(LN(2)/25)*Calculateur!AQ99*Calculateur!AS99*VLOOKUP('Données projet'!$B$10,Paramètres!$A$1:$I$89,3,0)*0.475*44/12</f>
        <v>3.6146613100577989</v>
      </c>
      <c r="AW99" s="21">
        <f>EXP(-LN(2)/2)*AW98+(1-EXP(-LN(2)/2))/(LN(2)/2)*AQ99*AT99*VLOOKUP('Données projet'!$B$10,Paramètres!$A$1:$I$89,3,0)*0.475*44/12</f>
        <v>3.0728758215849668E-9</v>
      </c>
      <c r="AX99" s="21">
        <f t="shared" si="60"/>
        <v>4.5842266534960006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5.9</v>
      </c>
      <c r="BD99" s="12">
        <f>IF('Données projet'!$A$88&gt;35,BD98+BC99-BL98,IF(A99&lt;'Données projet'!$A$88,$BA$205^A99,IF(A99='Données projet'!$A$88,'Données projet'!$B$88,BD98+BC99-BL98)))</f>
        <v>337.39999999999986</v>
      </c>
      <c r="BE99" s="13">
        <f>BD99*VLOOKUP('Données projet'!$B$11,Paramètres!$A$1:$I$89,3,0)*VLOOKUP('Données projet'!$B$11,Paramètres!$A$1:$I$89,5,0)</f>
        <v>305.27951999999982</v>
      </c>
      <c r="BF99" s="13">
        <f t="shared" si="91"/>
        <v>72.282127407576809</v>
      </c>
      <c r="BG99" s="20">
        <f t="shared" si="61"/>
        <v>657.58653590152937</v>
      </c>
      <c r="BH99" s="59">
        <f t="shared" si="62"/>
        <v>950.91986923486274</v>
      </c>
      <c r="BI99" s="59">
        <f ca="1">AVERAGE(OFFSET($BH$3,0,0,'Données projet'!$E$11+1,1))-AVERAGE(OFFSET($H$3,0,0,'Données projet'!$E$11+1,1))</f>
        <v>469.68830256438338</v>
      </c>
      <c r="BJ99" s="59">
        <f t="shared" si="92"/>
        <v>332.61387922152159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0.65177788648817281</v>
      </c>
      <c r="BQ99" s="21">
        <f>EXP(-LN(2)/25)*BQ98+(1-EXP(-LN(2)/25))/(LN(2)/25)*Calculateur!BL99*Calculateur!BN99*VLOOKUP('Données projet'!$B$11,Paramètres!$A$1:$I$89,3,0)*0.475*44/12</f>
        <v>1.8100826665891854</v>
      </c>
      <c r="BR99" s="21">
        <f>EXP(-LN(2)/2)*BR98+(1-EXP(-LN(2)/2))/(LN(2)/2)*BL99*BO99*VLOOKUP('Données projet'!$B$11,Paramètres!$A$1:$I$89,3,0)*0.475*44/12</f>
        <v>2.5091386370019385E-9</v>
      </c>
      <c r="BS99" s="22">
        <f t="shared" si="63"/>
        <v>2.461860555586497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7.4</v>
      </c>
      <c r="BY99" s="12">
        <f>IF('Données projet'!$A$114&gt;35,BY98+BX99-CG98,IF(A99&lt;'Données projet'!$A$114,$BV$205^A99,IF(A99='Données projet'!$A$114,'Données projet'!$B$114,BY98+BX99-CG98)))</f>
        <v>395.4000000000002</v>
      </c>
      <c r="BZ99" s="13">
        <f>BY99*VLOOKUP('Données projet'!$B$12,Paramètres!$A$1:$I$89,3,0)*VLOOKUP('Données projet'!$B$12,Paramètres!$A$1:$I$89,5,0)</f>
        <v>376.2626400000002</v>
      </c>
      <c r="CA99" s="13">
        <f t="shared" si="93"/>
        <v>86.947279797677709</v>
      </c>
      <c r="CB99" s="20">
        <f t="shared" si="64"/>
        <v>806.75727698095568</v>
      </c>
      <c r="CC99" s="59">
        <f t="shared" si="65"/>
        <v>1100.0906103142891</v>
      </c>
      <c r="CD99" s="59">
        <f ca="1">AVERAGE(OFFSET($CC$3,0,0,'Données projet'!$E$12+1,1))-AVERAGE(OFFSET($H$3,0,0,'Données projet'!$E$12+1,1))</f>
        <v>609.40025883662452</v>
      </c>
      <c r="CE99" s="59">
        <f t="shared" si="94"/>
        <v>294.48909834404577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0.63247811937603082</v>
      </c>
      <c r="CM99" s="21">
        <f>EXP(-LN(2)/2)*CM98+(1-EXP(-LN(2)/2))/(LN(2)/2)*CG99*CJ99*VLOOKUP('Données projet'!$B$12,Paramètres!$A$1:$I$89,3,0)*0.475*44/12</f>
        <v>9.1459099837367032E-10</v>
      </c>
      <c r="CN99" s="22">
        <f t="shared" si="66"/>
        <v>0.63247812029062178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18.5</v>
      </c>
      <c r="CT99" s="12">
        <f>IF('Données projet'!$A$140&gt;35,CT98+CS99-DB98,IF(A99&lt;'Données projet'!$A$140,$CQ$205^A99,IF(A99='Données projet'!$A$140,'Données projet'!$B$140,CT98+CS99-DB98)))</f>
        <v>652.19999999999993</v>
      </c>
      <c r="CU99" s="17">
        <f>CT99*VLOOKUP('Données projet'!$B$13,Paramètres!$A$1:$I$89,3,0)*VLOOKUP('Données projet'!$B$13,Paramètres!$A$1:$I$89,5,0)</f>
        <v>305.22959999999995</v>
      </c>
      <c r="CV99" s="13">
        <f t="shared" si="95"/>
        <v>72.271683388093081</v>
      </c>
      <c r="CW99" s="20">
        <f t="shared" si="67"/>
        <v>657.48140190092874</v>
      </c>
      <c r="CX99" s="59">
        <f t="shared" si="68"/>
        <v>950.81473523426212</v>
      </c>
      <c r="CY99" s="59">
        <f ca="1">AVERAGE(OFFSET($CX$3,0,0,'Données projet'!$E$13+1,1))-AVERAGE(OFFSET($H$3,0,0,'Données projet'!$E$13+1,1))</f>
        <v>346.16623654404509</v>
      </c>
      <c r="CZ99" s="59">
        <f t="shared" si="96"/>
        <v>281.80933156559087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0.84824833714941783</v>
      </c>
      <c r="DG99" s="21">
        <f>EXP(-LN(2)/25)*DG98+(1-EXP(-LN(2)/25))/(LN(2)/25)*Calculateur!DB99*Calculateur!DD99*VLOOKUP('Données projet'!$B$13,Paramètres!$A$1:$I$89,3,0)*0.475*44/12</f>
        <v>1.2602382986621448</v>
      </c>
      <c r="DH99" s="21">
        <f>EXP(-LN(2)/2)*DH98+(1-EXP(-LN(2)/2))/(LN(2)/2)*DB99*DE99*VLOOKUP('Données projet'!$B$13,Paramètres!$A$1:$I$89,3,0)*0.475*44/12</f>
        <v>1.1446159892128771E-9</v>
      </c>
      <c r="DI99" s="22">
        <f t="shared" si="69"/>
        <v>2.1084866369561786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6.2527760746888816E-13</v>
      </c>
      <c r="DP99" s="17">
        <f>DO99*VLOOKUP('Données projet'!$B$14,Paramètres!$A$1:$I$89,3,0)*VLOOKUP('Données projet'!$B$14,Paramètres!$A$1:$I$89,5,0)</f>
        <v>3.9017322706058616E-13</v>
      </c>
      <c r="DQ99" s="13">
        <f t="shared" si="97"/>
        <v>5.0025007393608908E-12</v>
      </c>
      <c r="DR99" s="20">
        <f t="shared" si="70"/>
        <v>9.3922404915174053E-12</v>
      </c>
      <c r="DS99" s="59">
        <f t="shared" si="71"/>
        <v>293.33333333334269</v>
      </c>
      <c r="DT99" s="59">
        <f ca="1">AVERAGE(OFFSET($DS$3,0,0,'Données projet'!$E$14+1,1))-AVERAGE(OFFSET($H$3,0,0,'Données projet'!$E$14+1,1))</f>
        <v>319.97171762304686</v>
      </c>
      <c r="DU99" s="59">
        <f t="shared" si="98"/>
        <v>337.89345858359621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1.8816362400620854</v>
      </c>
      <c r="EB99" s="21">
        <f>EXP(-LN(2)/25)*EB98+(1-EXP(-LN(2)/25))/(LN(2)/25)*Calculateur!DW99*Calculateur!DY99*VLOOKUP('Données projet'!$B$14,Paramètres!$A$1:$I$89,3,0)*0.475*44/12</f>
        <v>3.3349675088699922</v>
      </c>
      <c r="EC99" s="21">
        <f>EXP(-LN(2)/2)*EC98+(1-EXP(-LN(2)/2))/(LN(2)/2)*DW99*DZ99*VLOOKUP('Données projet'!$B$14,Paramètres!$A$1:$I$89,3,0)*0.475*44/12</f>
        <v>2.3505202848132588E-9</v>
      </c>
      <c r="ED99" s="22">
        <f t="shared" si="72"/>
        <v>5.216603751282598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>
        <f>EJ99*VLOOKUP('Données projet'!$B$15,Paramètres!$A$1:$I$89,3,0)*VLOOKUP('Données projet'!$B$15,Paramètres!$A$1:$I$89,5,0)</f>
        <v>0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258.46015871559956</v>
      </c>
      <c r="EP99" s="59">
        <f t="shared" si="100"/>
        <v>280.26155987300996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1.6810992512336338</v>
      </c>
      <c r="EW99" s="21">
        <f>EXP(-LN(2)/25)*EW98+(1-EXP(-LN(2)/25))/(LN(2)/25)*Calculateur!ER99*Calculateur!ET99*VLOOKUP('Données projet'!$B$15,Paramètres!$A$1:$I$89,3,0)*0.475*44/12</f>
        <v>1.978221702744859</v>
      </c>
      <c r="EX99" s="21">
        <f>EXP(-LN(2)/2)*EX98+(1-EXP(-LN(2)/2))/(LN(2)/2)*ER99*EU99*VLOOKUP('Données projet'!$B$15,Paramètres!$A$1:$I$89,3,0)*0.475*44/12</f>
        <v>6.339620302983293E-10</v>
      </c>
      <c r="EY99" s="22">
        <f t="shared" si="75"/>
        <v>3.659320954612455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3</v>
      </c>
      <c r="N100" s="13">
        <f>IF('Données projet'!$A$36&gt;35,N99+M100-V99,IF(A100&lt;'Données projet'!$A$36,$K$205^A100,IF(A100='Données projet'!$A$36,'Données projet'!$B$36,N99+M100-V99)))</f>
        <v>258.00000000000017</v>
      </c>
      <c r="O100" s="13">
        <f>N100*VLOOKUP('Données projet'!$B$9,Paramètres!$A$1:$I$89,3,0)*VLOOKUP('Données projet'!$B$9,Paramètres!$A$1:$I$89,5,0)</f>
        <v>225.38880000000017</v>
      </c>
      <c r="P100" s="13">
        <f t="shared" si="87"/>
        <v>55.284460117161593</v>
      </c>
      <c r="Q100" s="20">
        <f t="shared" si="107"/>
        <v>488.83926137072336</v>
      </c>
      <c r="R100" s="59">
        <f t="shared" si="55"/>
        <v>782.17259470405668</v>
      </c>
      <c r="S100" s="59">
        <f ca="1">AVERAGE(OFFSET($R$3,0,0,'Données projet'!$E$9+1,1))-AVERAGE(OFFSET($H$3,0,0,'Données projet'!$E$9+1,1))</f>
        <v>368.41876532159154</v>
      </c>
      <c r="T100" s="59">
        <f t="shared" si="88"/>
        <v>369.39570124551125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1.6338281894599682</v>
      </c>
      <c r="AA100" s="21">
        <f>EXP(-LN(2)/25)*AA99+(1-EXP(-LN(2)/25))/(LN(2)/25)*Calculateur!V100*Calculateur!X100*VLOOKUP('Données projet'!$B$9,Paramètres!$A$1:$I$89,3,0)*0.475*44/12</f>
        <v>2.5311463379673289</v>
      </c>
      <c r="AB100" s="21">
        <f>EXP(-LN(2)/2)*AB99+(1-EXP(-LN(2)/2))/(LN(2)/2)*V100*Y100*VLOOKUP('Données projet'!$B$9,Paramètres!$A$1:$I$89,3,0)*0.475*44/12</f>
        <v>1.4628447264072707E-9</v>
      </c>
      <c r="AC100" s="22">
        <f t="shared" si="57"/>
        <v>4.1649745288901423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-5.1159076974727213E-13</v>
      </c>
      <c r="AJ100" s="13">
        <f>AI100*VLOOKUP('Données projet'!$B$10,Paramètres!$A$1:$I$89,3,0)*VLOOKUP('Données projet'!$B$10,Paramètres!$A$1:$I$89,5,0)</f>
        <v>-4.4692569645121704E-13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402.82278346470082</v>
      </c>
      <c r="AO100" s="59">
        <f t="shared" si="90"/>
        <v>440.17787299198977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0.95055275541722539</v>
      </c>
      <c r="AV100" s="21">
        <f>EXP(-LN(2)/25)*AV99+(1-EXP(-LN(2)/25))/(LN(2)/25)*Calculateur!AQ100*Calculateur!AS100*VLOOKUP('Données projet'!$B$10,Paramètres!$A$1:$I$89,3,0)*0.475*44/12</f>
        <v>3.5158182064474914</v>
      </c>
      <c r="AW100" s="21">
        <f>EXP(-LN(2)/2)*AW99+(1-EXP(-LN(2)/2))/(LN(2)/2)*AQ100*AT100*VLOOKUP('Données projet'!$B$10,Paramètres!$A$1:$I$89,3,0)*0.475*44/12</f>
        <v>2.1728513311869135E-9</v>
      </c>
      <c r="AX100" s="21">
        <f t="shared" si="60"/>
        <v>4.4663709640375684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5.9</v>
      </c>
      <c r="BD100" s="12">
        <f>IF('Données projet'!$A$88&gt;35,BD99+BC100-BL99,IF(A100&lt;'Données projet'!$A$88,$BA$205^A100,IF(A100='Données projet'!$A$88,'Données projet'!$B$88,BD99+BC100-BL99)))</f>
        <v>343.29999999999984</v>
      </c>
      <c r="BE100" s="13">
        <f>BD100*VLOOKUP('Données projet'!$B$11,Paramètres!$A$1:$I$89,3,0)*VLOOKUP('Données projet'!$B$11,Paramètres!$A$1:$I$89,5,0)</f>
        <v>310.61783999999983</v>
      </c>
      <c r="BF100" s="13">
        <f t="shared" si="91"/>
        <v>73.397844798859666</v>
      </c>
      <c r="BG100" s="20">
        <f t="shared" si="61"/>
        <v>668.82731769134693</v>
      </c>
      <c r="BH100" s="59">
        <f t="shared" si="62"/>
        <v>962.16065102468019</v>
      </c>
      <c r="BI100" s="59">
        <f ca="1">AVERAGE(OFFSET($BH$3,0,0,'Données projet'!$E$11+1,1))-AVERAGE(OFFSET($H$3,0,0,'Données projet'!$E$11+1,1))</f>
        <v>469.68830256438338</v>
      </c>
      <c r="BJ100" s="59">
        <f t="shared" si="92"/>
        <v>332.61387922152159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0.6389969196793962</v>
      </c>
      <c r="BQ100" s="21">
        <f>EXP(-LN(2)/25)*BQ99+(1-EXP(-LN(2)/25))/(LN(2)/25)*Calculateur!BL100*Calculateur!BN100*VLOOKUP('Données projet'!$B$11,Paramètres!$A$1:$I$89,3,0)*0.475*44/12</f>
        <v>1.7605858608831937</v>
      </c>
      <c r="BR100" s="21">
        <f>EXP(-LN(2)/2)*BR99+(1-EXP(-LN(2)/2))/(LN(2)/2)*BL100*BO100*VLOOKUP('Données projet'!$B$11,Paramètres!$A$1:$I$89,3,0)*0.475*44/12</f>
        <v>1.7742289451612418E-9</v>
      </c>
      <c r="BS100" s="22">
        <f t="shared" si="63"/>
        <v>2.3995827823368185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7.4</v>
      </c>
      <c r="BY100" s="12">
        <f>IF('Données projet'!$A$114&gt;35,BY99+BX100-CG99,IF(A100&lt;'Données projet'!$A$114,$BV$205^A100,IF(A100='Données projet'!$A$114,'Données projet'!$B$114,BY99+BX100-CG99)))</f>
        <v>402.80000000000018</v>
      </c>
      <c r="BZ100" s="13">
        <f>BY100*VLOOKUP('Données projet'!$B$12,Paramètres!$A$1:$I$89,3,0)*VLOOKUP('Données projet'!$B$12,Paramètres!$A$1:$I$89,5,0)</f>
        <v>383.30448000000018</v>
      </c>
      <c r="CA100" s="13">
        <f t="shared" si="93"/>
        <v>88.3835518983539</v>
      </c>
      <c r="CB100" s="20">
        <f t="shared" si="64"/>
        <v>821.52332222296673</v>
      </c>
      <c r="CC100" s="59">
        <f t="shared" si="65"/>
        <v>1114.8566555563</v>
      </c>
      <c r="CD100" s="59">
        <f ca="1">AVERAGE(OFFSET($CC$3,0,0,'Données projet'!$E$12+1,1))-AVERAGE(OFFSET($H$3,0,0,'Données projet'!$E$12+1,1))</f>
        <v>609.40025883662452</v>
      </c>
      <c r="CE100" s="59">
        <f t="shared" si="94"/>
        <v>294.48909834404577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0.61518297194111449</v>
      </c>
      <c r="CM100" s="21">
        <f>EXP(-LN(2)/2)*CM99+(1-EXP(-LN(2)/2))/(LN(2)/2)*CG100*CJ100*VLOOKUP('Données projet'!$B$12,Paramètres!$A$1:$I$89,3,0)*0.475*44/12</f>
        <v>6.46713496962197E-10</v>
      </c>
      <c r="CN100" s="22">
        <f t="shared" si="66"/>
        <v>0.61518297258782795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18.5</v>
      </c>
      <c r="CT100" s="12">
        <f>IF('Données projet'!$A$140&gt;35,CT99+CS100-DB99,IF(A100&lt;'Données projet'!$A$140,$CQ$205^A100,IF(A100='Données projet'!$A$140,'Données projet'!$B$140,CT99+CS100-DB99)))</f>
        <v>670.69999999999993</v>
      </c>
      <c r="CU100" s="17">
        <f>CT100*VLOOKUP('Données projet'!$B$13,Paramètres!$A$1:$I$89,3,0)*VLOOKUP('Données projet'!$B$13,Paramètres!$A$1:$I$89,5,0)</f>
        <v>313.88759999999996</v>
      </c>
      <c r="CV100" s="13">
        <f t="shared" si="95"/>
        <v>74.080125962367049</v>
      </c>
      <c r="CW100" s="20">
        <f t="shared" si="67"/>
        <v>675.71045605112249</v>
      </c>
      <c r="CX100" s="59">
        <f t="shared" si="68"/>
        <v>969.04378938445575</v>
      </c>
      <c r="CY100" s="59">
        <f ca="1">AVERAGE(OFFSET($CX$3,0,0,'Données projet'!$E$13+1,1))-AVERAGE(OFFSET($H$3,0,0,'Données projet'!$E$13+1,1))</f>
        <v>346.16623654404509</v>
      </c>
      <c r="CZ100" s="59">
        <f t="shared" si="96"/>
        <v>281.80933156559087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0.83161470463831633</v>
      </c>
      <c r="DG100" s="21">
        <f>EXP(-LN(2)/25)*DG99+(1-EXP(-LN(2)/25))/(LN(2)/25)*Calculateur!DB100*Calculateur!DD100*VLOOKUP('Données projet'!$B$13,Paramètres!$A$1:$I$89,3,0)*0.475*44/12</f>
        <v>1.2257770161121766</v>
      </c>
      <c r="DH100" s="21">
        <f>EXP(-LN(2)/2)*DH99+(1-EXP(-LN(2)/2))/(LN(2)/2)*DB100*DE100*VLOOKUP('Données projet'!$B$13,Paramètres!$A$1:$I$89,3,0)*0.475*44/12</f>
        <v>8.0936572782697355E-10</v>
      </c>
      <c r="DI100" s="22">
        <f t="shared" si="69"/>
        <v>2.0573917215598589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6.2527760746888816E-13</v>
      </c>
      <c r="DP100" s="17">
        <f>DO100*VLOOKUP('Données projet'!$B$14,Paramètres!$A$1:$I$89,3,0)*VLOOKUP('Données projet'!$B$14,Paramètres!$A$1:$I$89,5,0)</f>
        <v>3.9017322706058616E-13</v>
      </c>
      <c r="DQ100" s="13">
        <f t="shared" si="97"/>
        <v>5.0025007393608908E-12</v>
      </c>
      <c r="DR100" s="20">
        <f t="shared" si="70"/>
        <v>9.3922404915174053E-12</v>
      </c>
      <c r="DS100" s="59">
        <f t="shared" si="71"/>
        <v>293.33333333334269</v>
      </c>
      <c r="DT100" s="59">
        <f ca="1">AVERAGE(OFFSET($DS$3,0,0,'Données projet'!$E$14+1,1))-AVERAGE(OFFSET($H$3,0,0,'Données projet'!$E$14+1,1))</f>
        <v>319.97171762304686</v>
      </c>
      <c r="DU100" s="59">
        <f t="shared" si="98"/>
        <v>337.89345858359621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1.8447385010792499</v>
      </c>
      <c r="EB100" s="21">
        <f>EXP(-LN(2)/25)*EB99+(1-EXP(-LN(2)/25))/(LN(2)/25)*Calculateur!DW100*Calculateur!DY100*VLOOKUP('Données projet'!$B$14,Paramètres!$A$1:$I$89,3,0)*0.475*44/12</f>
        <v>3.2437726469616233</v>
      </c>
      <c r="EC100" s="21">
        <f>EXP(-LN(2)/2)*EC99+(1-EXP(-LN(2)/2))/(LN(2)/2)*DW100*DZ100*VLOOKUP('Données projet'!$B$14,Paramètres!$A$1:$I$89,3,0)*0.475*44/12</f>
        <v>1.6620688327079904E-9</v>
      </c>
      <c r="ED100" s="22">
        <f t="shared" si="72"/>
        <v>5.088511149702942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>
        <f>EJ100*VLOOKUP('Données projet'!$B$15,Paramètres!$A$1:$I$89,3,0)*VLOOKUP('Données projet'!$B$15,Paramètres!$A$1:$I$89,5,0)</f>
        <v>0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258.46015871559956</v>
      </c>
      <c r="EP100" s="59">
        <f t="shared" si="100"/>
        <v>280.26155987300996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1.6481339202862386</v>
      </c>
      <c r="EW100" s="21">
        <f>EXP(-LN(2)/25)*EW99+(1-EXP(-LN(2)/25))/(LN(2)/25)*Calculateur!ER100*Calculateur!ET100*VLOOKUP('Données projet'!$B$15,Paramètres!$A$1:$I$89,3,0)*0.475*44/12</f>
        <v>1.9241271262531427</v>
      </c>
      <c r="EX100" s="21">
        <f>EXP(-LN(2)/2)*EX99+(1-EXP(-LN(2)/2))/(LN(2)/2)*ER100*EU100*VLOOKUP('Données projet'!$B$15,Paramètres!$A$1:$I$89,3,0)*0.475*44/12</f>
        <v>4.4827885063874015E-10</v>
      </c>
      <c r="EY100" s="22">
        <f t="shared" si="75"/>
        <v>3.5722610469876601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3</v>
      </c>
      <c r="N101" s="13">
        <f>IF('Données projet'!$A$36&gt;35,N100+M101-V100,IF(A101&lt;'Données projet'!$A$36,$K$205^A101,IF(A101='Données projet'!$A$36,'Données projet'!$B$36,N100+M101-V100)))</f>
        <v>261.00000000000017</v>
      </c>
      <c r="O101" s="13">
        <f>N101*VLOOKUP('Données projet'!$B$9,Paramètres!$A$1:$I$89,3,0)*VLOOKUP('Données projet'!$B$9,Paramètres!$A$1:$I$89,5,0)</f>
        <v>228.00960000000018</v>
      </c>
      <c r="P101" s="13">
        <f t="shared" si="87"/>
        <v>55.852093054619878</v>
      </c>
      <c r="Q101" s="20">
        <f t="shared" si="107"/>
        <v>494.39244873679655</v>
      </c>
      <c r="R101" s="59">
        <f t="shared" si="55"/>
        <v>787.72578207012987</v>
      </c>
      <c r="S101" s="59">
        <f ca="1">AVERAGE(OFFSET($R$3,0,0,'Données projet'!$E$9+1,1))-AVERAGE(OFFSET($H$3,0,0,'Données projet'!$E$9+1,1))</f>
        <v>368.41876532159154</v>
      </c>
      <c r="T101" s="59">
        <f t="shared" si="88"/>
        <v>369.39570124551125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1.601789815201454</v>
      </c>
      <c r="AA101" s="21">
        <f>EXP(-LN(2)/25)*AA100+(1-EXP(-LN(2)/25))/(LN(2)/25)*Calculateur!V101*Calculateur!X101*VLOOKUP('Données projet'!$B$9,Paramètres!$A$1:$I$89,3,0)*0.475*44/12</f>
        <v>2.4619320082484113</v>
      </c>
      <c r="AB101" s="21">
        <f>EXP(-LN(2)/2)*AB100+(1-EXP(-LN(2)/2))/(LN(2)/2)*V101*Y101*VLOOKUP('Données projet'!$B$9,Paramètres!$A$1:$I$89,3,0)*0.475*44/12</f>
        <v>1.034387425865561E-9</v>
      </c>
      <c r="AC101" s="22">
        <f t="shared" si="57"/>
        <v>4.0637218244842535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-5.1159076974727213E-13</v>
      </c>
      <c r="AJ101" s="13">
        <f>AI101*VLOOKUP('Données projet'!$B$10,Paramètres!$A$1:$I$89,3,0)*VLOOKUP('Données projet'!$B$10,Paramètres!$A$1:$I$89,5,0)</f>
        <v>-4.4692569645121704E-13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402.82278346470082</v>
      </c>
      <c r="AO101" s="59">
        <f t="shared" si="90"/>
        <v>440.17787299198977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0.93191299566342589</v>
      </c>
      <c r="AV101" s="21">
        <f>EXP(-LN(2)/25)*AV100+(1-EXP(-LN(2)/25))/(LN(2)/25)*Calculateur!AQ101*Calculateur!AS101*VLOOKUP('Données projet'!$B$10,Paramètres!$A$1:$I$89,3,0)*0.475*44/12</f>
        <v>3.4196779727033406</v>
      </c>
      <c r="AW101" s="21">
        <f>EXP(-LN(2)/2)*AW100+(1-EXP(-LN(2)/2))/(LN(2)/2)*AQ101*AT101*VLOOKUP('Données projet'!$B$10,Paramètres!$A$1:$I$89,3,0)*0.475*44/12</f>
        <v>1.5364379107924834E-9</v>
      </c>
      <c r="AX101" s="21">
        <f t="shared" si="60"/>
        <v>4.3515909699032038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5.9</v>
      </c>
      <c r="BD101" s="12">
        <f>IF('Données projet'!$A$88&gt;35,BD100+BC101-BL100,IF(A101&lt;'Données projet'!$A$88,$BA$205^A101,IF(A101='Données projet'!$A$88,'Données projet'!$B$88,BD100+BC101-BL100)))</f>
        <v>349.19999999999982</v>
      </c>
      <c r="BE101" s="13">
        <f>BD101*VLOOKUP('Données projet'!$B$11,Paramètres!$A$1:$I$89,3,0)*VLOOKUP('Données projet'!$B$11,Paramètres!$A$1:$I$89,5,0)</f>
        <v>315.95615999999984</v>
      </c>
      <c r="BF101" s="13">
        <f t="shared" si="91"/>
        <v>74.511332350300975</v>
      </c>
      <c r="BG101" s="20">
        <f t="shared" si="61"/>
        <v>680.06421584344059</v>
      </c>
      <c r="BH101" s="59">
        <f t="shared" si="62"/>
        <v>973.39754917677396</v>
      </c>
      <c r="BI101" s="59">
        <f ca="1">AVERAGE(OFFSET($BH$3,0,0,'Données projet'!$E$11+1,1))-AVERAGE(OFFSET($H$3,0,0,'Données projet'!$E$11+1,1))</f>
        <v>469.68830256438338</v>
      </c>
      <c r="BJ101" s="59">
        <f t="shared" si="92"/>
        <v>332.61387922152159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0.62646657983411969</v>
      </c>
      <c r="BQ101" s="21">
        <f>EXP(-LN(2)/25)*BQ100+(1-EXP(-LN(2)/25))/(LN(2)/25)*Calculateur!BL101*Calculateur!BN101*VLOOKUP('Données projet'!$B$11,Paramètres!$A$1:$I$89,3,0)*0.475*44/12</f>
        <v>1.7124425479321561</v>
      </c>
      <c r="BR101" s="21">
        <f>EXP(-LN(2)/2)*BR100+(1-EXP(-LN(2)/2))/(LN(2)/2)*BL101*BO101*VLOOKUP('Données projet'!$B$11,Paramètres!$A$1:$I$89,3,0)*0.475*44/12</f>
        <v>1.2545693185009692E-9</v>
      </c>
      <c r="BS101" s="22">
        <f t="shared" si="63"/>
        <v>2.3389091290208452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7.4</v>
      </c>
      <c r="BY101" s="12">
        <f>IF('Données projet'!$A$114&gt;35,BY100+BX101-CG100,IF(A101&lt;'Données projet'!$A$114,$BV$205^A101,IF(A101='Données projet'!$A$114,'Données projet'!$B$114,BY100+BX101-CG100)))</f>
        <v>410.20000000000016</v>
      </c>
      <c r="BZ101" s="13">
        <f>BY101*VLOOKUP('Données projet'!$B$12,Paramètres!$A$1:$I$89,3,0)*VLOOKUP('Données projet'!$B$12,Paramètres!$A$1:$I$89,5,0)</f>
        <v>390.34632000000016</v>
      </c>
      <c r="CA101" s="13">
        <f t="shared" si="93"/>
        <v>89.816755729426077</v>
      </c>
      <c r="CB101" s="20">
        <f t="shared" si="64"/>
        <v>836.28402356208392</v>
      </c>
      <c r="CC101" s="59">
        <f t="shared" si="65"/>
        <v>1129.6173568954173</v>
      </c>
      <c r="CD101" s="59">
        <f ca="1">AVERAGE(OFFSET($CC$3,0,0,'Données projet'!$E$12+1,1))-AVERAGE(OFFSET($H$3,0,0,'Données projet'!$E$12+1,1))</f>
        <v>609.40025883662452</v>
      </c>
      <c r="CE101" s="59">
        <f t="shared" si="94"/>
        <v>294.48909834404577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0.59836076122231818</v>
      </c>
      <c r="CM101" s="21">
        <f>EXP(-LN(2)/2)*CM100+(1-EXP(-LN(2)/2))/(LN(2)/2)*CG101*CJ101*VLOOKUP('Données projet'!$B$12,Paramètres!$A$1:$I$89,3,0)*0.475*44/12</f>
        <v>4.5729549918683521E-10</v>
      </c>
      <c r="CN101" s="22">
        <f t="shared" si="66"/>
        <v>0.59836076167961372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18.5</v>
      </c>
      <c r="CT101" s="12">
        <f>IF('Données projet'!$A$140&gt;35,CT100+CS101-DB100,IF(A101&lt;'Données projet'!$A$140,$CQ$205^A101,IF(A101='Données projet'!$A$140,'Données projet'!$B$140,CT100+CS101-DB100)))</f>
        <v>689.19999999999993</v>
      </c>
      <c r="CU101" s="17">
        <f>CT101*VLOOKUP('Données projet'!$B$13,Paramètres!$A$1:$I$89,3,0)*VLOOKUP('Données projet'!$B$13,Paramètres!$A$1:$I$89,5,0)</f>
        <v>322.54559999999998</v>
      </c>
      <c r="CV101" s="13">
        <f t="shared" si="95"/>
        <v>75.882770748800752</v>
      </c>
      <c r="CW101" s="20">
        <f t="shared" si="67"/>
        <v>693.92941238749461</v>
      </c>
      <c r="CX101" s="59">
        <f t="shared" si="68"/>
        <v>987.26274572082798</v>
      </c>
      <c r="CY101" s="59">
        <f ca="1">AVERAGE(OFFSET($CX$3,0,0,'Données projet'!$E$13+1,1))-AVERAGE(OFFSET($H$3,0,0,'Données projet'!$E$13+1,1))</f>
        <v>346.16623654404509</v>
      </c>
      <c r="CZ101" s="59">
        <f t="shared" si="96"/>
        <v>281.80933156559087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0.81530724751524353</v>
      </c>
      <c r="DG101" s="21">
        <f>EXP(-LN(2)/25)*DG100+(1-EXP(-LN(2)/25))/(LN(2)/25)*Calculateur!DB101*Calculateur!DD101*VLOOKUP('Données projet'!$B$13,Paramètres!$A$1:$I$89,3,0)*0.475*44/12</f>
        <v>1.1922580791457773</v>
      </c>
      <c r="DH101" s="21">
        <f>EXP(-LN(2)/2)*DH100+(1-EXP(-LN(2)/2))/(LN(2)/2)*DB101*DE101*VLOOKUP('Données projet'!$B$13,Paramètres!$A$1:$I$89,3,0)*0.475*44/12</f>
        <v>5.7230799460643855E-10</v>
      </c>
      <c r="DI101" s="22">
        <f t="shared" si="69"/>
        <v>2.0075653272333289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6.2527760746888816E-13</v>
      </c>
      <c r="DP101" s="17">
        <f>DO101*VLOOKUP('Données projet'!$B$14,Paramètres!$A$1:$I$89,3,0)*VLOOKUP('Données projet'!$B$14,Paramètres!$A$1:$I$89,5,0)</f>
        <v>3.9017322706058616E-13</v>
      </c>
      <c r="DQ101" s="13">
        <f t="shared" si="97"/>
        <v>5.0025007393608908E-12</v>
      </c>
      <c r="DR101" s="20">
        <f t="shared" si="70"/>
        <v>9.3922404915174053E-12</v>
      </c>
      <c r="DS101" s="59">
        <f t="shared" si="71"/>
        <v>293.33333333334269</v>
      </c>
      <c r="DT101" s="59">
        <f ca="1">AVERAGE(OFFSET($DS$3,0,0,'Données projet'!$E$14+1,1))-AVERAGE(OFFSET($H$3,0,0,'Données projet'!$E$14+1,1))</f>
        <v>319.97171762304686</v>
      </c>
      <c r="DU101" s="59">
        <f t="shared" si="98"/>
        <v>337.89345858359621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1.8085643042524693</v>
      </c>
      <c r="EB101" s="21">
        <f>EXP(-LN(2)/25)*EB100+(1-EXP(-LN(2)/25))/(LN(2)/25)*Calculateur!DW101*Calculateur!DY101*VLOOKUP('Données projet'!$B$14,Paramètres!$A$1:$I$89,3,0)*0.475*44/12</f>
        <v>3.1550715133478677</v>
      </c>
      <c r="EC101" s="21">
        <f>EXP(-LN(2)/2)*EC100+(1-EXP(-LN(2)/2))/(LN(2)/2)*DW101*DZ101*VLOOKUP('Données projet'!$B$14,Paramètres!$A$1:$I$89,3,0)*0.475*44/12</f>
        <v>1.1752601424066294E-9</v>
      </c>
      <c r="ED101" s="22">
        <f t="shared" si="72"/>
        <v>4.9636358187755967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>
        <f>EJ101*VLOOKUP('Données projet'!$B$15,Paramètres!$A$1:$I$89,3,0)*VLOOKUP('Données projet'!$B$15,Paramètres!$A$1:$I$89,5,0)</f>
        <v>0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258.46015871559956</v>
      </c>
      <c r="EP101" s="59">
        <f t="shared" si="100"/>
        <v>280.26155987300996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1.6158150193718555</v>
      </c>
      <c r="EW101" s="21">
        <f>EXP(-LN(2)/25)*EW100+(1-EXP(-LN(2)/25))/(LN(2)/25)*Calculateur!ER101*Calculateur!ET101*VLOOKUP('Données projet'!$B$15,Paramètres!$A$1:$I$89,3,0)*0.475*44/12</f>
        <v>1.8715117688003027</v>
      </c>
      <c r="EX101" s="21">
        <f>EXP(-LN(2)/2)*EX100+(1-EXP(-LN(2)/2))/(LN(2)/2)*ER101*EU101*VLOOKUP('Données projet'!$B$15,Paramètres!$A$1:$I$89,3,0)*0.475*44/12</f>
        <v>3.1698101514916465E-10</v>
      </c>
      <c r="EY101" s="22">
        <f t="shared" si="75"/>
        <v>3.4873267884891392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3</v>
      </c>
      <c r="N102" s="13">
        <f>IF('Données projet'!$A$36&gt;35,N101+M102-V101,IF(A102&lt;'Données projet'!$A$36,$K$205^A102,IF(A102='Données projet'!$A$36,'Données projet'!$B$36,N101+M102-V101)))</f>
        <v>264.00000000000017</v>
      </c>
      <c r="O102" s="13">
        <f>N102*VLOOKUP('Données projet'!$B$9,Paramètres!$A$1:$I$89,3,0)*VLOOKUP('Données projet'!$B$9,Paramètres!$A$1:$I$89,5,0)</f>
        <v>230.63040000000018</v>
      </c>
      <c r="P102" s="13">
        <f t="shared" si="87"/>
        <v>56.418967028503303</v>
      </c>
      <c r="Q102" s="20">
        <f t="shared" si="107"/>
        <v>499.94431424131022</v>
      </c>
      <c r="R102" s="59">
        <f t="shared" si="55"/>
        <v>793.27764757464354</v>
      </c>
      <c r="S102" s="59">
        <f ca="1">AVERAGE(OFFSET($R$3,0,0,'Données projet'!$E$9+1,1))-AVERAGE(OFFSET($H$3,0,0,'Données projet'!$E$9+1,1))</f>
        <v>368.41876532159154</v>
      </c>
      <c r="T102" s="59">
        <f t="shared" si="88"/>
        <v>369.39570124551125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1.5703796939206704</v>
      </c>
      <c r="AA102" s="21">
        <f>EXP(-LN(2)/25)*AA101+(1-EXP(-LN(2)/25))/(LN(2)/25)*Calculateur!V102*Calculateur!X102*VLOOKUP('Données projet'!$B$9,Paramètres!$A$1:$I$89,3,0)*0.475*44/12</f>
        <v>2.394610348015481</v>
      </c>
      <c r="AB102" s="21">
        <f>EXP(-LN(2)/2)*AB101+(1-EXP(-LN(2)/2))/(LN(2)/2)*V102*Y102*VLOOKUP('Données projet'!$B$9,Paramètres!$A$1:$I$89,3,0)*0.475*44/12</f>
        <v>7.3142236320363537E-10</v>
      </c>
      <c r="AC102" s="22">
        <f t="shared" si="57"/>
        <v>3.9649900426675742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-5.1159076974727213E-13</v>
      </c>
      <c r="AJ102" s="13">
        <f>AI102*VLOOKUP('Données projet'!$B$10,Paramètres!$A$1:$I$89,3,0)*VLOOKUP('Données projet'!$B$10,Paramètres!$A$1:$I$89,5,0)</f>
        <v>-4.4692569645121704E-13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402.82278346470082</v>
      </c>
      <c r="AO102" s="59">
        <f t="shared" si="90"/>
        <v>440.17787299198977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0.91363875022926755</v>
      </c>
      <c r="AV102" s="21">
        <f>EXP(-LN(2)/25)*AV101+(1-EXP(-LN(2)/25))/(LN(2)/25)*Calculateur!AQ102*Calculateur!AS102*VLOOKUP('Données projet'!$B$10,Paramètres!$A$1:$I$89,3,0)*0.475*44/12</f>
        <v>3.3261666987067189</v>
      </c>
      <c r="AW102" s="21">
        <f>EXP(-LN(2)/2)*AW101+(1-EXP(-LN(2)/2))/(LN(2)/2)*AQ102*AT102*VLOOKUP('Données projet'!$B$10,Paramètres!$A$1:$I$89,3,0)*0.475*44/12</f>
        <v>1.0864256655934568E-9</v>
      </c>
      <c r="AX102" s="21">
        <f t="shared" si="60"/>
        <v>4.2398054500224127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5.9</v>
      </c>
      <c r="BD102" s="12">
        <f>IF('Données projet'!$A$88&gt;35,BD101+BC102-BL101,IF(A102&lt;'Données projet'!$A$88,$BA$205^A102,IF(A102='Données projet'!$A$88,'Données projet'!$B$88,BD101+BC102-BL101)))</f>
        <v>355.0999999999998</v>
      </c>
      <c r="BE102" s="13">
        <f>BD102*VLOOKUP('Données projet'!$B$11,Paramètres!$A$1:$I$89,3,0)*VLOOKUP('Données projet'!$B$11,Paramètres!$A$1:$I$89,5,0)</f>
        <v>321.29447999999979</v>
      </c>
      <c r="BF102" s="13">
        <f t="shared" si="91"/>
        <v>75.6226320847924</v>
      </c>
      <c r="BG102" s="20">
        <f t="shared" si="61"/>
        <v>691.29730354767969</v>
      </c>
      <c r="BH102" s="59">
        <f t="shared" si="62"/>
        <v>984.63063688101306</v>
      </c>
      <c r="BI102" s="59">
        <f ca="1">AVERAGE(OFFSET($BH$3,0,0,'Données projet'!$E$11+1,1))-AVERAGE(OFFSET($H$3,0,0,'Données projet'!$E$11+1,1))</f>
        <v>469.68830256438338</v>
      </c>
      <c r="BJ102" s="59">
        <f t="shared" si="92"/>
        <v>332.61387922152159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0.61418195231045636</v>
      </c>
      <c r="BQ102" s="21">
        <f>EXP(-LN(2)/25)*BQ101+(1-EXP(-LN(2)/25))/(LN(2)/25)*Calculateur!BL102*Calculateur!BN102*VLOOKUP('Données projet'!$B$11,Paramètres!$A$1:$I$89,3,0)*0.475*44/12</f>
        <v>1.6656157164055116</v>
      </c>
      <c r="BR102" s="21">
        <f>EXP(-LN(2)/2)*BR101+(1-EXP(-LN(2)/2))/(LN(2)/2)*BL102*BO102*VLOOKUP('Données projet'!$B$11,Paramètres!$A$1:$I$89,3,0)*0.475*44/12</f>
        <v>8.8711447258062092E-10</v>
      </c>
      <c r="BS102" s="22">
        <f t="shared" si="63"/>
        <v>2.2797976696030826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7.4</v>
      </c>
      <c r="BY102" s="12">
        <f>IF('Données projet'!$A$114&gt;35,BY101+BX102-CG101,IF(A102&lt;'Données projet'!$A$114,$BV$205^A102,IF(A102='Données projet'!$A$114,'Données projet'!$B$114,BY101+BX102-CG101)))</f>
        <v>417.60000000000014</v>
      </c>
      <c r="BZ102" s="13">
        <f>BY102*VLOOKUP('Données projet'!$B$12,Paramètres!$A$1:$I$89,3,0)*VLOOKUP('Données projet'!$B$12,Paramètres!$A$1:$I$89,5,0)</f>
        <v>397.38816000000014</v>
      </c>
      <c r="CA102" s="13">
        <f t="shared" si="93"/>
        <v>91.246953027253397</v>
      </c>
      <c r="CB102" s="20">
        <f t="shared" si="64"/>
        <v>851.0394885224664</v>
      </c>
      <c r="CC102" s="59">
        <f t="shared" si="65"/>
        <v>1144.3728218557997</v>
      </c>
      <c r="CD102" s="59">
        <f ca="1">AVERAGE(OFFSET($CC$3,0,0,'Données projet'!$E$12+1,1))-AVERAGE(OFFSET($H$3,0,0,'Données projet'!$E$12+1,1))</f>
        <v>609.40025883662452</v>
      </c>
      <c r="CE102" s="59">
        <f t="shared" si="94"/>
        <v>294.48909834404577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0.58199855474026907</v>
      </c>
      <c r="CM102" s="21">
        <f>EXP(-LN(2)/2)*CM101+(1-EXP(-LN(2)/2))/(LN(2)/2)*CG102*CJ102*VLOOKUP('Données projet'!$B$12,Paramètres!$A$1:$I$89,3,0)*0.475*44/12</f>
        <v>3.2335674848109855E-10</v>
      </c>
      <c r="CN102" s="22">
        <f t="shared" si="66"/>
        <v>0.58199855506362586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18.5</v>
      </c>
      <c r="CT102" s="12">
        <f>IF('Données projet'!$A$140&gt;35,CT101+CS102-DB101,IF(A102&lt;'Données projet'!$A$140,$CQ$205^A102,IF(A102='Données projet'!$A$140,'Données projet'!$B$140,CT101+CS102-DB101)))</f>
        <v>707.69999999999993</v>
      </c>
      <c r="CU102" s="17">
        <f>CT102*VLOOKUP('Données projet'!$B$13,Paramètres!$A$1:$I$89,3,0)*VLOOKUP('Données projet'!$B$13,Paramètres!$A$1:$I$89,5,0)</f>
        <v>331.20359999999994</v>
      </c>
      <c r="CV102" s="13">
        <f t="shared" si="95"/>
        <v>77.67979126195354</v>
      </c>
      <c r="CW102" s="20">
        <f t="shared" si="67"/>
        <v>712.13857311456889</v>
      </c>
      <c r="CX102" s="59">
        <f t="shared" si="68"/>
        <v>1005.4719064479023</v>
      </c>
      <c r="CY102" s="59">
        <f ca="1">AVERAGE(OFFSET($CX$3,0,0,'Données projet'!$E$13+1,1))-AVERAGE(OFFSET($H$3,0,0,'Données projet'!$E$13+1,1))</f>
        <v>346.16623654404509</v>
      </c>
      <c r="CZ102" s="59">
        <f t="shared" si="96"/>
        <v>281.80933156559087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0.79931956967978746</v>
      </c>
      <c r="DG102" s="21">
        <f>EXP(-LN(2)/25)*DG101+(1-EXP(-LN(2)/25))/(LN(2)/25)*Calculateur!DB102*Calculateur!DD102*VLOOKUP('Données projet'!$B$13,Paramètres!$A$1:$I$89,3,0)*0.475*44/12</f>
        <v>1.1596557192734085</v>
      </c>
      <c r="DH102" s="21">
        <f>EXP(-LN(2)/2)*DH101+(1-EXP(-LN(2)/2))/(LN(2)/2)*DB102*DE102*VLOOKUP('Données projet'!$B$13,Paramètres!$A$1:$I$89,3,0)*0.475*44/12</f>
        <v>4.0468286391348677E-10</v>
      </c>
      <c r="DI102" s="22">
        <f t="shared" si="69"/>
        <v>1.9589752893578789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6.2527760746888816E-13</v>
      </c>
      <c r="DP102" s="17">
        <f>DO102*VLOOKUP('Données projet'!$B$14,Paramètres!$A$1:$I$89,3,0)*VLOOKUP('Données projet'!$B$14,Paramètres!$A$1:$I$89,5,0)</f>
        <v>3.9017322706058616E-13</v>
      </c>
      <c r="DQ102" s="13">
        <f t="shared" si="97"/>
        <v>5.0025007393608908E-12</v>
      </c>
      <c r="DR102" s="20">
        <f t="shared" si="70"/>
        <v>9.3922404915174053E-12</v>
      </c>
      <c r="DS102" s="59">
        <f t="shared" si="71"/>
        <v>293.33333333334269</v>
      </c>
      <c r="DT102" s="59">
        <f ca="1">AVERAGE(OFFSET($DS$3,0,0,'Données projet'!$E$14+1,1))-AVERAGE(OFFSET($H$3,0,0,'Données projet'!$E$14+1,1))</f>
        <v>319.97171762304686</v>
      </c>
      <c r="DU102" s="59">
        <f t="shared" si="98"/>
        <v>337.89345858359621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1.7730994613613804</v>
      </c>
      <c r="EB102" s="21">
        <f>EXP(-LN(2)/25)*EB101+(1-EXP(-LN(2)/25))/(LN(2)/25)*Calculateur!DW102*Calculateur!DY102*VLOOKUP('Données projet'!$B$14,Paramètres!$A$1:$I$89,3,0)*0.475*44/12</f>
        <v>3.0687959168973702</v>
      </c>
      <c r="EC102" s="21">
        <f>EXP(-LN(2)/2)*EC101+(1-EXP(-LN(2)/2))/(LN(2)/2)*DW102*DZ102*VLOOKUP('Données projet'!$B$14,Paramètres!$A$1:$I$89,3,0)*0.475*44/12</f>
        <v>8.3103441635399519E-10</v>
      </c>
      <c r="ED102" s="22">
        <f t="shared" si="72"/>
        <v>4.8418953790897854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>
        <f>EJ102*VLOOKUP('Données projet'!$B$15,Paramètres!$A$1:$I$89,3,0)*VLOOKUP('Données projet'!$B$15,Paramètres!$A$1:$I$89,5,0)</f>
        <v>0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258.46015871559956</v>
      </c>
      <c r="EP102" s="59">
        <f t="shared" si="100"/>
        <v>280.26155987300996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1.5841298723918202</v>
      </c>
      <c r="EW102" s="21">
        <f>EXP(-LN(2)/25)*EW101+(1-EXP(-LN(2)/25))/(LN(2)/25)*Calculateur!ER102*Calculateur!ET102*VLOOKUP('Données projet'!$B$15,Paramètres!$A$1:$I$89,3,0)*0.475*44/12</f>
        <v>1.8203351810639319</v>
      </c>
      <c r="EX102" s="21">
        <f>EXP(-LN(2)/2)*EX101+(1-EXP(-LN(2)/2))/(LN(2)/2)*ER102*EU102*VLOOKUP('Données projet'!$B$15,Paramètres!$A$1:$I$89,3,0)*0.475*44/12</f>
        <v>2.2413942531937008E-10</v>
      </c>
      <c r="EY102" s="22">
        <f t="shared" si="75"/>
        <v>3.4044650536798913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267</v>
      </c>
      <c r="L103" s="12">
        <f>VLOOKUP(A103,'Données projet'!$A$35:$I$55,9,0)</f>
        <v>3</v>
      </c>
      <c r="M103" s="12">
        <f t="array" ref="M103">INDEX(L:L,MIN(IF(ISNUMBER(L103:L299),ROW(L103:L299),"")))</f>
        <v>3</v>
      </c>
      <c r="N103" s="13">
        <f>IF('Données projet'!$A$36&gt;35,N102+M103-V102,IF(A103&lt;'Données projet'!$A$36,$K$205^A103,IF(A103='Données projet'!$A$36,'Données projet'!$B$36,N102+M103-V102)))</f>
        <v>267.00000000000017</v>
      </c>
      <c r="O103" s="13">
        <f>N103*VLOOKUP('Données projet'!$B$9,Paramètres!$A$1:$I$89,3,0)*VLOOKUP('Données projet'!$B$9,Paramètres!$A$1:$I$89,5,0)</f>
        <v>233.25120000000021</v>
      </c>
      <c r="P103" s="13">
        <f t="shared" si="87"/>
        <v>56.985091661350914</v>
      </c>
      <c r="Q103" s="20">
        <f t="shared" si="107"/>
        <v>505.49487464351984</v>
      </c>
      <c r="R103" s="59">
        <f t="shared" si="55"/>
        <v>798.82820797685315</v>
      </c>
      <c r="S103" s="59">
        <f ca="1">AVERAGE(OFFSET($R$3,0,0,'Données projet'!$E$9+1,1))-AVERAGE(OFFSET($H$3,0,0,'Données projet'!$E$9+1,1))</f>
        <v>368.41876532159154</v>
      </c>
      <c r="T103" s="59">
        <f t="shared" si="88"/>
        <v>369.39570124551125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24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1.5395855059599208</v>
      </c>
      <c r="AA103" s="21">
        <f>EXP(-LN(2)/25)*AA102+(1-EXP(-LN(2)/25))/(LN(2)/25)*Calculateur!V103*Calculateur!X103*VLOOKUP('Données projet'!$B$9,Paramètres!$A$1:$I$89,3,0)*0.475*44/12</f>
        <v>2.3291296021219123</v>
      </c>
      <c r="AB103" s="21">
        <f>EXP(-LN(2)/2)*AB102+(1-EXP(-LN(2)/2))/(LN(2)/2)*V103*Y103*VLOOKUP('Données projet'!$B$9,Paramètres!$A$1:$I$89,3,0)*0.475*44/12</f>
        <v>5.1719371293278048E-10</v>
      </c>
      <c r="AC103" s="22">
        <f t="shared" si="57"/>
        <v>3.868715108599027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-5.1159076974727213E-13</v>
      </c>
      <c r="AJ103" s="13">
        <f>AI103*VLOOKUP('Données projet'!$B$10,Paramètres!$A$1:$I$89,3,0)*VLOOKUP('Données projet'!$B$10,Paramètres!$A$1:$I$89,5,0)</f>
        <v>-4.4692569645121704E-13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402.82278346470082</v>
      </c>
      <c r="AO103" s="59">
        <f t="shared" si="90"/>
        <v>440.17787299198977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0.89572285160188392</v>
      </c>
      <c r="AV103" s="21">
        <f>EXP(-LN(2)/25)*AV102+(1-EXP(-LN(2)/25))/(LN(2)/25)*Calculateur!AQ103*Calculateur!AS103*VLOOKUP('Données projet'!$B$10,Paramètres!$A$1:$I$89,3,0)*0.475*44/12</f>
        <v>3.2352124954150789</v>
      </c>
      <c r="AW103" s="21">
        <f>EXP(-LN(2)/2)*AW102+(1-EXP(-LN(2)/2))/(LN(2)/2)*AQ103*AT103*VLOOKUP('Données projet'!$B$10,Paramètres!$A$1:$I$89,3,0)*0.475*44/12</f>
        <v>7.682189553962417E-10</v>
      </c>
      <c r="AX103" s="21">
        <f t="shared" si="60"/>
        <v>4.130935347785182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361</v>
      </c>
      <c r="BB103" s="12">
        <f>VLOOKUP(A103,'Données projet'!$A$87:$I$107,9,0)</f>
        <v>5.9</v>
      </c>
      <c r="BC103" s="12">
        <f t="array" ref="BC103">INDEX(BB:BB,MIN(IF(ISNUMBER(BB103:BB299),ROW(BB103:BB299),"")))</f>
        <v>5.9</v>
      </c>
      <c r="BD103" s="12">
        <f>IF('Données projet'!$A$88&gt;35,BD102+BC103-BL102,IF(A103&lt;'Données projet'!$A$88,$BA$205^A103,IF(A103='Données projet'!$A$88,'Données projet'!$B$88,BD102+BC103-BL102)))</f>
        <v>360.99999999999977</v>
      </c>
      <c r="BE103" s="13">
        <f>BD103*VLOOKUP('Données projet'!$B$11,Paramètres!$A$1:$I$89,3,0)*VLOOKUP('Données projet'!$B$11,Paramètres!$A$1:$I$89,5,0)</f>
        <v>326.6327999999998</v>
      </c>
      <c r="BF103" s="13">
        <f t="shared" si="91"/>
        <v>76.731784548754774</v>
      </c>
      <c r="BG103" s="20">
        <f t="shared" si="61"/>
        <v>702.52665142241415</v>
      </c>
      <c r="BH103" s="59">
        <f t="shared" si="62"/>
        <v>995.85998475574752</v>
      </c>
      <c r="BI103" s="59">
        <f ca="1">AVERAGE(OFFSET($BH$3,0,0,'Données projet'!$E$11+1,1))-AVERAGE(OFFSET($H$3,0,0,'Données projet'!$E$11+1,1))</f>
        <v>469.68830256438338</v>
      </c>
      <c r="BJ103" s="59">
        <f t="shared" si="92"/>
        <v>332.61387922152159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55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0.60213821883964913</v>
      </c>
      <c r="BQ103" s="21">
        <f>EXP(-LN(2)/25)*BQ102+(1-EXP(-LN(2)/25))/(LN(2)/25)*Calculateur!BL103*Calculateur!BN103*VLOOKUP('Données projet'!$B$11,Paramètres!$A$1:$I$89,3,0)*0.475*44/12</f>
        <v>1.6200693670494792</v>
      </c>
      <c r="BR103" s="21">
        <f>EXP(-LN(2)/2)*BR102+(1-EXP(-LN(2)/2))/(LN(2)/2)*BL103*BO103*VLOOKUP('Données projet'!$B$11,Paramètres!$A$1:$I$89,3,0)*0.475*44/12</f>
        <v>6.2728465925048462E-10</v>
      </c>
      <c r="BS103" s="22">
        <f t="shared" si="63"/>
        <v>2.2222075865164128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425</v>
      </c>
      <c r="BW103" s="12">
        <f>VLOOKUP(A103,'Données projet'!$A$113:$I$133,9,0)</f>
        <v>7.4</v>
      </c>
      <c r="BX103" s="12">
        <f t="array" ref="BX103">INDEX(BW:BW,MIN(IF(ISNUMBER(BW103:BW299),ROW(BW103:BW299),"")))</f>
        <v>7.4</v>
      </c>
      <c r="BY103" s="12">
        <f>IF('Données projet'!$A$114&gt;35,BY102+BX103-CG102,IF(A103&lt;'Données projet'!$A$114,$BV$205^A103,IF(A103='Données projet'!$A$114,'Données projet'!$B$114,BY102+BX103-CG102)))</f>
        <v>425.00000000000011</v>
      </c>
      <c r="BZ103" s="13">
        <f>BY103*VLOOKUP('Données projet'!$B$12,Paramètres!$A$1:$I$89,3,0)*VLOOKUP('Données projet'!$B$12,Paramètres!$A$1:$I$89,5,0)</f>
        <v>404.43000000000012</v>
      </c>
      <c r="CA103" s="13">
        <f t="shared" si="93"/>
        <v>92.674203214904111</v>
      </c>
      <c r="CB103" s="20">
        <f t="shared" si="64"/>
        <v>865.78982059929149</v>
      </c>
      <c r="CC103" s="59">
        <f t="shared" si="65"/>
        <v>1159.1231539326247</v>
      </c>
      <c r="CD103" s="59">
        <f ca="1">AVERAGE(OFFSET($CC$3,0,0,'Données projet'!$E$12+1,1))-AVERAGE(OFFSET($H$3,0,0,'Données projet'!$E$12+1,1))</f>
        <v>609.40025883662452</v>
      </c>
      <c r="CE103" s="59">
        <f t="shared" si="94"/>
        <v>294.48909834404577</v>
      </c>
      <c r="CF103" s="15">
        <f>IF(ISNA(VLOOKUP(A103,'Données projet'!$A$113:$I$133,3,0)),0,VLOOKUP(A103,'Données projet'!$A$113:$I$133,3,0))</f>
        <v>8</v>
      </c>
      <c r="CG103" s="15">
        <f>IF(ISNA(VLOOKUP(A103,'Données projet'!$A$113:$I$133,4,0)),0,VLOOKUP(A103,'Données projet'!$A$113:$I$133,4,0))</f>
        <v>49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0.56608377365492257</v>
      </c>
      <c r="CM103" s="21">
        <f>EXP(-LN(2)/2)*CM102+(1-EXP(-LN(2)/2))/(LN(2)/2)*CG103*CJ103*VLOOKUP('Données projet'!$B$12,Paramètres!$A$1:$I$89,3,0)*0.475*44/12</f>
        <v>2.2864774959341766E-10</v>
      </c>
      <c r="CN103" s="22">
        <f t="shared" si="66"/>
        <v>0.56608377388357034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726.2</v>
      </c>
      <c r="CR103" s="12">
        <f>VLOOKUP(A103,'Données projet'!$A$139:$I$159,9,0)</f>
        <v>18.5</v>
      </c>
      <c r="CS103" s="12">
        <f t="array" ref="CS103">INDEX(CR:CR,MIN(IF(ISNUMBER(CR103:CR299),ROW(CR103:CR299),"")))</f>
        <v>18.5</v>
      </c>
      <c r="CT103" s="12">
        <f>IF('Données projet'!$A$140&gt;35,CT102+CS103-DB102,IF(A103&lt;'Données projet'!$A$140,$CQ$205^A103,IF(A103='Données projet'!$A$140,'Données projet'!$B$140,CT102+CS103-DB102)))</f>
        <v>726.19999999999993</v>
      </c>
      <c r="CU103" s="17">
        <f>CT103*VLOOKUP('Données projet'!$B$13,Paramètres!$A$1:$I$89,3,0)*VLOOKUP('Données projet'!$B$13,Paramètres!$A$1:$I$89,5,0)</f>
        <v>339.86159999999995</v>
      </c>
      <c r="CV103" s="13">
        <f t="shared" si="95"/>
        <v>79.47135142801136</v>
      </c>
      <c r="CW103" s="20">
        <f t="shared" si="67"/>
        <v>730.33822373711973</v>
      </c>
      <c r="CX103" s="59">
        <f t="shared" si="68"/>
        <v>1023.671557070453</v>
      </c>
      <c r="CY103" s="59">
        <f ca="1">AVERAGE(OFFSET($CX$3,0,0,'Données projet'!$E$13+1,1))-AVERAGE(OFFSET($H$3,0,0,'Données projet'!$E$13+1,1))</f>
        <v>346.16623654404509</v>
      </c>
      <c r="CZ103" s="59">
        <f t="shared" si="96"/>
        <v>281.80933156559087</v>
      </c>
      <c r="DA103" s="15">
        <f>IF(ISNA(VLOOKUP(A103,'Données projet'!$A$139:$I$159,3,0)),0,VLOOKUP(A103,'Données projet'!$A$139:$I$159,3,0))</f>
        <v>9</v>
      </c>
      <c r="DB103" s="15">
        <f>IF(ISNA(VLOOKUP(A103,'Données projet'!$A$139:$I$159,4,0)),0,VLOOKUP(A103,'Données projet'!$A$139:$I$159,4,0))</f>
        <v>726.2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0.78364540045516407</v>
      </c>
      <c r="DG103" s="21">
        <f>EXP(-LN(2)/25)*DG102+(1-EXP(-LN(2)/25))/(LN(2)/25)*Calculateur!DB103*Calculateur!DD103*VLOOKUP('Données projet'!$B$13,Paramètres!$A$1:$I$89,3,0)*0.475*44/12</f>
        <v>1.1279448726462333</v>
      </c>
      <c r="DH103" s="21">
        <f>EXP(-LN(2)/2)*DH102+(1-EXP(-LN(2)/2))/(LN(2)/2)*DB103*DE103*VLOOKUP('Données projet'!$B$13,Paramètres!$A$1:$I$89,3,0)*0.475*44/12</f>
        <v>2.8615399730321928E-10</v>
      </c>
      <c r="DI103" s="22">
        <f t="shared" si="69"/>
        <v>1.9115902733875514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6.2527760746888816E-13</v>
      </c>
      <c r="DP103" s="17">
        <f>DO103*VLOOKUP('Données projet'!$B$14,Paramètres!$A$1:$I$89,3,0)*VLOOKUP('Données projet'!$B$14,Paramètres!$A$1:$I$89,5,0)</f>
        <v>3.9017322706058616E-13</v>
      </c>
      <c r="DQ103" s="13">
        <f t="shared" si="97"/>
        <v>5.0025007393608908E-12</v>
      </c>
      <c r="DR103" s="20">
        <f t="shared" si="70"/>
        <v>9.3922404915174053E-12</v>
      </c>
      <c r="DS103" s="59">
        <f t="shared" si="71"/>
        <v>293.33333333334269</v>
      </c>
      <c r="DT103" s="59">
        <f ca="1">AVERAGE(OFFSET($DS$3,0,0,'Données projet'!$E$14+1,1))-AVERAGE(OFFSET($H$3,0,0,'Données projet'!$E$14+1,1))</f>
        <v>319.97171762304686</v>
      </c>
      <c r="DU103" s="59">
        <f t="shared" si="98"/>
        <v>337.89345858359621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1.7383300624079676</v>
      </c>
      <c r="EB103" s="21">
        <f>EXP(-LN(2)/25)*EB102+(1-EXP(-LN(2)/25))/(LN(2)/25)*Calculateur!DW103*Calculateur!DY103*VLOOKUP('Données projet'!$B$14,Paramètres!$A$1:$I$89,3,0)*0.475*44/12</f>
        <v>2.9848795311688483</v>
      </c>
      <c r="EC103" s="21">
        <f>EXP(-LN(2)/2)*EC102+(1-EXP(-LN(2)/2))/(LN(2)/2)*DW103*DZ103*VLOOKUP('Données projet'!$B$14,Paramètres!$A$1:$I$89,3,0)*0.475*44/12</f>
        <v>5.876300712033147E-10</v>
      </c>
      <c r="ED103" s="22">
        <f t="shared" si="72"/>
        <v>4.7232095941644463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>
        <f>EJ103*VLOOKUP('Données projet'!$B$15,Paramètres!$A$1:$I$89,3,0)*VLOOKUP('Données projet'!$B$15,Paramètres!$A$1:$I$89,5,0)</f>
        <v>0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258.46015871559956</v>
      </c>
      <c r="EP103" s="59">
        <f t="shared" si="100"/>
        <v>280.26155987300996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1.5530660518180321</v>
      </c>
      <c r="EW103" s="21">
        <f>EXP(-LN(2)/25)*EW102+(1-EXP(-LN(2)/25))/(LN(2)/25)*Calculateur!ER103*Calculateur!ET103*VLOOKUP('Données projet'!$B$15,Paramètres!$A$1:$I$89,3,0)*0.475*44/12</f>
        <v>1.770558019810472</v>
      </c>
      <c r="EX103" s="21">
        <f>EXP(-LN(2)/2)*EX102+(1-EXP(-LN(2)/2))/(LN(2)/2)*ER103*EU103*VLOOKUP('Données projet'!$B$15,Paramètres!$A$1:$I$89,3,0)*0.475*44/12</f>
        <v>1.5849050757458233E-10</v>
      </c>
      <c r="EY103" s="22">
        <f t="shared" si="75"/>
        <v>3.3236240717869947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243.00000000000017</v>
      </c>
      <c r="O104" s="13">
        <f>N104*VLOOKUP('Données projet'!$B$9,Paramètres!$A$1:$I$89,3,0)*VLOOKUP('Données projet'!$B$9,Paramètres!$A$1:$I$89,5,0)</f>
        <v>212.28480000000016</v>
      </c>
      <c r="P104" s="13">
        <f t="shared" si="87"/>
        <v>52.434557099704236</v>
      </c>
      <c r="Q104" s="20">
        <f t="shared" si="107"/>
        <v>461.0528802819851</v>
      </c>
      <c r="R104" s="59">
        <f t="shared" si="55"/>
        <v>754.38621361531841</v>
      </c>
      <c r="S104" s="59">
        <f ca="1">AVERAGE(OFFSET($R$3,0,0,'Données projet'!$E$9+1,1))-AVERAGE(OFFSET($H$3,0,0,'Données projet'!$E$9+1,1))</f>
        <v>368.41876532159154</v>
      </c>
      <c r="T104" s="59">
        <f t="shared" si="88"/>
        <v>369.39570124551125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1.5093951732424815</v>
      </c>
      <c r="AA104" s="21">
        <f>EXP(-LN(2)/25)*AA103+(1-EXP(-LN(2)/25))/(LN(2)/25)*Calculateur!V104*Calculateur!X104*VLOOKUP('Données projet'!$B$9,Paramètres!$A$1:$I$89,3,0)*0.475*44/12</f>
        <v>2.2654394306682861</v>
      </c>
      <c r="AB104" s="21">
        <f>EXP(-LN(2)/2)*AB103+(1-EXP(-LN(2)/2))/(LN(2)/2)*V104*Y104*VLOOKUP('Données projet'!$B$9,Paramètres!$A$1:$I$89,3,0)*0.475*44/12</f>
        <v>3.6571118160181768E-10</v>
      </c>
      <c r="AC104" s="22">
        <f t="shared" si="57"/>
        <v>3.7748346042764789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-5.1159076974727213E-13</v>
      </c>
      <c r="AJ104" s="13">
        <f>AI104*VLOOKUP('Données projet'!$B$10,Paramètres!$A$1:$I$89,3,0)*VLOOKUP('Données projet'!$B$10,Paramètres!$A$1:$I$89,5,0)</f>
        <v>-4.4692569645121704E-13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402.82278346470082</v>
      </c>
      <c r="AO104" s="59">
        <f t="shared" si="90"/>
        <v>440.17787299198977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0.87815827281896419</v>
      </c>
      <c r="AV104" s="21">
        <f>EXP(-LN(2)/25)*AV103+(1-EXP(-LN(2)/25))/(LN(2)/25)*Calculateur!AQ104*Calculateur!AS104*VLOOKUP('Données projet'!$B$10,Paramètres!$A$1:$I$89,3,0)*0.475*44/12</f>
        <v>3.1467454395955228</v>
      </c>
      <c r="AW104" s="21">
        <f>EXP(-LN(2)/2)*AW103+(1-EXP(-LN(2)/2))/(LN(2)/2)*AQ104*AT104*VLOOKUP('Données projet'!$B$10,Paramètres!$A$1:$I$89,3,0)*0.475*44/12</f>
        <v>5.4321283279672838E-10</v>
      </c>
      <c r="AX104" s="21">
        <f t="shared" si="60"/>
        <v>4.0249037129576992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</v>
      </c>
      <c r="BD104" s="12">
        <f>IF('Données projet'!$A$88&gt;35,BD103+BC104-BL103,IF(A104&lt;'Données projet'!$A$88,$BA$205^A104,IF(A104='Données projet'!$A$88,'Données projet'!$B$88,BD103+BC104-BL103)))</f>
        <v>311.19999999999976</v>
      </c>
      <c r="BE104" s="13">
        <f>BD104*VLOOKUP('Données projet'!$B$11,Paramètres!$A$1:$I$89,3,0)*VLOOKUP('Données projet'!$B$11,Paramètres!$A$1:$I$89,5,0)</f>
        <v>281.57375999999977</v>
      </c>
      <c r="BF104" s="13">
        <f t="shared" si="91"/>
        <v>67.299481043334993</v>
      </c>
      <c r="BG104" s="20">
        <f t="shared" si="61"/>
        <v>607.62089481714133</v>
      </c>
      <c r="BH104" s="59">
        <f t="shared" si="62"/>
        <v>900.95422815047459</v>
      </c>
      <c r="BI104" s="59">
        <f ca="1">AVERAGE(OFFSET($BH$3,0,0,'Données projet'!$E$11+1,1))-AVERAGE(OFFSET($H$3,0,0,'Données projet'!$E$11+1,1))</f>
        <v>469.68830256438338</v>
      </c>
      <c r="BJ104" s="59">
        <f t="shared" si="92"/>
        <v>332.61387922152159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0.59033065563625242</v>
      </c>
      <c r="BQ104" s="21">
        <f>EXP(-LN(2)/25)*BQ103+(1-EXP(-LN(2)/25))/(LN(2)/25)*Calculateur!BL104*Calculateur!BN104*VLOOKUP('Données projet'!$B$11,Paramètres!$A$1:$I$89,3,0)*0.475*44/12</f>
        <v>1.5757684850117659</v>
      </c>
      <c r="BR104" s="21">
        <f>EXP(-LN(2)/2)*BR103+(1-EXP(-LN(2)/2))/(LN(2)/2)*BL104*BO104*VLOOKUP('Données projet'!$B$11,Paramètres!$A$1:$I$89,3,0)*0.475*44/12</f>
        <v>4.4355723629031046E-10</v>
      </c>
      <c r="BS104" s="22">
        <f t="shared" si="63"/>
        <v>2.1660991410915758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6.5</v>
      </c>
      <c r="BY104" s="12">
        <f>IF('Données projet'!$A$114&gt;35,BY103+BX104-CG103,IF(A104&lt;'Données projet'!$A$114,$BV$205^A104,IF(A104='Données projet'!$A$114,'Données projet'!$B$114,BY103+BX104-CG103)))</f>
        <v>382.50000000000011</v>
      </c>
      <c r="BZ104" s="13">
        <f>BY104*VLOOKUP('Données projet'!$B$12,Paramètres!$A$1:$I$89,3,0)*VLOOKUP('Données projet'!$B$12,Paramètres!$A$1:$I$89,5,0)</f>
        <v>363.98700000000014</v>
      </c>
      <c r="CA104" s="13">
        <f t="shared" si="93"/>
        <v>84.435978789139824</v>
      </c>
      <c r="CB104" s="20">
        <f t="shared" si="64"/>
        <v>781.00335472441873</v>
      </c>
      <c r="CC104" s="59">
        <f t="shared" si="65"/>
        <v>1074.3366880577521</v>
      </c>
      <c r="CD104" s="59">
        <f ca="1">AVERAGE(OFFSET($CC$3,0,0,'Données projet'!$E$12+1,1))-AVERAGE(OFFSET($H$3,0,0,'Données projet'!$E$12+1,1))</f>
        <v>609.40025883662452</v>
      </c>
      <c r="CE104" s="59">
        <f t="shared" si="94"/>
        <v>294.48909834404577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0.55060418309527681</v>
      </c>
      <c r="CM104" s="21">
        <f>EXP(-LN(2)/2)*CM103+(1-EXP(-LN(2)/2))/(LN(2)/2)*CG104*CJ104*VLOOKUP('Données projet'!$B$12,Paramètres!$A$1:$I$89,3,0)*0.475*44/12</f>
        <v>1.616783742405493E-10</v>
      </c>
      <c r="CN104" s="22">
        <f t="shared" si="66"/>
        <v>0.55060418325695515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-1.1368683772161603E-13</v>
      </c>
      <c r="CU104" s="17">
        <f>CT104*VLOOKUP('Données projet'!$B$13,Paramètres!$A$1:$I$89,3,0)*VLOOKUP('Données projet'!$B$13,Paramètres!$A$1:$I$89,5,0)</f>
        <v>-5.3205440053716299E-14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346.16623654404509</v>
      </c>
      <c r="CZ104" s="59">
        <f t="shared" si="96"/>
        <v>281.80933156559087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0.76827859212873628</v>
      </c>
      <c r="DG104" s="21">
        <f>EXP(-LN(2)/25)*DG103+(1-EXP(-LN(2)/25))/(LN(2)/25)*Calculateur!DB104*Calculateur!DD104*VLOOKUP('Données projet'!$B$13,Paramètres!$A$1:$I$89,3,0)*0.475*44/12</f>
        <v>1.0971011607876793</v>
      </c>
      <c r="DH104" s="21">
        <f>EXP(-LN(2)/2)*DH103+(1-EXP(-LN(2)/2))/(LN(2)/2)*DB104*DE104*VLOOKUP('Données projet'!$B$13,Paramètres!$A$1:$I$89,3,0)*0.475*44/12</f>
        <v>2.0234143195674339E-10</v>
      </c>
      <c r="DI104" s="22">
        <f t="shared" si="69"/>
        <v>1.865379753118757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6.2527760746888816E-13</v>
      </c>
      <c r="DP104" s="17">
        <f>DO104*VLOOKUP('Données projet'!$B$14,Paramètres!$A$1:$I$89,3,0)*VLOOKUP('Données projet'!$B$14,Paramètres!$A$1:$I$89,5,0)</f>
        <v>3.9017322706058616E-13</v>
      </c>
      <c r="DQ104" s="13">
        <f t="shared" si="97"/>
        <v>5.0025007393608908E-12</v>
      </c>
      <c r="DR104" s="20">
        <f t="shared" si="70"/>
        <v>9.3922404915174053E-12</v>
      </c>
      <c r="DS104" s="59">
        <f t="shared" si="71"/>
        <v>293.33333333334269</v>
      </c>
      <c r="DT104" s="59">
        <f ca="1">AVERAGE(OFFSET($DS$3,0,0,'Données projet'!$E$14+1,1))-AVERAGE(OFFSET($H$3,0,0,'Données projet'!$E$14+1,1))</f>
        <v>319.97171762304686</v>
      </c>
      <c r="DU104" s="59">
        <f t="shared" si="98"/>
        <v>337.89345858359621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1.7042424701607919</v>
      </c>
      <c r="EB104" s="21">
        <f>EXP(-LN(2)/25)*EB103+(1-EXP(-LN(2)/25))/(LN(2)/25)*Calculateur!DW104*Calculateur!DY104*VLOOKUP('Données projet'!$B$14,Paramètres!$A$1:$I$89,3,0)*0.475*44/12</f>
        <v>2.9032578434210436</v>
      </c>
      <c r="EC104" s="21">
        <f>EXP(-LN(2)/2)*EC103+(1-EXP(-LN(2)/2))/(LN(2)/2)*DW104*DZ104*VLOOKUP('Données projet'!$B$14,Paramètres!$A$1:$I$89,3,0)*0.475*44/12</f>
        <v>4.1551720817699759E-10</v>
      </c>
      <c r="ED104" s="22">
        <f t="shared" si="72"/>
        <v>4.6075003139973534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>
        <f>EJ104*VLOOKUP('Données projet'!$B$15,Paramètres!$A$1:$I$89,3,0)*VLOOKUP('Données projet'!$B$15,Paramètres!$A$1:$I$89,5,0)</f>
        <v>0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258.46015871559956</v>
      </c>
      <c r="EP104" s="59">
        <f t="shared" si="100"/>
        <v>280.26155987300996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1.5226113738186364</v>
      </c>
      <c r="EW104" s="21">
        <f>EXP(-LN(2)/25)*EW103+(1-EXP(-LN(2)/25))/(LN(2)/25)*Calculateur!ER104*Calculateur!ET104*VLOOKUP('Données projet'!$B$15,Paramètres!$A$1:$I$89,3,0)*0.475*44/12</f>
        <v>1.7221420176491551</v>
      </c>
      <c r="EX104" s="21">
        <f>EXP(-LN(2)/2)*EX103+(1-EXP(-LN(2)/2))/(LN(2)/2)*ER104*EU104*VLOOKUP('Données projet'!$B$15,Paramètres!$A$1:$I$89,3,0)*0.475*44/12</f>
        <v>1.1206971265968504E-10</v>
      </c>
      <c r="EY104" s="22">
        <f t="shared" si="75"/>
        <v>3.2447533915798616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243.00000000000017</v>
      </c>
      <c r="O105" s="13">
        <f>N105*VLOOKUP('Données projet'!$B$9,Paramètres!$A$1:$I$89,3,0)*VLOOKUP('Données projet'!$B$9,Paramètres!$A$1:$I$89,5,0)</f>
        <v>212.28480000000016</v>
      </c>
      <c r="P105" s="13">
        <f t="shared" si="87"/>
        <v>52.434557099704236</v>
      </c>
      <c r="Q105" s="20">
        <f t="shared" si="107"/>
        <v>461.0528802819851</v>
      </c>
      <c r="R105" s="59">
        <f t="shared" si="55"/>
        <v>754.38621361531841</v>
      </c>
      <c r="S105" s="59">
        <f ca="1">AVERAGE(OFFSET($R$3,0,0,'Données projet'!$E$9+1,1))-AVERAGE(OFFSET($H$3,0,0,'Données projet'!$E$9+1,1))</f>
        <v>368.41876532159154</v>
      </c>
      <c r="T105" s="59">
        <f t="shared" si="88"/>
        <v>369.39570124551125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1.4797968545353464</v>
      </c>
      <c r="AA105" s="21">
        <f>EXP(-LN(2)/25)*AA104+(1-EXP(-LN(2)/25))/(LN(2)/25)*Calculateur!V105*Calculateur!X105*VLOOKUP('Données projet'!$B$9,Paramètres!$A$1:$I$89,3,0)*0.475*44/12</f>
        <v>2.2034908703023799</v>
      </c>
      <c r="AB105" s="21">
        <f>EXP(-LN(2)/2)*AB104+(1-EXP(-LN(2)/2))/(LN(2)/2)*V105*Y105*VLOOKUP('Données projet'!$B$9,Paramètres!$A$1:$I$89,3,0)*0.475*44/12</f>
        <v>2.5859685646639024E-10</v>
      </c>
      <c r="AC105" s="22">
        <f t="shared" si="57"/>
        <v>3.683287725096323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-5.1159076974727213E-13</v>
      </c>
      <c r="AJ105" s="13">
        <f>AI105*VLOOKUP('Données projet'!$B$10,Paramètres!$A$1:$I$89,3,0)*VLOOKUP('Données projet'!$B$10,Paramètres!$A$1:$I$89,5,0)</f>
        <v>-4.4692569645121704E-13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402.82278346470082</v>
      </c>
      <c r="AO105" s="59">
        <f t="shared" si="90"/>
        <v>440.17787299198977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0.86093812471264231</v>
      </c>
      <c r="AV105" s="21">
        <f>EXP(-LN(2)/25)*AV104+(1-EXP(-LN(2)/25))/(LN(2)/25)*Calculateur!AQ105*Calculateur!AS105*VLOOKUP('Données projet'!$B$10,Paramètres!$A$1:$I$89,3,0)*0.475*44/12</f>
        <v>3.0606975200696325</v>
      </c>
      <c r="AW105" s="21">
        <f>EXP(-LN(2)/2)*AW104+(1-EXP(-LN(2)/2))/(LN(2)/2)*AQ105*AT105*VLOOKUP('Données projet'!$B$10,Paramètres!$A$1:$I$89,3,0)*0.475*44/12</f>
        <v>3.8410947769812085E-10</v>
      </c>
      <c r="AX105" s="21">
        <f t="shared" si="60"/>
        <v>3.9216356451663845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</v>
      </c>
      <c r="BD105" s="12">
        <f>IF('Données projet'!$A$88&gt;35,BD104+BC105-BL104,IF(A105&lt;'Données projet'!$A$88,$BA$205^A105,IF(A105='Données projet'!$A$88,'Données projet'!$B$88,BD104+BC105-BL104)))</f>
        <v>316.39999999999975</v>
      </c>
      <c r="BE105" s="13">
        <f>BD105*VLOOKUP('Données projet'!$B$11,Paramètres!$A$1:$I$89,3,0)*VLOOKUP('Données projet'!$B$11,Paramètres!$A$1:$I$89,5,0)</f>
        <v>286.27871999999974</v>
      </c>
      <c r="BF105" s="13">
        <f t="shared" si="91"/>
        <v>68.292165517667542</v>
      </c>
      <c r="BG105" s="20">
        <f t="shared" si="61"/>
        <v>617.54429227660387</v>
      </c>
      <c r="BH105" s="59">
        <f t="shared" si="62"/>
        <v>910.87762560993724</v>
      </c>
      <c r="BI105" s="59">
        <f ca="1">AVERAGE(OFFSET($BH$3,0,0,'Données projet'!$E$11+1,1))-AVERAGE(OFFSET($H$3,0,0,'Données projet'!$E$11+1,1))</f>
        <v>469.68830256438338</v>
      </c>
      <c r="BJ105" s="59">
        <f t="shared" si="92"/>
        <v>332.61387922152159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0.57875463154537188</v>
      </c>
      <c r="BQ105" s="21">
        <f>EXP(-LN(2)/25)*BQ104+(1-EXP(-LN(2)/25))/(LN(2)/25)*Calculateur!BL105*Calculateur!BN105*VLOOKUP('Données projet'!$B$11,Paramètres!$A$1:$I$89,3,0)*0.475*44/12</f>
        <v>1.5326790129230561</v>
      </c>
      <c r="BR105" s="21">
        <f>EXP(-LN(2)/2)*BR104+(1-EXP(-LN(2)/2))/(LN(2)/2)*BL105*BO105*VLOOKUP('Données projet'!$B$11,Paramètres!$A$1:$I$89,3,0)*0.475*44/12</f>
        <v>3.1364232962524231E-10</v>
      </c>
      <c r="BS105" s="22">
        <f t="shared" si="63"/>
        <v>2.1114336447820703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6.5</v>
      </c>
      <c r="BY105" s="12">
        <f>IF('Données projet'!$A$114&gt;35,BY104+BX105-CG104,IF(A105&lt;'Données projet'!$A$114,$BV$205^A105,IF(A105='Données projet'!$A$114,'Données projet'!$B$114,BY104+BX105-CG104)))</f>
        <v>389.00000000000011</v>
      </c>
      <c r="BZ105" s="13">
        <f>BY105*VLOOKUP('Données projet'!$B$12,Paramètres!$A$1:$I$89,3,0)*VLOOKUP('Données projet'!$B$12,Paramètres!$A$1:$I$89,5,0)</f>
        <v>370.17240000000015</v>
      </c>
      <c r="CA105" s="13">
        <f t="shared" si="93"/>
        <v>85.702574820499876</v>
      </c>
      <c r="CB105" s="20">
        <f t="shared" si="64"/>
        <v>793.98224781237093</v>
      </c>
      <c r="CC105" s="59">
        <f t="shared" si="65"/>
        <v>1087.3155811457043</v>
      </c>
      <c r="CD105" s="59">
        <f ca="1">AVERAGE(OFFSET($CC$3,0,0,'Données projet'!$E$12+1,1))-AVERAGE(OFFSET($H$3,0,0,'Données projet'!$E$12+1,1))</f>
        <v>609.40025883662452</v>
      </c>
      <c r="CE105" s="59">
        <f t="shared" si="94"/>
        <v>294.48909834404577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0.53554788275352094</v>
      </c>
      <c r="CM105" s="21">
        <f>EXP(-LN(2)/2)*CM104+(1-EXP(-LN(2)/2))/(LN(2)/2)*CG105*CJ105*VLOOKUP('Données projet'!$B$12,Paramètres!$A$1:$I$89,3,0)*0.475*44/12</f>
        <v>1.1432387479670884E-10</v>
      </c>
      <c r="CN105" s="22">
        <f t="shared" si="66"/>
        <v>0.53554788286784483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-1.1368683772161603E-13</v>
      </c>
      <c r="CU105" s="17">
        <f>CT105*VLOOKUP('Données projet'!$B$13,Paramètres!$A$1:$I$89,3,0)*VLOOKUP('Données projet'!$B$13,Paramètres!$A$1:$I$89,5,0)</f>
        <v>-5.3205440053716299E-14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346.16623654404509</v>
      </c>
      <c r="CZ105" s="59">
        <f t="shared" si="96"/>
        <v>281.80933156559087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0.75321311754076214</v>
      </c>
      <c r="DG105" s="21">
        <f>EXP(-LN(2)/25)*DG104+(1-EXP(-LN(2)/25))/(LN(2)/25)*Calculateur!DB105*Calculateur!DD105*VLOOKUP('Données projet'!$B$13,Paramètres!$A$1:$I$89,3,0)*0.475*44/12</f>
        <v>1.0671008718518975</v>
      </c>
      <c r="DH105" s="21">
        <f>EXP(-LN(2)/2)*DH104+(1-EXP(-LN(2)/2))/(LN(2)/2)*DB105*DE105*VLOOKUP('Données projet'!$B$13,Paramètres!$A$1:$I$89,3,0)*0.475*44/12</f>
        <v>1.4307699865160964E-10</v>
      </c>
      <c r="DI105" s="22">
        <f t="shared" si="69"/>
        <v>1.8203139895357368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6.2527760746888816E-13</v>
      </c>
      <c r="DP105" s="17">
        <f>DO105*VLOOKUP('Données projet'!$B$14,Paramètres!$A$1:$I$89,3,0)*VLOOKUP('Données projet'!$B$14,Paramètres!$A$1:$I$89,5,0)</f>
        <v>3.9017322706058616E-13</v>
      </c>
      <c r="DQ105" s="13">
        <f t="shared" si="97"/>
        <v>5.0025007393608908E-12</v>
      </c>
      <c r="DR105" s="20">
        <f t="shared" si="70"/>
        <v>9.3922404915174053E-12</v>
      </c>
      <c r="DS105" s="59">
        <f t="shared" si="71"/>
        <v>293.33333333334269</v>
      </c>
      <c r="DT105" s="59">
        <f ca="1">AVERAGE(OFFSET($DS$3,0,0,'Données projet'!$E$14+1,1))-AVERAGE(OFFSET($H$3,0,0,'Données projet'!$E$14+1,1))</f>
        <v>319.97171762304686</v>
      </c>
      <c r="DU105" s="59">
        <f t="shared" si="98"/>
        <v>337.89345858359621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1.6708233148062048</v>
      </c>
      <c r="EB105" s="21">
        <f>EXP(-LN(2)/25)*EB104+(1-EXP(-LN(2)/25))/(LN(2)/25)*Calculateur!DW105*Calculateur!DY105*VLOOKUP('Données projet'!$B$14,Paramètres!$A$1:$I$89,3,0)*0.475*44/12</f>
        <v>2.8238681050170009</v>
      </c>
      <c r="EC105" s="21">
        <f>EXP(-LN(2)/2)*EC104+(1-EXP(-LN(2)/2))/(LN(2)/2)*DW105*DZ105*VLOOKUP('Données projet'!$B$14,Paramètres!$A$1:$I$89,3,0)*0.475*44/12</f>
        <v>2.9381503560165735E-10</v>
      </c>
      <c r="ED105" s="22">
        <f t="shared" si="72"/>
        <v>4.4946914201170207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>
        <f>EJ105*VLOOKUP('Données projet'!$B$15,Paramètres!$A$1:$I$89,3,0)*VLOOKUP('Données projet'!$B$15,Paramètres!$A$1:$I$89,5,0)</f>
        <v>0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258.46015871559956</v>
      </c>
      <c r="EP105" s="59">
        <f t="shared" si="100"/>
        <v>280.26155987300996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1.4927538934792894</v>
      </c>
      <c r="EW105" s="21">
        <f>EXP(-LN(2)/25)*EW104+(1-EXP(-LN(2)/25))/(LN(2)/25)*Calculateur!ER105*Calculateur!ET105*VLOOKUP('Données projet'!$B$15,Paramètres!$A$1:$I$89,3,0)*0.475*44/12</f>
        <v>1.6750499536130263</v>
      </c>
      <c r="EX105" s="21">
        <f>EXP(-LN(2)/2)*EX104+(1-EXP(-LN(2)/2))/(LN(2)/2)*ER105*EU105*VLOOKUP('Données projet'!$B$15,Paramètres!$A$1:$I$89,3,0)*0.475*44/12</f>
        <v>7.9245253787291163E-11</v>
      </c>
      <c r="EY105" s="22">
        <f t="shared" si="75"/>
        <v>3.1678038471715606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243.00000000000017</v>
      </c>
      <c r="O106" s="13">
        <f>N106*VLOOKUP('Données projet'!$B$9,Paramètres!$A$1:$I$89,3,0)*VLOOKUP('Données projet'!$B$9,Paramètres!$A$1:$I$89,5,0)</f>
        <v>212.28480000000016</v>
      </c>
      <c r="P106" s="13">
        <f t="shared" si="87"/>
        <v>52.434557099704236</v>
      </c>
      <c r="Q106" s="20">
        <f t="shared" si="107"/>
        <v>461.0528802819851</v>
      </c>
      <c r="R106" s="59">
        <f t="shared" si="55"/>
        <v>754.38621361531841</v>
      </c>
      <c r="S106" s="59">
        <f ca="1">AVERAGE(OFFSET($R$3,0,0,'Données projet'!$E$9+1,1))-AVERAGE(OFFSET($H$3,0,0,'Données projet'!$E$9+1,1))</f>
        <v>368.41876532159154</v>
      </c>
      <c r="T106" s="59">
        <f t="shared" si="88"/>
        <v>369.39570124551125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1.4507789408048664</v>
      </c>
      <c r="AA106" s="21">
        <f>EXP(-LN(2)/25)*AA105+(1-EXP(-LN(2)/25))/(LN(2)/25)*Calculateur!V106*Calculateur!X106*VLOOKUP('Données projet'!$B$9,Paramètres!$A$1:$I$89,3,0)*0.475*44/12</f>
        <v>2.1432362965774128</v>
      </c>
      <c r="AB106" s="21">
        <f>EXP(-LN(2)/2)*AB105+(1-EXP(-LN(2)/2))/(LN(2)/2)*V106*Y106*VLOOKUP('Données projet'!$B$9,Paramètres!$A$1:$I$89,3,0)*0.475*44/12</f>
        <v>1.8285559080090884E-10</v>
      </c>
      <c r="AC106" s="22">
        <f t="shared" si="57"/>
        <v>3.5940152375651344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-5.1159076974727213E-13</v>
      </c>
      <c r="AJ106" s="13">
        <f>AI106*VLOOKUP('Données projet'!$B$10,Paramètres!$A$1:$I$89,3,0)*VLOOKUP('Données projet'!$B$10,Paramètres!$A$1:$I$89,5,0)</f>
        <v>-4.4692569645121704E-13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402.82278346470082</v>
      </c>
      <c r="AO106" s="59">
        <f t="shared" si="90"/>
        <v>440.17787299198977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0.84405565320743214</v>
      </c>
      <c r="AV106" s="21">
        <f>EXP(-LN(2)/25)*AV105+(1-EXP(-LN(2)/25))/(LN(2)/25)*Calculateur!AQ106*Calculateur!AS106*VLOOKUP('Données projet'!$B$10,Paramètres!$A$1:$I$89,3,0)*0.475*44/12</f>
        <v>2.9770025854282411</v>
      </c>
      <c r="AW106" s="21">
        <f>EXP(-LN(2)/2)*AW105+(1-EXP(-LN(2)/2))/(LN(2)/2)*AQ106*AT106*VLOOKUP('Données projet'!$B$10,Paramètres!$A$1:$I$89,3,0)*0.475*44/12</f>
        <v>2.7160641639836419E-10</v>
      </c>
      <c r="AX106" s="21">
        <f t="shared" si="60"/>
        <v>3.8210582389072796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5.2</v>
      </c>
      <c r="BD106" s="12">
        <f>IF('Données projet'!$A$88&gt;35,BD105+BC106-BL105,IF(A106&lt;'Données projet'!$A$88,$BA$205^A106,IF(A106='Données projet'!$A$88,'Données projet'!$B$88,BD105+BC106-BL105)))</f>
        <v>321.59999999999974</v>
      </c>
      <c r="BE106" s="13">
        <f>BD106*VLOOKUP('Données projet'!$B$11,Paramètres!$A$1:$I$89,3,0)*VLOOKUP('Données projet'!$B$11,Paramètres!$A$1:$I$89,5,0)</f>
        <v>290.98367999999977</v>
      </c>
      <c r="BF106" s="13">
        <f t="shared" si="91"/>
        <v>69.282952690245352</v>
      </c>
      <c r="BG106" s="20">
        <f t="shared" si="61"/>
        <v>627.46438526884356</v>
      </c>
      <c r="BH106" s="59">
        <f t="shared" si="62"/>
        <v>920.79771860217693</v>
      </c>
      <c r="BI106" s="59">
        <f ca="1">AVERAGE(OFFSET($BH$3,0,0,'Données projet'!$E$11+1,1))-AVERAGE(OFFSET($H$3,0,0,'Données projet'!$E$11+1,1))</f>
        <v>469.68830256438338</v>
      </c>
      <c r="BJ106" s="59">
        <f t="shared" si="92"/>
        <v>332.61387922152159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0.56740560622623604</v>
      </c>
      <c r="BQ106" s="21">
        <f>EXP(-LN(2)/25)*BQ105+(1-EXP(-LN(2)/25))/(LN(2)/25)*Calculateur!BL106*Calculateur!BN106*VLOOKUP('Données projet'!$B$11,Paramètres!$A$1:$I$89,3,0)*0.475*44/12</f>
        <v>1.4907678247145888</v>
      </c>
      <c r="BR106" s="21">
        <f>EXP(-LN(2)/2)*BR105+(1-EXP(-LN(2)/2))/(LN(2)/2)*BL106*BO106*VLOOKUP('Données projet'!$B$11,Paramètres!$A$1:$I$89,3,0)*0.475*44/12</f>
        <v>2.2177861814515523E-10</v>
      </c>
      <c r="BS106" s="22">
        <f t="shared" si="63"/>
        <v>2.0581734311626034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6.5</v>
      </c>
      <c r="BY106" s="12">
        <f>IF('Données projet'!$A$114&gt;35,BY105+BX106-CG105,IF(A106&lt;'Données projet'!$A$114,$BV$205^A106,IF(A106='Données projet'!$A$114,'Données projet'!$B$114,BY105+BX106-CG105)))</f>
        <v>395.50000000000011</v>
      </c>
      <c r="BZ106" s="13">
        <f>BY106*VLOOKUP('Données projet'!$B$12,Paramètres!$A$1:$I$89,3,0)*VLOOKUP('Données projet'!$B$12,Paramètres!$A$1:$I$89,5,0)</f>
        <v>376.35780000000011</v>
      </c>
      <c r="CA106" s="13">
        <f t="shared" si="93"/>
        <v>86.966709611968071</v>
      </c>
      <c r="CB106" s="20">
        <f t="shared" si="64"/>
        <v>806.95685424084456</v>
      </c>
      <c r="CC106" s="59">
        <f t="shared" si="65"/>
        <v>1100.2901875741779</v>
      </c>
      <c r="CD106" s="59">
        <f ca="1">AVERAGE(OFFSET($CC$3,0,0,'Données projet'!$E$12+1,1))-AVERAGE(OFFSET($H$3,0,0,'Données projet'!$E$12+1,1))</f>
        <v>609.40025883662452</v>
      </c>
      <c r="CE106" s="59">
        <f t="shared" si="94"/>
        <v>294.48909834404577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0.52090329773638677</v>
      </c>
      <c r="CM106" s="21">
        <f>EXP(-LN(2)/2)*CM105+(1-EXP(-LN(2)/2))/(LN(2)/2)*CG106*CJ106*VLOOKUP('Données projet'!$B$12,Paramètres!$A$1:$I$89,3,0)*0.475*44/12</f>
        <v>8.0839187120274663E-11</v>
      </c>
      <c r="CN106" s="22">
        <f t="shared" si="66"/>
        <v>0.520903297817226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-1.1368683772161603E-13</v>
      </c>
      <c r="CU106" s="17">
        <f>CT106*VLOOKUP('Données projet'!$B$13,Paramètres!$A$1:$I$89,3,0)*VLOOKUP('Données projet'!$B$13,Paramètres!$A$1:$I$89,5,0)</f>
        <v>-5.3205440053716299E-14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346.16623654404509</v>
      </c>
      <c r="CZ106" s="59">
        <f t="shared" si="96"/>
        <v>281.80933156559087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0.73844306772042612</v>
      </c>
      <c r="DG106" s="21">
        <f>EXP(-LN(2)/25)*DG105+(1-EXP(-LN(2)/25))/(LN(2)/25)*Calculateur!DB106*Calculateur!DD106*VLOOKUP('Données projet'!$B$13,Paramètres!$A$1:$I$89,3,0)*0.475*44/12</f>
        <v>1.0379209423947113</v>
      </c>
      <c r="DH106" s="21">
        <f>EXP(-LN(2)/2)*DH105+(1-EXP(-LN(2)/2))/(LN(2)/2)*DB106*DE106*VLOOKUP('Données projet'!$B$13,Paramètres!$A$1:$I$89,3,0)*0.475*44/12</f>
        <v>1.0117071597837169E-10</v>
      </c>
      <c r="DI106" s="22">
        <f t="shared" si="69"/>
        <v>1.7763640102163081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6.2527760746888816E-13</v>
      </c>
      <c r="DP106" s="17">
        <f>DO106*VLOOKUP('Données projet'!$B$14,Paramètres!$A$1:$I$89,3,0)*VLOOKUP('Données projet'!$B$14,Paramètres!$A$1:$I$89,5,0)</f>
        <v>3.9017322706058616E-13</v>
      </c>
      <c r="DQ106" s="13">
        <f t="shared" si="97"/>
        <v>5.0025007393608908E-12</v>
      </c>
      <c r="DR106" s="20">
        <f t="shared" si="70"/>
        <v>9.3922404915174053E-12</v>
      </c>
      <c r="DS106" s="59">
        <f t="shared" si="71"/>
        <v>293.33333333334269</v>
      </c>
      <c r="DT106" s="59">
        <f ca="1">AVERAGE(OFFSET($DS$3,0,0,'Données projet'!$E$14+1,1))-AVERAGE(OFFSET($H$3,0,0,'Données projet'!$E$14+1,1))</f>
        <v>319.97171762304686</v>
      </c>
      <c r="DU106" s="59">
        <f t="shared" si="98"/>
        <v>337.89345858359621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1.6380594887044493</v>
      </c>
      <c r="EB106" s="21">
        <f>EXP(-LN(2)/25)*EB105+(1-EXP(-LN(2)/25))/(LN(2)/25)*Calculateur!DW106*Calculateur!DY106*VLOOKUP('Données projet'!$B$14,Paramètres!$A$1:$I$89,3,0)*0.475*44/12</f>
        <v>2.7466492831845413</v>
      </c>
      <c r="EC106" s="21">
        <f>EXP(-LN(2)/2)*EC105+(1-EXP(-LN(2)/2))/(LN(2)/2)*DW106*DZ106*VLOOKUP('Données projet'!$B$14,Paramètres!$A$1:$I$89,3,0)*0.475*44/12</f>
        <v>2.077586040884988E-10</v>
      </c>
      <c r="ED106" s="22">
        <f t="shared" si="72"/>
        <v>4.384708772096749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>
        <f>EJ106*VLOOKUP('Données projet'!$B$15,Paramètres!$A$1:$I$89,3,0)*VLOOKUP('Données projet'!$B$15,Paramètres!$A$1:$I$89,5,0)</f>
        <v>0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258.46015871559956</v>
      </c>
      <c r="EP106" s="59">
        <f t="shared" si="100"/>
        <v>280.26155987300996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1.4634819001181323</v>
      </c>
      <c r="EW106" s="21">
        <f>EXP(-LN(2)/25)*EW105+(1-EXP(-LN(2)/25))/(LN(2)/25)*Calculateur!ER106*Calculateur!ET106*VLOOKUP('Données projet'!$B$15,Paramètres!$A$1:$I$89,3,0)*0.475*44/12</f>
        <v>1.6292456245444293</v>
      </c>
      <c r="EX106" s="21">
        <f>EXP(-LN(2)/2)*EX105+(1-EXP(-LN(2)/2))/(LN(2)/2)*ER106*EU106*VLOOKUP('Données projet'!$B$15,Paramètres!$A$1:$I$89,3,0)*0.475*44/12</f>
        <v>5.6034856329842519E-11</v>
      </c>
      <c r="EY106" s="22">
        <f t="shared" si="75"/>
        <v>3.0927275247185961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243.00000000000017</v>
      </c>
      <c r="O107" s="13">
        <f>N107*VLOOKUP('Données projet'!$B$9,Paramètres!$A$1:$I$89,3,0)*VLOOKUP('Données projet'!$B$9,Paramètres!$A$1:$I$89,5,0)</f>
        <v>212.28480000000016</v>
      </c>
      <c r="P107" s="13">
        <f t="shared" si="87"/>
        <v>52.434557099704236</v>
      </c>
      <c r="Q107" s="20">
        <f t="shared" si="107"/>
        <v>461.0528802819851</v>
      </c>
      <c r="R107" s="59">
        <f t="shared" si="55"/>
        <v>754.38621361531841</v>
      </c>
      <c r="S107" s="59">
        <f ca="1">AVERAGE(OFFSET($R$3,0,0,'Données projet'!$E$9+1,1))-AVERAGE(OFFSET($H$3,0,0,'Données projet'!$E$9+1,1))</f>
        <v>368.41876532159154</v>
      </c>
      <c r="T107" s="59">
        <f t="shared" si="88"/>
        <v>369.39570124551125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1.4223300506634613</v>
      </c>
      <c r="AA107" s="21">
        <f>EXP(-LN(2)/25)*AA106+(1-EXP(-LN(2)/25))/(LN(2)/25)*Calculateur!V107*Calculateur!X107*VLOOKUP('Données projet'!$B$9,Paramètres!$A$1:$I$89,3,0)*0.475*44/12</f>
        <v>2.0846293873396049</v>
      </c>
      <c r="AB107" s="21">
        <f>EXP(-LN(2)/2)*AB106+(1-EXP(-LN(2)/2))/(LN(2)/2)*V107*Y107*VLOOKUP('Données projet'!$B$9,Paramètres!$A$1:$I$89,3,0)*0.475*44/12</f>
        <v>1.2929842823319512E-10</v>
      </c>
      <c r="AC107" s="22">
        <f t="shared" si="57"/>
        <v>3.5069594381323643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-5.1159076974727213E-13</v>
      </c>
      <c r="AJ107" s="13">
        <f>AI107*VLOOKUP('Données projet'!$B$10,Paramètres!$A$1:$I$89,3,0)*VLOOKUP('Données projet'!$B$10,Paramètres!$A$1:$I$89,5,0)</f>
        <v>-4.4692569645121704E-13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402.82278346470082</v>
      </c>
      <c r="AO107" s="59">
        <f t="shared" si="90"/>
        <v>440.17787299198977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0.82750423667114825</v>
      </c>
      <c r="AV107" s="21">
        <f>EXP(-LN(2)/25)*AV106+(1-EXP(-LN(2)/25))/(LN(2)/25)*Calculateur!AQ107*Calculateur!AS107*VLOOKUP('Données projet'!$B$10,Paramètres!$A$1:$I$89,3,0)*0.475*44/12</f>
        <v>2.8955962931759438</v>
      </c>
      <c r="AW107" s="21">
        <f>EXP(-LN(2)/2)*AW106+(1-EXP(-LN(2)/2))/(LN(2)/2)*AQ107*AT107*VLOOKUP('Données projet'!$B$10,Paramètres!$A$1:$I$89,3,0)*0.475*44/12</f>
        <v>1.9205473884906043E-10</v>
      </c>
      <c r="AX107" s="21">
        <f t="shared" si="60"/>
        <v>3.7231005300391469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5.2</v>
      </c>
      <c r="BD107" s="12">
        <f>IF('Données projet'!$A$88&gt;35,BD106+BC107-BL106,IF(A107&lt;'Données projet'!$A$88,$BA$205^A107,IF(A107='Données projet'!$A$88,'Données projet'!$B$88,BD106+BC107-BL106)))</f>
        <v>326.79999999999973</v>
      </c>
      <c r="BE107" s="13">
        <f>BD107*VLOOKUP('Données projet'!$B$11,Paramètres!$A$1:$I$89,3,0)*VLOOKUP('Données projet'!$B$11,Paramètres!$A$1:$I$89,5,0)</f>
        <v>295.68863999999974</v>
      </c>
      <c r="BF107" s="13">
        <f t="shared" si="91"/>
        <v>70.271876780519676</v>
      </c>
      <c r="BG107" s="20">
        <f t="shared" si="61"/>
        <v>637.38123339273795</v>
      </c>
      <c r="BH107" s="59">
        <f t="shared" si="62"/>
        <v>930.71456672607133</v>
      </c>
      <c r="BI107" s="59">
        <f ca="1">AVERAGE(OFFSET($BH$3,0,0,'Données projet'!$E$11+1,1))-AVERAGE(OFFSET($H$3,0,0,'Données projet'!$E$11+1,1))</f>
        <v>469.68830256438338</v>
      </c>
      <c r="BJ107" s="59">
        <f t="shared" si="92"/>
        <v>332.61387922152159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0.55627912837138649</v>
      </c>
      <c r="BQ107" s="21">
        <f>EXP(-LN(2)/25)*BQ106+(1-EXP(-LN(2)/25))/(LN(2)/25)*Calculateur!BL107*Calculateur!BN107*VLOOKUP('Données projet'!$B$11,Paramètres!$A$1:$I$89,3,0)*0.475*44/12</f>
        <v>1.4500027001516957</v>
      </c>
      <c r="BR107" s="21">
        <f>EXP(-LN(2)/2)*BR106+(1-EXP(-LN(2)/2))/(LN(2)/2)*BL107*BO107*VLOOKUP('Données projet'!$B$11,Paramètres!$A$1:$I$89,3,0)*0.475*44/12</f>
        <v>1.5682116481262116E-10</v>
      </c>
      <c r="BS107" s="22">
        <f t="shared" si="63"/>
        <v>2.0062818286799033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6.5</v>
      </c>
      <c r="BY107" s="12">
        <f>IF('Données projet'!$A$114&gt;35,BY106+BX107-CG106,IF(A107&lt;'Données projet'!$A$114,$BV$205^A107,IF(A107='Données projet'!$A$114,'Données projet'!$B$114,BY106+BX107-CG106)))</f>
        <v>402.00000000000011</v>
      </c>
      <c r="BZ107" s="13">
        <f>BY107*VLOOKUP('Données projet'!$B$12,Paramètres!$A$1:$I$89,3,0)*VLOOKUP('Données projet'!$B$12,Paramètres!$A$1:$I$89,5,0)</f>
        <v>382.54320000000013</v>
      </c>
      <c r="CA107" s="13">
        <f t="shared" si="93"/>
        <v>88.228428283087766</v>
      </c>
      <c r="CB107" s="20">
        <f t="shared" si="64"/>
        <v>819.92725259304473</v>
      </c>
      <c r="CC107" s="59">
        <f t="shared" si="65"/>
        <v>1113.2605859263781</v>
      </c>
      <c r="CD107" s="59">
        <f ca="1">AVERAGE(OFFSET($CC$3,0,0,'Données projet'!$E$12+1,1))-AVERAGE(OFFSET($H$3,0,0,'Données projet'!$E$12+1,1))</f>
        <v>609.40025883662452</v>
      </c>
      <c r="CE107" s="59">
        <f t="shared" si="94"/>
        <v>294.48909834404577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0.50665916966667135</v>
      </c>
      <c r="CM107" s="21">
        <f>EXP(-LN(2)/2)*CM106+(1-EXP(-LN(2)/2))/(LN(2)/2)*CG107*CJ107*VLOOKUP('Données projet'!$B$12,Paramètres!$A$1:$I$89,3,0)*0.475*44/12</f>
        <v>5.7161937398354434E-11</v>
      </c>
      <c r="CN107" s="22">
        <f t="shared" si="66"/>
        <v>0.50665916972383329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-1.1368683772161603E-13</v>
      </c>
      <c r="CU107" s="17">
        <f>CT107*VLOOKUP('Données projet'!$B$13,Paramètres!$A$1:$I$89,3,0)*VLOOKUP('Données projet'!$B$13,Paramètres!$A$1:$I$89,5,0)</f>
        <v>-5.3205440053716299E-14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346.16623654404509</v>
      </c>
      <c r="CZ107" s="59">
        <f t="shared" si="96"/>
        <v>281.80933156559087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0.72396264956822598</v>
      </c>
      <c r="DG107" s="21">
        <f>EXP(-LN(2)/25)*DG106+(1-EXP(-LN(2)/25))/(LN(2)/25)*Calculateur!DB107*Calculateur!DD107*VLOOKUP('Données projet'!$B$13,Paramètres!$A$1:$I$89,3,0)*0.475*44/12</f>
        <v>1.0095389396430379</v>
      </c>
      <c r="DH107" s="21">
        <f>EXP(-LN(2)/2)*DH106+(1-EXP(-LN(2)/2))/(LN(2)/2)*DB107*DE107*VLOOKUP('Données projet'!$B$13,Paramètres!$A$1:$I$89,3,0)*0.475*44/12</f>
        <v>7.1538499325804819E-11</v>
      </c>
      <c r="DI107" s="22">
        <f t="shared" si="69"/>
        <v>1.7335015892828023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6.2527760746888816E-13</v>
      </c>
      <c r="DP107" s="17">
        <f>DO107*VLOOKUP('Données projet'!$B$14,Paramètres!$A$1:$I$89,3,0)*VLOOKUP('Données projet'!$B$14,Paramètres!$A$1:$I$89,5,0)</f>
        <v>3.9017322706058616E-13</v>
      </c>
      <c r="DQ107" s="13">
        <f t="shared" si="97"/>
        <v>5.0025007393608908E-12</v>
      </c>
      <c r="DR107" s="20">
        <f t="shared" si="70"/>
        <v>9.3922404915174053E-12</v>
      </c>
      <c r="DS107" s="59">
        <f t="shared" si="71"/>
        <v>293.33333333334269</v>
      </c>
      <c r="DT107" s="59">
        <f ca="1">AVERAGE(OFFSET($DS$3,0,0,'Données projet'!$E$14+1,1))-AVERAGE(OFFSET($H$3,0,0,'Données projet'!$E$14+1,1))</f>
        <v>319.97171762304686</v>
      </c>
      <c r="DU107" s="59">
        <f t="shared" si="98"/>
        <v>337.89345858359621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1.6059381412485885</v>
      </c>
      <c r="EB107" s="21">
        <f>EXP(-LN(2)/25)*EB106+(1-EXP(-LN(2)/25))/(LN(2)/25)*Calculateur!DW107*Calculateur!DY107*VLOOKUP('Données projet'!$B$14,Paramètres!$A$1:$I$89,3,0)*0.475*44/12</f>
        <v>2.6715420140958517</v>
      </c>
      <c r="EC107" s="21">
        <f>EXP(-LN(2)/2)*EC106+(1-EXP(-LN(2)/2))/(LN(2)/2)*DW107*DZ107*VLOOKUP('Données projet'!$B$14,Paramètres!$A$1:$I$89,3,0)*0.475*44/12</f>
        <v>1.4690751780082868E-10</v>
      </c>
      <c r="ED107" s="22">
        <f t="shared" si="72"/>
        <v>4.2774801554913475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>
        <f>EJ107*VLOOKUP('Données projet'!$B$15,Paramètres!$A$1:$I$89,3,0)*VLOOKUP('Données projet'!$B$15,Paramètres!$A$1:$I$89,5,0)</f>
        <v>0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258.46015871559956</v>
      </c>
      <c r="EP107" s="59">
        <f t="shared" si="100"/>
        <v>280.26155987300996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1.4347839126926343</v>
      </c>
      <c r="EW107" s="21">
        <f>EXP(-LN(2)/25)*EW106+(1-EXP(-LN(2)/25))/(LN(2)/25)*Calculateur!ER107*Calculateur!ET107*VLOOKUP('Données projet'!$B$15,Paramètres!$A$1:$I$89,3,0)*0.475*44/12</f>
        <v>1.5846938172629581</v>
      </c>
      <c r="EX107" s="21">
        <f>EXP(-LN(2)/2)*EX106+(1-EXP(-LN(2)/2))/(LN(2)/2)*ER107*EU107*VLOOKUP('Données projet'!$B$15,Paramètres!$A$1:$I$89,3,0)*0.475*44/12</f>
        <v>3.9622626893645581E-11</v>
      </c>
      <c r="EY107" s="22">
        <f t="shared" si="75"/>
        <v>3.0194777299952147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243.00000000000017</v>
      </c>
      <c r="O108" s="13">
        <f>N108*VLOOKUP('Données projet'!$B$9,Paramètres!$A$1:$I$89,3,0)*VLOOKUP('Données projet'!$B$9,Paramètres!$A$1:$I$89,5,0)</f>
        <v>212.28480000000016</v>
      </c>
      <c r="P108" s="13">
        <f t="shared" si="87"/>
        <v>52.434557099704236</v>
      </c>
      <c r="Q108" s="20">
        <f t="shared" si="107"/>
        <v>461.0528802819851</v>
      </c>
      <c r="R108" s="59">
        <f t="shared" si="55"/>
        <v>754.38621361531841</v>
      </c>
      <c r="S108" s="59">
        <f ca="1">AVERAGE(OFFSET($R$3,0,0,'Données projet'!$E$9+1,1))-AVERAGE(OFFSET($H$3,0,0,'Données projet'!$E$9+1,1))</f>
        <v>368.41876532159154</v>
      </c>
      <c r="T108" s="59">
        <f t="shared" si="88"/>
        <v>369.39570124551125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1.3944390259056196</v>
      </c>
      <c r="AA108" s="21">
        <f>EXP(-LN(2)/25)*AA107+(1-EXP(-LN(2)/25))/(LN(2)/25)*Calculateur!V108*Calculateur!X108*VLOOKUP('Données projet'!$B$9,Paramètres!$A$1:$I$89,3,0)*0.475*44/12</f>
        <v>2.0276250871169084</v>
      </c>
      <c r="AB108" s="21">
        <f>EXP(-LN(2)/2)*AB107+(1-EXP(-LN(2)/2))/(LN(2)/2)*V108*Y108*VLOOKUP('Données projet'!$B$9,Paramètres!$A$1:$I$89,3,0)*0.475*44/12</f>
        <v>9.1427795400454421E-11</v>
      </c>
      <c r="AC108" s="22">
        <f t="shared" si="57"/>
        <v>3.4220641131139558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-5.1159076974727213E-13</v>
      </c>
      <c r="AJ108" s="13">
        <f>AI108*VLOOKUP('Données projet'!$B$10,Paramètres!$A$1:$I$89,3,0)*VLOOKUP('Données projet'!$B$10,Paramètres!$A$1:$I$89,5,0)</f>
        <v>-4.4692569645121704E-13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402.82278346470082</v>
      </c>
      <c r="AO108" s="59">
        <f t="shared" si="90"/>
        <v>440.17787299198977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0.81127738331777366</v>
      </c>
      <c r="AV108" s="21">
        <f>EXP(-LN(2)/25)*AV107+(1-EXP(-LN(2)/25))/(LN(2)/25)*Calculateur!AQ108*Calculateur!AS108*VLOOKUP('Données projet'!$B$10,Paramètres!$A$1:$I$89,3,0)*0.475*44/12</f>
        <v>2.8164160602662567</v>
      </c>
      <c r="AW108" s="21">
        <f>EXP(-LN(2)/2)*AW107+(1-EXP(-LN(2)/2))/(LN(2)/2)*AQ108*AT108*VLOOKUP('Données projet'!$B$10,Paramètres!$A$1:$I$89,3,0)*0.475*44/12</f>
        <v>1.358032081991821E-10</v>
      </c>
      <c r="AX108" s="21">
        <f t="shared" si="60"/>
        <v>3.6276934437198336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5.2</v>
      </c>
      <c r="BD108" s="12">
        <f>IF('Données projet'!$A$88&gt;35,BD107+BC108-BL107,IF(A108&lt;'Données projet'!$A$88,$BA$205^A108,IF(A108='Données projet'!$A$88,'Données projet'!$B$88,BD107+BC108-BL107)))</f>
        <v>331.99999999999972</v>
      </c>
      <c r="BE108" s="13">
        <f>BD108*VLOOKUP('Données projet'!$B$11,Paramètres!$A$1:$I$89,3,0)*VLOOKUP('Données projet'!$B$11,Paramètres!$A$1:$I$89,5,0)</f>
        <v>300.39359999999976</v>
      </c>
      <c r="BF108" s="13">
        <f t="shared" si="91"/>
        <v>71.258970856492667</v>
      </c>
      <c r="BG108" s="20">
        <f t="shared" si="61"/>
        <v>647.29489424172436</v>
      </c>
      <c r="BH108" s="59">
        <f t="shared" si="62"/>
        <v>940.62822757505774</v>
      </c>
      <c r="BI108" s="59">
        <f ca="1">AVERAGE(OFFSET($BH$3,0,0,'Données projet'!$E$11+1,1))-AVERAGE(OFFSET($H$3,0,0,'Données projet'!$E$11+1,1))</f>
        <v>469.68830256438338</v>
      </c>
      <c r="BJ108" s="59">
        <f t="shared" si="92"/>
        <v>332.61387922152159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0.54537083396078911</v>
      </c>
      <c r="BQ108" s="21">
        <f>EXP(-LN(2)/25)*BQ107+(1-EXP(-LN(2)/25))/(LN(2)/25)*Calculateur!BL108*Calculateur!BN108*VLOOKUP('Données projet'!$B$11,Paramètres!$A$1:$I$89,3,0)*0.475*44/12</f>
        <v>1.4103523000637197</v>
      </c>
      <c r="BR108" s="21">
        <f>EXP(-LN(2)/2)*BR107+(1-EXP(-LN(2)/2))/(LN(2)/2)*BL108*BO108*VLOOKUP('Données projet'!$B$11,Paramètres!$A$1:$I$89,3,0)*0.475*44/12</f>
        <v>1.1088930907257761E-10</v>
      </c>
      <c r="BS108" s="22">
        <f t="shared" si="63"/>
        <v>1.955723134135398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6.5</v>
      </c>
      <c r="BY108" s="12">
        <f>IF('Données projet'!$A$114&gt;35,BY107+BX108-CG107,IF(A108&lt;'Données projet'!$A$114,$BV$205^A108,IF(A108='Données projet'!$A$114,'Données projet'!$B$114,BY107+BX108-CG107)))</f>
        <v>408.50000000000011</v>
      </c>
      <c r="BZ108" s="13">
        <f>BY108*VLOOKUP('Données projet'!$B$12,Paramètres!$A$1:$I$89,3,0)*VLOOKUP('Données projet'!$B$12,Paramètres!$A$1:$I$89,5,0)</f>
        <v>388.72860000000009</v>
      </c>
      <c r="CA108" s="13">
        <f t="shared" si="93"/>
        <v>89.487774410644917</v>
      </c>
      <c r="CB108" s="20">
        <f t="shared" si="64"/>
        <v>832.89351876520675</v>
      </c>
      <c r="CC108" s="59">
        <f t="shared" si="65"/>
        <v>1126.2268520985401</v>
      </c>
      <c r="CD108" s="59">
        <f ca="1">AVERAGE(OFFSET($CC$3,0,0,'Données projet'!$E$12+1,1))-AVERAGE(OFFSET($H$3,0,0,'Données projet'!$E$12+1,1))</f>
        <v>609.40025883662452</v>
      </c>
      <c r="CE108" s="59">
        <f t="shared" si="94"/>
        <v>294.48909834404577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0.49280454802808848</v>
      </c>
      <c r="CM108" s="21">
        <f>EXP(-LN(2)/2)*CM107+(1-EXP(-LN(2)/2))/(LN(2)/2)*CG108*CJ108*VLOOKUP('Données projet'!$B$12,Paramètres!$A$1:$I$89,3,0)*0.475*44/12</f>
        <v>4.0419593560137338E-11</v>
      </c>
      <c r="CN108" s="22">
        <f t="shared" si="66"/>
        <v>0.4928045480685081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-1.1368683772161603E-13</v>
      </c>
      <c r="CU108" s="17">
        <f>CT108*VLOOKUP('Données projet'!$B$13,Paramètres!$A$1:$I$89,3,0)*VLOOKUP('Données projet'!$B$13,Paramètres!$A$1:$I$89,5,0)</f>
        <v>-5.3205440053716299E-14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346.16623654404509</v>
      </c>
      <c r="CZ108" s="59">
        <f t="shared" si="96"/>
        <v>281.80933156559087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0.7097661835838075</v>
      </c>
      <c r="DG108" s="21">
        <f>EXP(-LN(2)/25)*DG107+(1-EXP(-LN(2)/25))/(LN(2)/25)*Calculateur!DB108*Calculateur!DD108*VLOOKUP('Données projet'!$B$13,Paramètres!$A$1:$I$89,3,0)*0.475*44/12</f>
        <v>0.98193304424915351</v>
      </c>
      <c r="DH108" s="21">
        <f>EXP(-LN(2)/2)*DH107+(1-EXP(-LN(2)/2))/(LN(2)/2)*DB108*DE108*VLOOKUP('Données projet'!$B$13,Paramètres!$A$1:$I$89,3,0)*0.475*44/12</f>
        <v>5.0585357989185847E-11</v>
      </c>
      <c r="DI108" s="22">
        <f t="shared" si="69"/>
        <v>1.6916992278835463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6.2527760746888816E-13</v>
      </c>
      <c r="DP108" s="17">
        <f>DO108*VLOOKUP('Données projet'!$B$14,Paramètres!$A$1:$I$89,3,0)*VLOOKUP('Données projet'!$B$14,Paramètres!$A$1:$I$89,5,0)</f>
        <v>3.9017322706058616E-13</v>
      </c>
      <c r="DQ108" s="13">
        <f t="shared" si="97"/>
        <v>5.0025007393608908E-12</v>
      </c>
      <c r="DR108" s="20">
        <f t="shared" si="70"/>
        <v>9.3922404915174053E-12</v>
      </c>
      <c r="DS108" s="59">
        <f t="shared" si="71"/>
        <v>293.33333333334269</v>
      </c>
      <c r="DT108" s="59">
        <f ca="1">AVERAGE(OFFSET($DS$3,0,0,'Données projet'!$E$14+1,1))-AVERAGE(OFFSET($H$3,0,0,'Données projet'!$E$14+1,1))</f>
        <v>319.97171762304686</v>
      </c>
      <c r="DU108" s="59">
        <f t="shared" si="98"/>
        <v>337.89345858359621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1.5744466738242497</v>
      </c>
      <c r="EB108" s="21">
        <f>EXP(-LN(2)/25)*EB107+(1-EXP(-LN(2)/25))/(LN(2)/25)*Calculateur!DW108*Calculateur!DY108*VLOOKUP('Données projet'!$B$14,Paramètres!$A$1:$I$89,3,0)*0.475*44/12</f>
        <v>2.598488557230112</v>
      </c>
      <c r="EC108" s="21">
        <f>EXP(-LN(2)/2)*EC107+(1-EXP(-LN(2)/2))/(LN(2)/2)*DW108*DZ108*VLOOKUP('Données projet'!$B$14,Paramètres!$A$1:$I$89,3,0)*0.475*44/12</f>
        <v>1.038793020442494E-10</v>
      </c>
      <c r="ED108" s="22">
        <f t="shared" si="72"/>
        <v>4.1729352311582417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>
        <f>EJ108*VLOOKUP('Données projet'!$B$15,Paramètres!$A$1:$I$89,3,0)*VLOOKUP('Données projet'!$B$15,Paramètres!$A$1:$I$89,5,0)</f>
        <v>0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258.46015871559956</v>
      </c>
      <c r="EP108" s="59">
        <f t="shared" si="100"/>
        <v>280.26155987300996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1.4066486752965064</v>
      </c>
      <c r="EW108" s="21">
        <f>EXP(-LN(2)/25)*EW107+(1-EXP(-LN(2)/25))/(LN(2)/25)*Calculateur!ER108*Calculateur!ET108*VLOOKUP('Données projet'!$B$15,Paramètres!$A$1:$I$89,3,0)*0.475*44/12</f>
        <v>1.5413602814944765</v>
      </c>
      <c r="EX108" s="21">
        <f>EXP(-LN(2)/2)*EX107+(1-EXP(-LN(2)/2))/(LN(2)/2)*ER108*EU108*VLOOKUP('Données projet'!$B$15,Paramètres!$A$1:$I$89,3,0)*0.475*44/12</f>
        <v>2.801742816492126E-11</v>
      </c>
      <c r="EY108" s="22">
        <f t="shared" si="75"/>
        <v>2.9480089568190007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243.00000000000017</v>
      </c>
      <c r="O109" s="13">
        <f>N109*VLOOKUP('Données projet'!$B$9,Paramètres!$A$1:$I$89,3,0)*VLOOKUP('Données projet'!$B$9,Paramètres!$A$1:$I$89,5,0)</f>
        <v>212.28480000000016</v>
      </c>
      <c r="P109" s="13">
        <f t="shared" si="87"/>
        <v>52.434557099704236</v>
      </c>
      <c r="Q109" s="20">
        <f t="shared" si="107"/>
        <v>461.0528802819851</v>
      </c>
      <c r="R109" s="59">
        <f t="shared" si="55"/>
        <v>754.38621361531841</v>
      </c>
      <c r="S109" s="59">
        <f ca="1">AVERAGE(OFFSET($R$3,0,0,'Données projet'!$E$9+1,1))-AVERAGE(OFFSET($H$3,0,0,'Données projet'!$E$9+1,1))</f>
        <v>368.41876532159154</v>
      </c>
      <c r="T109" s="59">
        <f t="shared" si="88"/>
        <v>369.39570124551125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1.3670949271314339</v>
      </c>
      <c r="AA109" s="21">
        <f>EXP(-LN(2)/25)*AA108+(1-EXP(-LN(2)/25))/(LN(2)/25)*Calculateur!V109*Calculateur!X109*VLOOKUP('Données projet'!$B$9,Paramètres!$A$1:$I$89,3,0)*0.475*44/12</f>
        <v>1.9721795724815274</v>
      </c>
      <c r="AB109" s="21">
        <f>EXP(-LN(2)/2)*AB108+(1-EXP(-LN(2)/2))/(LN(2)/2)*V109*Y109*VLOOKUP('Données projet'!$B$9,Paramètres!$A$1:$I$89,3,0)*0.475*44/12</f>
        <v>6.464921411659756E-11</v>
      </c>
      <c r="AC109" s="22">
        <f t="shared" si="57"/>
        <v>3.3392744996776105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-5.1159076974727213E-13</v>
      </c>
      <c r="AJ109" s="13">
        <f>AI109*VLOOKUP('Données projet'!$B$10,Paramètres!$A$1:$I$89,3,0)*VLOOKUP('Données projet'!$B$10,Paramètres!$A$1:$I$89,5,0)</f>
        <v>-4.4692569645121704E-13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402.82278346470082</v>
      </c>
      <c r="AO109" s="59">
        <f t="shared" si="90"/>
        <v>440.17787299198977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0.79536872866125552</v>
      </c>
      <c r="AV109" s="21">
        <f>EXP(-LN(2)/25)*AV108+(1-EXP(-LN(2)/25))/(LN(2)/25)*Calculateur!AQ109*Calculateur!AS109*VLOOKUP('Données projet'!$B$10,Paramètres!$A$1:$I$89,3,0)*0.475*44/12</f>
        <v>2.7394010149893924</v>
      </c>
      <c r="AW109" s="21">
        <f>EXP(-LN(2)/2)*AW108+(1-EXP(-LN(2)/2))/(LN(2)/2)*AQ109*AT109*VLOOKUP('Données projet'!$B$10,Paramètres!$A$1:$I$89,3,0)*0.475*44/12</f>
        <v>9.6027369424530213E-11</v>
      </c>
      <c r="AX109" s="21">
        <f t="shared" si="60"/>
        <v>3.5347697437466752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5.2</v>
      </c>
      <c r="BD109" s="12">
        <f>IF('Données projet'!$A$88&gt;35,BD108+BC109-BL108,IF(A109&lt;'Données projet'!$A$88,$BA$205^A109,IF(A109='Données projet'!$A$88,'Données projet'!$B$88,BD108+BC109-BL108)))</f>
        <v>337.1999999999997</v>
      </c>
      <c r="BE109" s="13">
        <f>BD109*VLOOKUP('Données projet'!$B$11,Paramètres!$A$1:$I$89,3,0)*VLOOKUP('Données projet'!$B$11,Paramètres!$A$1:$I$89,5,0)</f>
        <v>305.09855999999974</v>
      </c>
      <c r="BF109" s="13">
        <f t="shared" si="91"/>
        <v>72.244266890878734</v>
      </c>
      <c r="BG109" s="20">
        <f t="shared" si="61"/>
        <v>657.20542350161338</v>
      </c>
      <c r="BH109" s="59">
        <f t="shared" si="62"/>
        <v>950.53875683494675</v>
      </c>
      <c r="BI109" s="59">
        <f ca="1">AVERAGE(OFFSET($BH$3,0,0,'Données projet'!$E$11+1,1))-AVERAGE(OFFSET($H$3,0,0,'Données projet'!$E$11+1,1))</f>
        <v>469.68830256438338</v>
      </c>
      <c r="BJ109" s="59">
        <f t="shared" si="92"/>
        <v>332.61387922152159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0.53467644455018093</v>
      </c>
      <c r="BQ109" s="21">
        <f>EXP(-LN(2)/25)*BQ108+(1-EXP(-LN(2)/25))/(LN(2)/25)*Calculateur!BL109*Calculateur!BN109*VLOOKUP('Données projet'!$B$11,Paramètres!$A$1:$I$89,3,0)*0.475*44/12</f>
        <v>1.3717861422512732</v>
      </c>
      <c r="BR109" s="21">
        <f>EXP(-LN(2)/2)*BR108+(1-EXP(-LN(2)/2))/(LN(2)/2)*BL109*BO109*VLOOKUP('Données projet'!$B$11,Paramètres!$A$1:$I$89,3,0)*0.475*44/12</f>
        <v>7.8410582406310578E-11</v>
      </c>
      <c r="BS109" s="22">
        <f t="shared" si="63"/>
        <v>1.9064625868798646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6.5</v>
      </c>
      <c r="BY109" s="12">
        <f>IF('Données projet'!$A$114&gt;35,BY108+BX109-CG108,IF(A109&lt;'Données projet'!$A$114,$BV$205^A109,IF(A109='Données projet'!$A$114,'Données projet'!$B$114,BY108+BX109-CG108)))</f>
        <v>415.00000000000011</v>
      </c>
      <c r="BZ109" s="13">
        <f>BY109*VLOOKUP('Données projet'!$B$12,Paramètres!$A$1:$I$89,3,0)*VLOOKUP('Données projet'!$B$12,Paramètres!$A$1:$I$89,5,0)</f>
        <v>394.9140000000001</v>
      </c>
      <c r="CA109" s="13">
        <f t="shared" si="93"/>
        <v>90.74479010511179</v>
      </c>
      <c r="CB109" s="20">
        <f t="shared" si="64"/>
        <v>845.85572609973644</v>
      </c>
      <c r="CC109" s="59">
        <f t="shared" si="65"/>
        <v>1139.1890594330698</v>
      </c>
      <c r="CD109" s="59">
        <f ca="1">AVERAGE(OFFSET($CC$3,0,0,'Données projet'!$E$12+1,1))-AVERAGE(OFFSET($H$3,0,0,'Données projet'!$E$12+1,1))</f>
        <v>609.40025883662452</v>
      </c>
      <c r="CE109" s="59">
        <f t="shared" si="94"/>
        <v>294.48909834404577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0.47932878174679555</v>
      </c>
      <c r="CM109" s="21">
        <f>EXP(-LN(2)/2)*CM108+(1-EXP(-LN(2)/2))/(LN(2)/2)*CG109*CJ109*VLOOKUP('Données projet'!$B$12,Paramètres!$A$1:$I$89,3,0)*0.475*44/12</f>
        <v>2.858096869917722E-11</v>
      </c>
      <c r="CN109" s="22">
        <f t="shared" si="66"/>
        <v>0.47932878177537652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-1.1368683772161603E-13</v>
      </c>
      <c r="CU109" s="17">
        <f>CT109*VLOOKUP('Données projet'!$B$13,Paramètres!$A$1:$I$89,3,0)*VLOOKUP('Données projet'!$B$13,Paramètres!$A$1:$I$89,5,0)</f>
        <v>-5.3205440053716299E-14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346.16623654404509</v>
      </c>
      <c r="CZ109" s="59">
        <f t="shared" si="96"/>
        <v>281.80933156559087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0.6958481016383542</v>
      </c>
      <c r="DG109" s="21">
        <f>EXP(-LN(2)/25)*DG108+(1-EXP(-LN(2)/25))/(LN(2)/25)*Calculateur!DB109*Calculateur!DD109*VLOOKUP('Données projet'!$B$13,Paramètres!$A$1:$I$89,3,0)*0.475*44/12</f>
        <v>0.95508203351654586</v>
      </c>
      <c r="DH109" s="21">
        <f>EXP(-LN(2)/2)*DH108+(1-EXP(-LN(2)/2))/(LN(2)/2)*DB109*DE109*VLOOKUP('Données projet'!$B$13,Paramètres!$A$1:$I$89,3,0)*0.475*44/12</f>
        <v>3.576924966290241E-11</v>
      </c>
      <c r="DI109" s="22">
        <f t="shared" si="69"/>
        <v>1.6509301351906691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6.2527760746888816E-13</v>
      </c>
      <c r="DP109" s="17">
        <f>DO109*VLOOKUP('Données projet'!$B$14,Paramètres!$A$1:$I$89,3,0)*VLOOKUP('Données projet'!$B$14,Paramètres!$A$1:$I$89,5,0)</f>
        <v>3.9017322706058616E-13</v>
      </c>
      <c r="DQ109" s="13">
        <f t="shared" si="97"/>
        <v>5.0025007393608908E-12</v>
      </c>
      <c r="DR109" s="20">
        <f t="shared" si="70"/>
        <v>9.3922404915174053E-12</v>
      </c>
      <c r="DS109" s="59">
        <f t="shared" si="71"/>
        <v>293.33333333334269</v>
      </c>
      <c r="DT109" s="59">
        <f ca="1">AVERAGE(OFFSET($DS$3,0,0,'Données projet'!$E$14+1,1))-AVERAGE(OFFSET($H$3,0,0,'Données projet'!$E$14+1,1))</f>
        <v>319.97171762304686</v>
      </c>
      <c r="DU109" s="59">
        <f t="shared" si="98"/>
        <v>337.89345858359621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1.5435727348682038</v>
      </c>
      <c r="EB109" s="21">
        <f>EXP(-LN(2)/25)*EB108+(1-EXP(-LN(2)/25))/(LN(2)/25)*Calculateur!DW109*Calculateur!DY109*VLOOKUP('Données projet'!$B$14,Paramètres!$A$1:$I$89,3,0)*0.475*44/12</f>
        <v>2.5274327509840804</v>
      </c>
      <c r="EC109" s="21">
        <f>EXP(-LN(2)/2)*EC108+(1-EXP(-LN(2)/2))/(LN(2)/2)*DW109*DZ109*VLOOKUP('Données projet'!$B$14,Paramètres!$A$1:$I$89,3,0)*0.475*44/12</f>
        <v>7.3453758900414338E-11</v>
      </c>
      <c r="ED109" s="22">
        <f t="shared" si="72"/>
        <v>4.0710054859257383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>
        <f>EJ109*VLOOKUP('Données projet'!$B$15,Paramètres!$A$1:$I$89,3,0)*VLOOKUP('Données projet'!$B$15,Paramètres!$A$1:$I$89,5,0)</f>
        <v>0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258.46015871559956</v>
      </c>
      <c r="EP109" s="59">
        <f t="shared" si="100"/>
        <v>280.26155987300996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1.3790651527449163</v>
      </c>
      <c r="EW109" s="21">
        <f>EXP(-LN(2)/25)*EW108+(1-EXP(-LN(2)/25))/(LN(2)/25)*Calculateur!ER109*Calculateur!ET109*VLOOKUP('Données projet'!$B$15,Paramètres!$A$1:$I$89,3,0)*0.475*44/12</f>
        <v>1.4992117035403956</v>
      </c>
      <c r="EX109" s="21">
        <f>EXP(-LN(2)/2)*EX108+(1-EXP(-LN(2)/2))/(LN(2)/2)*ER109*EU109*VLOOKUP('Données projet'!$B$15,Paramètres!$A$1:$I$89,3,0)*0.475*44/12</f>
        <v>1.9811313446822791E-11</v>
      </c>
      <c r="EY109" s="22">
        <f t="shared" si="75"/>
        <v>2.8782768563051229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243.00000000000017</v>
      </c>
      <c r="O110" s="13">
        <f>N110*VLOOKUP('Données projet'!$B$9,Paramètres!$A$1:$I$89,3,0)*VLOOKUP('Données projet'!$B$9,Paramètres!$A$1:$I$89,5,0)</f>
        <v>212.28480000000016</v>
      </c>
      <c r="P110" s="13">
        <f t="shared" si="87"/>
        <v>52.434557099704236</v>
      </c>
      <c r="Q110" s="20">
        <f t="shared" si="107"/>
        <v>461.0528802819851</v>
      </c>
      <c r="R110" s="59">
        <f t="shared" si="55"/>
        <v>754.38621361531841</v>
      </c>
      <c r="S110" s="59">
        <f ca="1">AVERAGE(OFFSET($R$3,0,0,'Données projet'!$E$9+1,1))-AVERAGE(OFFSET($H$3,0,0,'Données projet'!$E$9+1,1))</f>
        <v>368.41876532159154</v>
      </c>
      <c r="T110" s="59">
        <f t="shared" si="88"/>
        <v>369.39570124551125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1.3402870294559566</v>
      </c>
      <c r="AA110" s="21">
        <f>EXP(-LN(2)/25)*AA109+(1-EXP(-LN(2)/25))/(LN(2)/25)*Calculateur!V110*Calculateur!X110*VLOOKUP('Données projet'!$B$9,Paramètres!$A$1:$I$89,3,0)*0.475*44/12</f>
        <v>1.9182502183596037</v>
      </c>
      <c r="AB110" s="21">
        <f>EXP(-LN(2)/2)*AB109+(1-EXP(-LN(2)/2))/(LN(2)/2)*V110*Y110*VLOOKUP('Données projet'!$B$9,Paramètres!$A$1:$I$89,3,0)*0.475*44/12</f>
        <v>4.5713897700227211E-11</v>
      </c>
      <c r="AC110" s="22">
        <f t="shared" si="57"/>
        <v>3.2585372478612746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-5.1159076974727213E-13</v>
      </c>
      <c r="AJ110" s="13">
        <f>AI110*VLOOKUP('Données projet'!$B$10,Paramètres!$A$1:$I$89,3,0)*VLOOKUP('Données projet'!$B$10,Paramètres!$A$1:$I$89,5,0)</f>
        <v>-4.4692569645121704E-13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402.82278346470082</v>
      </c>
      <c r="AO110" s="59">
        <f t="shared" si="90"/>
        <v>440.17787299198977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0.77977203301923048</v>
      </c>
      <c r="AV110" s="21">
        <f>EXP(-LN(2)/25)*AV109+(1-EXP(-LN(2)/25))/(LN(2)/25)*Calculateur!AQ110*Calculateur!AS110*VLOOKUP('Données projet'!$B$10,Paramètres!$A$1:$I$89,3,0)*0.475*44/12</f>
        <v>2.6644919501756692</v>
      </c>
      <c r="AW110" s="21">
        <f>EXP(-LN(2)/2)*AW109+(1-EXP(-LN(2)/2))/(LN(2)/2)*AQ110*AT110*VLOOKUP('Données projet'!$B$10,Paramètres!$A$1:$I$89,3,0)*0.475*44/12</f>
        <v>6.7901604099591048E-11</v>
      </c>
      <c r="AX110" s="21">
        <f t="shared" si="60"/>
        <v>3.4442639832628013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5.2</v>
      </c>
      <c r="BD110" s="12">
        <f>IF('Données projet'!$A$88&gt;35,BD109+BC110-BL109,IF(A110&lt;'Données projet'!$A$88,$BA$205^A110,IF(A110='Données projet'!$A$88,'Données projet'!$B$88,BD109+BC110-BL109)))</f>
        <v>342.39999999999969</v>
      </c>
      <c r="BE110" s="13">
        <f>BD110*VLOOKUP('Données projet'!$B$11,Paramètres!$A$1:$I$89,3,0)*VLOOKUP('Données projet'!$B$11,Paramètres!$A$1:$I$89,5,0)</f>
        <v>309.80351999999971</v>
      </c>
      <c r="BF110" s="13">
        <f t="shared" si="91"/>
        <v>73.227795813703693</v>
      </c>
      <c r="BG110" s="20">
        <f t="shared" si="61"/>
        <v>667.11287504220002</v>
      </c>
      <c r="BH110" s="59">
        <f t="shared" si="62"/>
        <v>960.44620837553339</v>
      </c>
      <c r="BI110" s="59">
        <f ca="1">AVERAGE(OFFSET($BH$3,0,0,'Données projet'!$E$11+1,1))-AVERAGE(OFFSET($H$3,0,0,'Données projet'!$E$11+1,1))</f>
        <v>469.68830256438338</v>
      </c>
      <c r="BJ110" s="59">
        <f t="shared" si="92"/>
        <v>332.61387922152159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0.52419176559298131</v>
      </c>
      <c r="BQ110" s="21">
        <f>EXP(-LN(2)/25)*BQ109+(1-EXP(-LN(2)/25))/(LN(2)/25)*Calculateur!BL110*Calculateur!BN110*VLOOKUP('Données projet'!$B$11,Paramètres!$A$1:$I$89,3,0)*0.475*44/12</f>
        <v>1.3342745780523142</v>
      </c>
      <c r="BR110" s="21">
        <f>EXP(-LN(2)/2)*BR109+(1-EXP(-LN(2)/2))/(LN(2)/2)*BL110*BO110*VLOOKUP('Données projet'!$B$11,Paramètres!$A$1:$I$89,3,0)*0.475*44/12</f>
        <v>5.5444654536288807E-11</v>
      </c>
      <c r="BS110" s="22">
        <f t="shared" si="63"/>
        <v>1.8584663437007403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6.5</v>
      </c>
      <c r="BY110" s="12">
        <f>IF('Données projet'!$A$114&gt;35,BY109+BX110-CG109,IF(A110&lt;'Données projet'!$A$114,$BV$205^A110,IF(A110='Données projet'!$A$114,'Données projet'!$B$114,BY109+BX110-CG109)))</f>
        <v>421.50000000000011</v>
      </c>
      <c r="BZ110" s="13">
        <f>BY110*VLOOKUP('Données projet'!$B$12,Paramètres!$A$1:$I$89,3,0)*VLOOKUP('Données projet'!$B$12,Paramètres!$A$1:$I$89,5,0)</f>
        <v>401.09940000000012</v>
      </c>
      <c r="CA110" s="13">
        <f t="shared" si="93"/>
        <v>91.999516082165584</v>
      </c>
      <c r="CB110" s="20">
        <f t="shared" si="64"/>
        <v>858.813945509772</v>
      </c>
      <c r="CC110" s="59">
        <f t="shared" si="65"/>
        <v>1152.1472788431054</v>
      </c>
      <c r="CD110" s="59">
        <f ca="1">AVERAGE(OFFSET($CC$3,0,0,'Données projet'!$E$12+1,1))-AVERAGE(OFFSET($H$3,0,0,'Données projet'!$E$12+1,1))</f>
        <v>609.40025883662452</v>
      </c>
      <c r="CE110" s="59">
        <f t="shared" si="94"/>
        <v>294.48909834404577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0.46622151100312431</v>
      </c>
      <c r="CM110" s="21">
        <f>EXP(-LN(2)/2)*CM109+(1-EXP(-LN(2)/2))/(LN(2)/2)*CG110*CJ110*VLOOKUP('Données projet'!$B$12,Paramètres!$A$1:$I$89,3,0)*0.475*44/12</f>
        <v>2.0209796780068672E-11</v>
      </c>
      <c r="CN110" s="22">
        <f t="shared" si="66"/>
        <v>0.46622151102333409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-1.1368683772161603E-13</v>
      </c>
      <c r="CU110" s="17">
        <f>CT110*VLOOKUP('Données projet'!$B$13,Paramètres!$A$1:$I$89,3,0)*VLOOKUP('Données projet'!$B$13,Paramètres!$A$1:$I$89,5,0)</f>
        <v>-5.3205440053716299E-14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346.16623654404509</v>
      </c>
      <c r="CZ110" s="59">
        <f t="shared" si="96"/>
        <v>281.80933156559087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0.68220294479065957</v>
      </c>
      <c r="DG110" s="21">
        <f>EXP(-LN(2)/25)*DG109+(1-EXP(-LN(2)/25))/(LN(2)/25)*Calculateur!DB110*Calculateur!DD110*VLOOKUP('Données projet'!$B$13,Paramètres!$A$1:$I$89,3,0)*0.475*44/12</f>
        <v>0.92896526508445465</v>
      </c>
      <c r="DH110" s="21">
        <f>EXP(-LN(2)/2)*DH109+(1-EXP(-LN(2)/2))/(LN(2)/2)*DB110*DE110*VLOOKUP('Données projet'!$B$13,Paramètres!$A$1:$I$89,3,0)*0.475*44/12</f>
        <v>2.5292678994592923E-11</v>
      </c>
      <c r="DI110" s="22">
        <f t="shared" si="69"/>
        <v>1.611168209900407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6.2527760746888816E-13</v>
      </c>
      <c r="DP110" s="17">
        <f>DO110*VLOOKUP('Données projet'!$B$14,Paramètres!$A$1:$I$89,3,0)*VLOOKUP('Données projet'!$B$14,Paramètres!$A$1:$I$89,5,0)</f>
        <v>3.9017322706058616E-13</v>
      </c>
      <c r="DQ110" s="13">
        <f t="shared" si="97"/>
        <v>5.0025007393608908E-12</v>
      </c>
      <c r="DR110" s="20">
        <f t="shared" si="70"/>
        <v>9.3922404915174053E-12</v>
      </c>
      <c r="DS110" s="59">
        <f t="shared" si="71"/>
        <v>293.33333333334269</v>
      </c>
      <c r="DT110" s="59">
        <f ca="1">AVERAGE(OFFSET($DS$3,0,0,'Données projet'!$E$14+1,1))-AVERAGE(OFFSET($H$3,0,0,'Données projet'!$E$14+1,1))</f>
        <v>319.97171762304686</v>
      </c>
      <c r="DU110" s="59">
        <f t="shared" si="98"/>
        <v>337.89345858359621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1.5133042150238425</v>
      </c>
      <c r="EB110" s="21">
        <f>EXP(-LN(2)/25)*EB109+(1-EXP(-LN(2)/25))/(LN(2)/25)*Calculateur!DW110*Calculateur!DY110*VLOOKUP('Données projet'!$B$14,Paramètres!$A$1:$I$89,3,0)*0.475*44/12</f>
        <v>2.4583199694965088</v>
      </c>
      <c r="EC110" s="21">
        <f>EXP(-LN(2)/2)*EC109+(1-EXP(-LN(2)/2))/(LN(2)/2)*DW110*DZ110*VLOOKUP('Données projet'!$B$14,Paramètres!$A$1:$I$89,3,0)*0.475*44/12</f>
        <v>5.1939651022124699E-11</v>
      </c>
      <c r="ED110" s="22">
        <f t="shared" si="72"/>
        <v>3.971624184572291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>
        <f>EJ110*VLOOKUP('Données projet'!$B$15,Paramètres!$A$1:$I$89,3,0)*VLOOKUP('Données projet'!$B$15,Paramètres!$A$1:$I$89,5,0)</f>
        <v>0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258.46015871559956</v>
      </c>
      <c r="EP110" s="59">
        <f t="shared" si="100"/>
        <v>280.26155987300996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1.3520225262462753</v>
      </c>
      <c r="EW110" s="21">
        <f>EXP(-LN(2)/25)*EW109+(1-EXP(-LN(2)/25))/(LN(2)/25)*Calculateur!ER110*Calculateur!ET110*VLOOKUP('Données projet'!$B$15,Paramètres!$A$1:$I$89,3,0)*0.475*44/12</f>
        <v>1.4582156806669664</v>
      </c>
      <c r="EX110" s="21">
        <f>EXP(-LN(2)/2)*EX109+(1-EXP(-LN(2)/2))/(LN(2)/2)*ER110*EU110*VLOOKUP('Données projet'!$B$15,Paramètres!$A$1:$I$89,3,0)*0.475*44/12</f>
        <v>1.400871408246063E-11</v>
      </c>
      <c r="EY110" s="22">
        <f t="shared" si="75"/>
        <v>2.8102382069272505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243.00000000000017</v>
      </c>
      <c r="O111" s="13">
        <f>N111*VLOOKUP('Données projet'!$B$9,Paramètres!$A$1:$I$89,3,0)*VLOOKUP('Données projet'!$B$9,Paramètres!$A$1:$I$89,5,0)</f>
        <v>212.28480000000016</v>
      </c>
      <c r="P111" s="13">
        <f t="shared" si="87"/>
        <v>52.434557099704236</v>
      </c>
      <c r="Q111" s="20">
        <f t="shared" si="107"/>
        <v>461.0528802819851</v>
      </c>
      <c r="R111" s="59">
        <f t="shared" si="55"/>
        <v>754.38621361531841</v>
      </c>
      <c r="S111" s="59">
        <f ca="1">AVERAGE(OFFSET($R$3,0,0,'Données projet'!$E$9+1,1))-AVERAGE(OFFSET($H$3,0,0,'Données projet'!$E$9+1,1))</f>
        <v>368.41876532159154</v>
      </c>
      <c r="T111" s="59">
        <f t="shared" si="88"/>
        <v>369.39570124551125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1.3140048183026924</v>
      </c>
      <c r="AA111" s="21">
        <f>EXP(-LN(2)/25)*AA110+(1-EXP(-LN(2)/25))/(LN(2)/25)*Calculateur!V111*Calculateur!X111*VLOOKUP('Données projet'!$B$9,Paramètres!$A$1:$I$89,3,0)*0.475*44/12</f>
        <v>1.8657955652621656</v>
      </c>
      <c r="AB111" s="21">
        <f>EXP(-LN(2)/2)*AB110+(1-EXP(-LN(2)/2))/(LN(2)/2)*V111*Y111*VLOOKUP('Données projet'!$B$9,Paramètres!$A$1:$I$89,3,0)*0.475*44/12</f>
        <v>3.232460705829878E-11</v>
      </c>
      <c r="AC111" s="22">
        <f t="shared" si="57"/>
        <v>3.1798003835971831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-5.1159076974727213E-13</v>
      </c>
      <c r="AJ111" s="13">
        <f>AI111*VLOOKUP('Données projet'!$B$10,Paramètres!$A$1:$I$89,3,0)*VLOOKUP('Données projet'!$B$10,Paramètres!$A$1:$I$89,5,0)</f>
        <v>-4.4692569645121704E-13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402.82278346470082</v>
      </c>
      <c r="AO111" s="59">
        <f t="shared" si="90"/>
        <v>440.17787299198977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0.76448117906570057</v>
      </c>
      <c r="AV111" s="21">
        <f>EXP(-LN(2)/25)*AV110+(1-EXP(-LN(2)/25))/(LN(2)/25)*Calculateur!AQ111*Calculateur!AS111*VLOOKUP('Données projet'!$B$10,Paramètres!$A$1:$I$89,3,0)*0.475*44/12</f>
        <v>2.5916312776785735</v>
      </c>
      <c r="AW111" s="21">
        <f>EXP(-LN(2)/2)*AW110+(1-EXP(-LN(2)/2))/(LN(2)/2)*AQ111*AT111*VLOOKUP('Données projet'!$B$10,Paramètres!$A$1:$I$89,3,0)*0.475*44/12</f>
        <v>4.8013684712265106E-11</v>
      </c>
      <c r="AX111" s="21">
        <f t="shared" si="60"/>
        <v>3.3561124567922875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5.2</v>
      </c>
      <c r="BD111" s="12">
        <f>IF('Données projet'!$A$88&gt;35,BD110+BC111-BL110,IF(A111&lt;'Données projet'!$A$88,$BA$205^A111,IF(A111='Données projet'!$A$88,'Données projet'!$B$88,BD110+BC111-BL110)))</f>
        <v>347.59999999999968</v>
      </c>
      <c r="BE111" s="13">
        <f>BD111*VLOOKUP('Données projet'!$B$11,Paramètres!$A$1:$I$89,3,0)*VLOOKUP('Données projet'!$B$11,Paramètres!$A$1:$I$89,5,0)</f>
        <v>314.50847999999968</v>
      </c>
      <c r="BF111" s="13">
        <f t="shared" si="91"/>
        <v>74.209587561617383</v>
      </c>
      <c r="BG111" s="20">
        <f t="shared" si="61"/>
        <v>677.01730100314978</v>
      </c>
      <c r="BH111" s="59">
        <f t="shared" si="62"/>
        <v>970.35063433648315</v>
      </c>
      <c r="BI111" s="59">
        <f ca="1">AVERAGE(OFFSET($BH$3,0,0,'Données projet'!$E$11+1,1))-AVERAGE(OFFSET($H$3,0,0,'Données projet'!$E$11+1,1))</f>
        <v>469.68830256438338</v>
      </c>
      <c r="BJ111" s="59">
        <f t="shared" si="92"/>
        <v>332.61387922152159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0.51391268479510965</v>
      </c>
      <c r="BQ111" s="21">
        <f>EXP(-LN(2)/25)*BQ110+(1-EXP(-LN(2)/25))/(LN(2)/25)*Calculateur!BL111*Calculateur!BN111*VLOOKUP('Données projet'!$B$11,Paramètres!$A$1:$I$89,3,0)*0.475*44/12</f>
        <v>1.2977887695490231</v>
      </c>
      <c r="BR111" s="21">
        <f>EXP(-LN(2)/2)*BR110+(1-EXP(-LN(2)/2))/(LN(2)/2)*BL111*BO111*VLOOKUP('Données projet'!$B$11,Paramètres!$A$1:$I$89,3,0)*0.475*44/12</f>
        <v>3.9205291203155289E-11</v>
      </c>
      <c r="BS111" s="22">
        <f t="shared" si="63"/>
        <v>1.8117014543833381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6.5</v>
      </c>
      <c r="BY111" s="12">
        <f>IF('Données projet'!$A$114&gt;35,BY110+BX111-CG110,IF(A111&lt;'Données projet'!$A$114,$BV$205^A111,IF(A111='Données projet'!$A$114,'Données projet'!$B$114,BY110+BX111-CG110)))</f>
        <v>428.00000000000011</v>
      </c>
      <c r="BZ111" s="13">
        <f>BY111*VLOOKUP('Données projet'!$B$12,Paramètres!$A$1:$I$89,3,0)*VLOOKUP('Données projet'!$B$12,Paramètres!$A$1:$I$89,5,0)</f>
        <v>407.28480000000008</v>
      </c>
      <c r="CA111" s="13">
        <f t="shared" si="93"/>
        <v>93.251991729671133</v>
      </c>
      <c r="CB111" s="20">
        <f t="shared" si="64"/>
        <v>871.76824559584395</v>
      </c>
      <c r="CC111" s="59">
        <f t="shared" si="65"/>
        <v>1165.1015789291773</v>
      </c>
      <c r="CD111" s="59">
        <f ca="1">AVERAGE(OFFSET($CC$3,0,0,'Données projet'!$E$12+1,1))-AVERAGE(OFFSET($H$3,0,0,'Données projet'!$E$12+1,1))</f>
        <v>609.40025883662452</v>
      </c>
      <c r="CE111" s="59">
        <f t="shared" si="94"/>
        <v>294.48909834404577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0.45347265926722019</v>
      </c>
      <c r="CM111" s="21">
        <f>EXP(-LN(2)/2)*CM110+(1-EXP(-LN(2)/2))/(LN(2)/2)*CG111*CJ111*VLOOKUP('Données projet'!$B$12,Paramètres!$A$1:$I$89,3,0)*0.475*44/12</f>
        <v>1.4290484349588612E-11</v>
      </c>
      <c r="CN111" s="22">
        <f t="shared" si="66"/>
        <v>0.45347265928151065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-1.1368683772161603E-13</v>
      </c>
      <c r="CU111" s="17">
        <f>CT111*VLOOKUP('Données projet'!$B$13,Paramètres!$A$1:$I$89,3,0)*VLOOKUP('Données projet'!$B$13,Paramètres!$A$1:$I$89,5,0)</f>
        <v>-5.3205440053716299E-14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346.16623654404509</v>
      </c>
      <c r="CZ111" s="59">
        <f t="shared" si="96"/>
        <v>281.80933156559087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0.66882536114602431</v>
      </c>
      <c r="DG111" s="21">
        <f>EXP(-LN(2)/25)*DG110+(1-EXP(-LN(2)/25))/(LN(2)/25)*Calculateur!DB111*Calculateur!DD111*VLOOKUP('Données projet'!$B$13,Paramètres!$A$1:$I$89,3,0)*0.475*44/12</f>
        <v>0.90356266105856009</v>
      </c>
      <c r="DH111" s="21">
        <f>EXP(-LN(2)/2)*DH110+(1-EXP(-LN(2)/2))/(LN(2)/2)*DB111*DE111*VLOOKUP('Données projet'!$B$13,Paramètres!$A$1:$I$89,3,0)*0.475*44/12</f>
        <v>1.7884624831451205E-11</v>
      </c>
      <c r="DI111" s="22">
        <f t="shared" si="69"/>
        <v>1.5723880222224691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6.2527760746888816E-13</v>
      </c>
      <c r="DP111" s="17">
        <f>DO111*VLOOKUP('Données projet'!$B$14,Paramètres!$A$1:$I$89,3,0)*VLOOKUP('Données projet'!$B$14,Paramètres!$A$1:$I$89,5,0)</f>
        <v>3.9017322706058616E-13</v>
      </c>
      <c r="DQ111" s="13">
        <f t="shared" si="97"/>
        <v>5.0025007393608908E-12</v>
      </c>
      <c r="DR111" s="20">
        <f t="shared" si="70"/>
        <v>9.3922404915174053E-12</v>
      </c>
      <c r="DS111" s="59">
        <f t="shared" si="71"/>
        <v>293.33333333334269</v>
      </c>
      <c r="DT111" s="59">
        <f ca="1">AVERAGE(OFFSET($DS$3,0,0,'Données projet'!$E$14+1,1))-AVERAGE(OFFSET($H$3,0,0,'Données projet'!$E$14+1,1))</f>
        <v>319.97171762304686</v>
      </c>
      <c r="DU111" s="59">
        <f t="shared" si="98"/>
        <v>337.89345858359621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1.4836292423916551</v>
      </c>
      <c r="EB111" s="21">
        <f>EXP(-LN(2)/25)*EB110+(1-EXP(-LN(2)/25))/(LN(2)/25)*Calculateur!DW111*Calculateur!DY111*VLOOKUP('Données projet'!$B$14,Paramètres!$A$1:$I$89,3,0)*0.475*44/12</f>
        <v>2.3910970806531981</v>
      </c>
      <c r="EC111" s="21">
        <f>EXP(-LN(2)/2)*EC110+(1-EXP(-LN(2)/2))/(LN(2)/2)*DW111*DZ111*VLOOKUP('Données projet'!$B$14,Paramètres!$A$1:$I$89,3,0)*0.475*44/12</f>
        <v>3.6726879450207169E-11</v>
      </c>
      <c r="ED111" s="22">
        <f t="shared" si="72"/>
        <v>3.87472632308158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>
        <f>EJ111*VLOOKUP('Données projet'!$B$15,Paramètres!$A$1:$I$89,3,0)*VLOOKUP('Données projet'!$B$15,Paramètres!$A$1:$I$89,5,0)</f>
        <v>0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258.46015871559956</v>
      </c>
      <c r="EP111" s="59">
        <f t="shared" si="100"/>
        <v>280.26155987300996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1.3255101891588992</v>
      </c>
      <c r="EW111" s="21">
        <f>EXP(-LN(2)/25)*EW110+(1-EXP(-LN(2)/25))/(LN(2)/25)*Calculateur!ER111*Calculateur!ET111*VLOOKUP('Données projet'!$B$15,Paramètres!$A$1:$I$89,3,0)*0.475*44/12</f>
        <v>1.4183406961948983</v>
      </c>
      <c r="EX111" s="21">
        <f>EXP(-LN(2)/2)*EX110+(1-EXP(-LN(2)/2))/(LN(2)/2)*ER111*EU111*VLOOKUP('Données projet'!$B$15,Paramètres!$A$1:$I$89,3,0)*0.475*44/12</f>
        <v>9.9056567234113953E-12</v>
      </c>
      <c r="EY111" s="22">
        <f t="shared" si="75"/>
        <v>2.7438508853637034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243.00000000000017</v>
      </c>
      <c r="O112" s="13">
        <f>N112*VLOOKUP('Données projet'!$B$9,Paramètres!$A$1:$I$89,3,0)*VLOOKUP('Données projet'!$B$9,Paramètres!$A$1:$I$89,5,0)</f>
        <v>212.28480000000016</v>
      </c>
      <c r="P112" s="13">
        <f t="shared" si="87"/>
        <v>52.434557099704236</v>
      </c>
      <c r="Q112" s="20">
        <f t="shared" si="107"/>
        <v>461.0528802819851</v>
      </c>
      <c r="R112" s="59">
        <f t="shared" si="55"/>
        <v>754.38621361531841</v>
      </c>
      <c r="S112" s="59">
        <f ca="1">AVERAGE(OFFSET($R$3,0,0,'Données projet'!$E$9+1,1))-AVERAGE(OFFSET($H$3,0,0,'Données projet'!$E$9+1,1))</f>
        <v>368.41876532159154</v>
      </c>
      <c r="T112" s="59">
        <f t="shared" si="88"/>
        <v>369.39570124551125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1.2882379852795778</v>
      </c>
      <c r="AA112" s="21">
        <f>EXP(-LN(2)/25)*AA111+(1-EXP(-LN(2)/25))/(LN(2)/25)*Calculateur!V112*Calculateur!X112*VLOOKUP('Données projet'!$B$9,Paramètres!$A$1:$I$89,3,0)*0.475*44/12</f>
        <v>1.8147752874121472</v>
      </c>
      <c r="AB112" s="21">
        <f>EXP(-LN(2)/2)*AB111+(1-EXP(-LN(2)/2))/(LN(2)/2)*V112*Y112*VLOOKUP('Données projet'!$B$9,Paramètres!$A$1:$I$89,3,0)*0.475*44/12</f>
        <v>2.2856948850113605E-11</v>
      </c>
      <c r="AC112" s="22">
        <f t="shared" si="57"/>
        <v>3.1030132727145818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-5.1159076974727213E-13</v>
      </c>
      <c r="AJ112" s="13">
        <f>AI112*VLOOKUP('Données projet'!$B$10,Paramètres!$A$1:$I$89,3,0)*VLOOKUP('Données projet'!$B$10,Paramètres!$A$1:$I$89,5,0)</f>
        <v>-4.4692569645121704E-13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402.82278346470082</v>
      </c>
      <c r="AO112" s="59">
        <f t="shared" si="90"/>
        <v>440.17787299198977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0.74949016943169933</v>
      </c>
      <c r="AV112" s="21">
        <f>EXP(-LN(2)/25)*AV111+(1-EXP(-LN(2)/25))/(LN(2)/25)*Calculateur!AQ112*Calculateur!AS112*VLOOKUP('Données projet'!$B$10,Paramètres!$A$1:$I$89,3,0)*0.475*44/12</f>
        <v>2.5207629841024874</v>
      </c>
      <c r="AW112" s="21">
        <f>EXP(-LN(2)/2)*AW111+(1-EXP(-LN(2)/2))/(LN(2)/2)*AQ112*AT112*VLOOKUP('Données projet'!$B$10,Paramètres!$A$1:$I$89,3,0)*0.475*44/12</f>
        <v>3.3950802049795524E-11</v>
      </c>
      <c r="AX112" s="21">
        <f t="shared" si="60"/>
        <v>3.2702531535681372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5.2</v>
      </c>
      <c r="BD112" s="12">
        <f>IF('Données projet'!$A$88&gt;35,BD111+BC112-BL111,IF(A112&lt;'Données projet'!$A$88,$BA$205^A112,IF(A112='Données projet'!$A$88,'Données projet'!$B$88,BD111+BC112-BL111)))</f>
        <v>352.79999999999967</v>
      </c>
      <c r="BE112" s="13">
        <f>BD112*VLOOKUP('Données projet'!$B$11,Paramètres!$A$1:$I$89,3,0)*VLOOKUP('Données projet'!$B$11,Paramètres!$A$1:$I$89,5,0)</f>
        <v>319.21343999999971</v>
      </c>
      <c r="BF112" s="13">
        <f t="shared" si="91"/>
        <v>75.189671124171639</v>
      </c>
      <c r="BG112" s="20">
        <f t="shared" si="61"/>
        <v>686.91875187459846</v>
      </c>
      <c r="BH112" s="59">
        <f t="shared" si="62"/>
        <v>980.25208520793171</v>
      </c>
      <c r="BI112" s="59">
        <f ca="1">AVERAGE(OFFSET($BH$3,0,0,'Données projet'!$E$11+1,1))-AVERAGE(OFFSET($H$3,0,0,'Données projet'!$E$11+1,1))</f>
        <v>469.68830256438338</v>
      </c>
      <c r="BJ112" s="59">
        <f t="shared" si="92"/>
        <v>332.61387922152159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0.50383517050206406</v>
      </c>
      <c r="BQ112" s="21">
        <f>EXP(-LN(2)/25)*BQ111+(1-EXP(-LN(2)/25))/(LN(2)/25)*Calculateur!BL112*Calculateur!BN112*VLOOKUP('Données projet'!$B$11,Paramètres!$A$1:$I$89,3,0)*0.475*44/12</f>
        <v>1.2623006673979598</v>
      </c>
      <c r="BR112" s="21">
        <f>EXP(-LN(2)/2)*BR111+(1-EXP(-LN(2)/2))/(LN(2)/2)*BL112*BO112*VLOOKUP('Données projet'!$B$11,Paramètres!$A$1:$I$89,3,0)*0.475*44/12</f>
        <v>2.7722327268144404E-11</v>
      </c>
      <c r="BS112" s="22">
        <f t="shared" si="63"/>
        <v>1.7661358379277461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6.5</v>
      </c>
      <c r="BY112" s="12">
        <f>IF('Données projet'!$A$114&gt;35,BY111+BX112-CG111,IF(A112&lt;'Données projet'!$A$114,$BV$205^A112,IF(A112='Données projet'!$A$114,'Données projet'!$B$114,BY111+BX112-CG111)))</f>
        <v>434.50000000000011</v>
      </c>
      <c r="BZ112" s="13">
        <f>BY112*VLOOKUP('Données projet'!$B$12,Paramètres!$A$1:$I$89,3,0)*VLOOKUP('Données projet'!$B$12,Paramètres!$A$1:$I$89,5,0)</f>
        <v>413.47020000000015</v>
      </c>
      <c r="CA112" s="13">
        <f t="shared" si="93"/>
        <v>94.502255170477397</v>
      </c>
      <c r="CB112" s="20">
        <f t="shared" si="64"/>
        <v>884.7186927552483</v>
      </c>
      <c r="CC112" s="59">
        <f t="shared" si="65"/>
        <v>1178.0520260885817</v>
      </c>
      <c r="CD112" s="59">
        <f ca="1">AVERAGE(OFFSET($CC$3,0,0,'Données projet'!$E$12+1,1))-AVERAGE(OFFSET($H$3,0,0,'Données projet'!$E$12+1,1))</f>
        <v>609.40025883662452</v>
      </c>
      <c r="CE112" s="59">
        <f t="shared" si="94"/>
        <v>294.48909834404577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0.44107242555246734</v>
      </c>
      <c r="CM112" s="21">
        <f>EXP(-LN(2)/2)*CM111+(1-EXP(-LN(2)/2))/(LN(2)/2)*CG112*CJ112*VLOOKUP('Données projet'!$B$12,Paramètres!$A$1:$I$89,3,0)*0.475*44/12</f>
        <v>1.0104898390034338E-11</v>
      </c>
      <c r="CN112" s="22">
        <f t="shared" si="66"/>
        <v>0.44107242556257226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-1.1368683772161603E-13</v>
      </c>
      <c r="CU112" s="17">
        <f>CT112*VLOOKUP('Données projet'!$B$13,Paramètres!$A$1:$I$89,3,0)*VLOOKUP('Données projet'!$B$13,Paramètres!$A$1:$I$89,5,0)</f>
        <v>-5.3205440053716299E-14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346.16623654404509</v>
      </c>
      <c r="CZ112" s="59">
        <f t="shared" si="96"/>
        <v>281.80933156559087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0.65571010375714001</v>
      </c>
      <c r="DG112" s="21">
        <f>EXP(-LN(2)/25)*DG111+(1-EXP(-LN(2)/25))/(LN(2)/25)*Calculateur!DB112*Calculateur!DD112*VLOOKUP('Données projet'!$B$13,Paramètres!$A$1:$I$89,3,0)*0.475*44/12</f>
        <v>0.87885469257561855</v>
      </c>
      <c r="DH112" s="21">
        <f>EXP(-LN(2)/2)*DH111+(1-EXP(-LN(2)/2))/(LN(2)/2)*DB112*DE112*VLOOKUP('Données projet'!$B$13,Paramètres!$A$1:$I$89,3,0)*0.475*44/12</f>
        <v>1.2646339497296462E-11</v>
      </c>
      <c r="DI112" s="22">
        <f t="shared" si="69"/>
        <v>1.5345647963454048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6.2527760746888816E-13</v>
      </c>
      <c r="DP112" s="17">
        <f>DO112*VLOOKUP('Données projet'!$B$14,Paramètres!$A$1:$I$89,3,0)*VLOOKUP('Données projet'!$B$14,Paramètres!$A$1:$I$89,5,0)</f>
        <v>3.9017322706058616E-13</v>
      </c>
      <c r="DQ112" s="13">
        <f t="shared" si="97"/>
        <v>5.0025007393608908E-12</v>
      </c>
      <c r="DR112" s="20">
        <f t="shared" si="70"/>
        <v>9.3922404915174053E-12</v>
      </c>
      <c r="DS112" s="59">
        <f t="shared" si="71"/>
        <v>293.33333333334269</v>
      </c>
      <c r="DT112" s="59">
        <f ca="1">AVERAGE(OFFSET($DS$3,0,0,'Données projet'!$E$14+1,1))-AVERAGE(OFFSET($H$3,0,0,'Données projet'!$E$14+1,1))</f>
        <v>319.97171762304686</v>
      </c>
      <c r="DU112" s="59">
        <f t="shared" si="98"/>
        <v>337.89345858359621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1.4545361778728387</v>
      </c>
      <c r="EB112" s="21">
        <f>EXP(-LN(2)/25)*EB111+(1-EXP(-LN(2)/25))/(LN(2)/25)*Calculateur!DW112*Calculateur!DY112*VLOOKUP('Données projet'!$B$14,Paramètres!$A$1:$I$89,3,0)*0.475*44/12</f>
        <v>2.3257124052404059</v>
      </c>
      <c r="EC112" s="21">
        <f>EXP(-LN(2)/2)*EC111+(1-EXP(-LN(2)/2))/(LN(2)/2)*DW112*DZ112*VLOOKUP('Données projet'!$B$14,Paramètres!$A$1:$I$89,3,0)*0.475*44/12</f>
        <v>2.596982551106235E-11</v>
      </c>
      <c r="ED112" s="22">
        <f t="shared" si="72"/>
        <v>3.7802485831392145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>
        <f>EJ112*VLOOKUP('Données projet'!$B$15,Paramètres!$A$1:$I$89,3,0)*VLOOKUP('Données projet'!$B$15,Paramètres!$A$1:$I$89,5,0)</f>
        <v>0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258.46015871559956</v>
      </c>
      <c r="EP112" s="59">
        <f t="shared" si="100"/>
        <v>280.26155987300996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1.2995177428308777</v>
      </c>
      <c r="EW112" s="21">
        <f>EXP(-LN(2)/25)*EW111+(1-EXP(-LN(2)/25))/(LN(2)/25)*Calculateur!ER112*Calculateur!ET112*VLOOKUP('Données projet'!$B$15,Paramètres!$A$1:$I$89,3,0)*0.475*44/12</f>
        <v>1.3795560952701533</v>
      </c>
      <c r="EX112" s="21">
        <f>EXP(-LN(2)/2)*EX111+(1-EXP(-LN(2)/2))/(LN(2)/2)*ER112*EU112*VLOOKUP('Données projet'!$B$15,Paramètres!$A$1:$I$89,3,0)*0.475*44/12</f>
        <v>7.0043570412303149E-12</v>
      </c>
      <c r="EY112" s="22">
        <f t="shared" si="75"/>
        <v>2.6790738381080352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243.00000000000017</v>
      </c>
      <c r="O113" s="13">
        <f>N113*VLOOKUP('Données projet'!$B$9,Paramètres!$A$1:$I$89,3,0)*VLOOKUP('Données projet'!$B$9,Paramètres!$A$1:$I$89,5,0)</f>
        <v>212.28480000000016</v>
      </c>
      <c r="P113" s="13">
        <f t="shared" si="87"/>
        <v>52.434557099704236</v>
      </c>
      <c r="Q113" s="20">
        <f t="shared" si="107"/>
        <v>461.0528802819851</v>
      </c>
      <c r="R113" s="59">
        <f t="shared" si="55"/>
        <v>754.38621361531841</v>
      </c>
      <c r="S113" s="59">
        <f ca="1">AVERAGE(OFFSET($R$3,0,0,'Données projet'!$E$9+1,1))-AVERAGE(OFFSET($H$3,0,0,'Données projet'!$E$9+1,1))</f>
        <v>368.41876532159154</v>
      </c>
      <c r="T113" s="59">
        <f t="shared" si="88"/>
        <v>369.39570124551125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1.2629764241358301</v>
      </c>
      <c r="AA113" s="21">
        <f>EXP(-LN(2)/25)*AA112+(1-EXP(-LN(2)/25))/(LN(2)/25)*Calculateur!V113*Calculateur!X113*VLOOKUP('Données projet'!$B$9,Paramètres!$A$1:$I$89,3,0)*0.475*44/12</f>
        <v>1.7651501617429775</v>
      </c>
      <c r="AB113" s="21">
        <f>EXP(-LN(2)/2)*AB112+(1-EXP(-LN(2)/2))/(LN(2)/2)*V113*Y113*VLOOKUP('Données projet'!$B$9,Paramètres!$A$1:$I$89,3,0)*0.475*44/12</f>
        <v>1.616230352914939E-11</v>
      </c>
      <c r="AC113" s="22">
        <f t="shared" si="57"/>
        <v>3.0281265858949697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-5.1159076974727213E-13</v>
      </c>
      <c r="AJ113" s="13">
        <f>AI113*VLOOKUP('Données projet'!$B$10,Paramètres!$A$1:$I$89,3,0)*VLOOKUP('Données projet'!$B$10,Paramètres!$A$1:$I$89,5,0)</f>
        <v>-4.4692569645121704E-13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402.82278346470082</v>
      </c>
      <c r="AO113" s="59">
        <f t="shared" si="90"/>
        <v>440.17787299198977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0.73479312435300781</v>
      </c>
      <c r="AV113" s="21">
        <f>EXP(-LN(2)/25)*AV112+(1-EXP(-LN(2)/25))/(LN(2)/25)*Calculateur!AQ113*Calculateur!AS113*VLOOKUP('Données projet'!$B$10,Paramètres!$A$1:$I$89,3,0)*0.475*44/12</f>
        <v>2.4518325877410407</v>
      </c>
      <c r="AW113" s="21">
        <f>EXP(-LN(2)/2)*AW112+(1-EXP(-LN(2)/2))/(LN(2)/2)*AQ113*AT113*VLOOKUP('Données projet'!$B$10,Paramètres!$A$1:$I$89,3,0)*0.475*44/12</f>
        <v>2.4006842356132553E-11</v>
      </c>
      <c r="AX113" s="21">
        <f t="shared" si="60"/>
        <v>3.1866257121180555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358</v>
      </c>
      <c r="BB113" s="12">
        <f>VLOOKUP(A113,'Données projet'!$A$87:$I$107,9,0)</f>
        <v>5.2</v>
      </c>
      <c r="BC113" s="12">
        <f t="array" ref="BC113">INDEX(BB:BB,MIN(IF(ISNUMBER(BB113:BB309),ROW(BB113:BB309),"")))</f>
        <v>5.2</v>
      </c>
      <c r="BD113" s="12">
        <f>IF('Données projet'!$A$88&gt;35,BD112+BC113-BL112,IF(A113&lt;'Données projet'!$A$88,$BA$205^A113,IF(A113='Données projet'!$A$88,'Données projet'!$B$88,BD112+BC113-BL112)))</f>
        <v>357.99999999999966</v>
      </c>
      <c r="BE113" s="13">
        <f>BD113*VLOOKUP('Données projet'!$B$11,Paramètres!$A$1:$I$89,3,0)*VLOOKUP('Données projet'!$B$11,Paramètres!$A$1:$I$89,5,0)</f>
        <v>323.91839999999968</v>
      </c>
      <c r="BF113" s="13">
        <f t="shared" si="91"/>
        <v>76.168074587293034</v>
      </c>
      <c r="BG113" s="20">
        <f t="shared" si="61"/>
        <v>696.8172765728682</v>
      </c>
      <c r="BH113" s="59">
        <f t="shared" si="62"/>
        <v>990.15060990620145</v>
      </c>
      <c r="BI113" s="59">
        <f ca="1">AVERAGE(OFFSET($BH$3,0,0,'Données projet'!$E$11+1,1))-AVERAGE(OFFSET($H$3,0,0,'Données projet'!$E$11+1,1))</f>
        <v>469.68830256438338</v>
      </c>
      <c r="BJ113" s="59">
        <f t="shared" si="92"/>
        <v>332.61387922152159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51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0.49395527011762835</v>
      </c>
      <c r="BQ113" s="21">
        <f>EXP(-LN(2)/25)*BQ112+(1-EXP(-LN(2)/25))/(LN(2)/25)*Calculateur!BL113*Calculateur!BN113*VLOOKUP('Données projet'!$B$11,Paramètres!$A$1:$I$89,3,0)*0.475*44/12</f>
        <v>1.2277829892664556</v>
      </c>
      <c r="BR113" s="21">
        <f>EXP(-LN(2)/2)*BR112+(1-EXP(-LN(2)/2))/(LN(2)/2)*BL113*BO113*VLOOKUP('Données projet'!$B$11,Paramètres!$A$1:$I$89,3,0)*0.475*44/12</f>
        <v>1.9602645601577644E-11</v>
      </c>
      <c r="BS113" s="22">
        <f t="shared" si="63"/>
        <v>1.7217382594036865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441</v>
      </c>
      <c r="BW113" s="12">
        <f>VLOOKUP(A113,'Données projet'!$A$113:$I$133,9,0)</f>
        <v>6.5</v>
      </c>
      <c r="BX113" s="12">
        <f t="array" ref="BX113">INDEX(BW:BW,MIN(IF(ISNUMBER(BW113:BW309),ROW(BW113:BW309),"")))</f>
        <v>6.5</v>
      </c>
      <c r="BY113" s="12">
        <f>IF('Données projet'!$A$114&gt;35,BY112+BX113-CG112,IF(A113&lt;'Données projet'!$A$114,$BV$205^A113,IF(A113='Données projet'!$A$114,'Données projet'!$B$114,BY112+BX113-CG112)))</f>
        <v>441.00000000000011</v>
      </c>
      <c r="BZ113" s="13">
        <f>BY113*VLOOKUP('Données projet'!$B$12,Paramètres!$A$1:$I$89,3,0)*VLOOKUP('Données projet'!$B$12,Paramètres!$A$1:$I$89,5,0)</f>
        <v>419.65560000000011</v>
      </c>
      <c r="CA113" s="13">
        <f t="shared" si="93"/>
        <v>95.750343321351295</v>
      </c>
      <c r="CB113" s="20">
        <f t="shared" si="64"/>
        <v>897.66535128468695</v>
      </c>
      <c r="CC113" s="59">
        <f t="shared" si="65"/>
        <v>1190.9986846180202</v>
      </c>
      <c r="CD113" s="59">
        <f ca="1">AVERAGE(OFFSET($CC$3,0,0,'Données projet'!$E$12+1,1))-AVERAGE(OFFSET($H$3,0,0,'Données projet'!$E$12+1,1))</f>
        <v>609.40025883662452</v>
      </c>
      <c r="CE113" s="59">
        <f t="shared" si="94"/>
        <v>294.48909834404577</v>
      </c>
      <c r="CF113" s="15">
        <f>IF(ISNA(VLOOKUP(A113,'Données projet'!$A$113:$I$133,3,0)),0,VLOOKUP(A113,'Données projet'!$A$113:$I$133,3,0))</f>
        <v>9</v>
      </c>
      <c r="CG113" s="15">
        <f>IF(ISNA(VLOOKUP(A113,'Données projet'!$A$113:$I$133,4,0)),0,VLOOKUP(A113,'Données projet'!$A$113:$I$133,4,0))</f>
        <v>45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0.42901127688074436</v>
      </c>
      <c r="CM113" s="21">
        <f>EXP(-LN(2)/2)*CM112+(1-EXP(-LN(2)/2))/(LN(2)/2)*CG113*CJ113*VLOOKUP('Données projet'!$B$12,Paramètres!$A$1:$I$89,3,0)*0.475*44/12</f>
        <v>7.1452421747943075E-12</v>
      </c>
      <c r="CN113" s="22">
        <f t="shared" si="66"/>
        <v>0.42901127688788959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-1.1368683772161603E-13</v>
      </c>
      <c r="CU113" s="17">
        <f>CT113*VLOOKUP('Données projet'!$B$13,Paramètres!$A$1:$I$89,3,0)*VLOOKUP('Données projet'!$B$13,Paramètres!$A$1:$I$89,5,0)</f>
        <v>-5.3205440053716299E-14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346.16623654404509</v>
      </c>
      <c r="CZ113" s="59">
        <f t="shared" si="96"/>
        <v>281.80933156559087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0.64285202856613466</v>
      </c>
      <c r="DG113" s="21">
        <f>EXP(-LN(2)/25)*DG112+(1-EXP(-LN(2)/25))/(LN(2)/25)*Calculateur!DB113*Calculateur!DD113*VLOOKUP('Données projet'!$B$13,Paramètres!$A$1:$I$89,3,0)*0.475*44/12</f>
        <v>0.85482236479017859</v>
      </c>
      <c r="DH113" s="21">
        <f>EXP(-LN(2)/2)*DH112+(1-EXP(-LN(2)/2))/(LN(2)/2)*DB113*DE113*VLOOKUP('Données projet'!$B$13,Paramètres!$A$1:$I$89,3,0)*0.475*44/12</f>
        <v>8.9423124157256024E-12</v>
      </c>
      <c r="DI113" s="22">
        <f t="shared" si="69"/>
        <v>1.4976743933652557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6.2527760746888816E-13</v>
      </c>
      <c r="DP113" s="17">
        <f>DO113*VLOOKUP('Données projet'!$B$14,Paramètres!$A$1:$I$89,3,0)*VLOOKUP('Données projet'!$B$14,Paramètres!$A$1:$I$89,5,0)</f>
        <v>3.9017322706058616E-13</v>
      </c>
      <c r="DQ113" s="13">
        <f t="shared" si="97"/>
        <v>5.0025007393608908E-12</v>
      </c>
      <c r="DR113" s="20">
        <f t="shared" si="70"/>
        <v>9.3922404915174053E-12</v>
      </c>
      <c r="DS113" s="59">
        <f t="shared" si="71"/>
        <v>293.33333333334269</v>
      </c>
      <c r="DT113" s="59">
        <f ca="1">AVERAGE(OFFSET($DS$3,0,0,'Données projet'!$E$14+1,1))-AVERAGE(OFFSET($H$3,0,0,'Données projet'!$E$14+1,1))</f>
        <v>319.97171762304686</v>
      </c>
      <c r="DU113" s="59">
        <f t="shared" si="98"/>
        <v>337.89345858359621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1.4260136106042192</v>
      </c>
      <c r="EB113" s="21">
        <f>EXP(-LN(2)/25)*EB112+(1-EXP(-LN(2)/25))/(LN(2)/25)*Calculateur!DW113*Calculateur!DY113*VLOOKUP('Données projet'!$B$14,Paramètres!$A$1:$I$89,3,0)*0.475*44/12</f>
        <v>2.2621156772152071</v>
      </c>
      <c r="EC113" s="21">
        <f>EXP(-LN(2)/2)*EC112+(1-EXP(-LN(2)/2))/(LN(2)/2)*DW113*DZ113*VLOOKUP('Données projet'!$B$14,Paramètres!$A$1:$I$89,3,0)*0.475*44/12</f>
        <v>1.8363439725103584E-11</v>
      </c>
      <c r="ED113" s="22">
        <f t="shared" si="72"/>
        <v>3.6881292878377896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>
        <f>EJ113*VLOOKUP('Données projet'!$B$15,Paramètres!$A$1:$I$89,3,0)*VLOOKUP('Données projet'!$B$15,Paramètres!$A$1:$I$89,5,0)</f>
        <v>0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258.46015871559956</v>
      </c>
      <c r="EP113" s="59">
        <f t="shared" si="100"/>
        <v>280.26155987300996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1.274034992521522</v>
      </c>
      <c r="EW113" s="21">
        <f>EXP(-LN(2)/25)*EW112+(1-EXP(-LN(2)/25))/(LN(2)/25)*Calculateur!ER113*Calculateur!ET113*VLOOKUP('Données projet'!$B$15,Paramètres!$A$1:$I$89,3,0)*0.475*44/12</f>
        <v>1.3418320612972889</v>
      </c>
      <c r="EX113" s="21">
        <f>EXP(-LN(2)/2)*EX112+(1-EXP(-LN(2)/2))/(LN(2)/2)*ER113*EU113*VLOOKUP('Données projet'!$B$15,Paramètres!$A$1:$I$89,3,0)*0.475*44/12</f>
        <v>4.9528283617056977E-12</v>
      </c>
      <c r="EY113" s="22">
        <f t="shared" si="75"/>
        <v>2.6158670538237638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243.00000000000017</v>
      </c>
      <c r="O114" s="13">
        <f>N114*VLOOKUP('Données projet'!$B$9,Paramètres!$A$1:$I$89,3,0)*VLOOKUP('Données projet'!$B$9,Paramètres!$A$1:$I$89,5,0)</f>
        <v>212.28480000000016</v>
      </c>
      <c r="P114" s="13">
        <f t="shared" si="87"/>
        <v>52.434557099704236</v>
      </c>
      <c r="Q114" s="20">
        <f t="shared" si="107"/>
        <v>461.0528802819851</v>
      </c>
      <c r="R114" s="59">
        <f t="shared" si="55"/>
        <v>754.38621361531841</v>
      </c>
      <c r="S114" s="59">
        <f ca="1">AVERAGE(OFFSET($R$3,0,0,'Données projet'!$E$9+1,1))-AVERAGE(OFFSET($H$3,0,0,'Données projet'!$E$9+1,1))</f>
        <v>368.41876532159154</v>
      </c>
      <c r="T114" s="59">
        <f t="shared" si="88"/>
        <v>369.39570124551125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1.2382102267980806</v>
      </c>
      <c r="AA114" s="21">
        <f>EXP(-LN(2)/25)*AA113+(1-EXP(-LN(2)/25))/(LN(2)/25)*Calculateur!V114*Calculateur!X114*VLOOKUP('Données projet'!$B$9,Paramètres!$A$1:$I$89,3,0)*0.475*44/12</f>
        <v>1.716882037744903</v>
      </c>
      <c r="AB114" s="21">
        <f>EXP(-LN(2)/2)*AB113+(1-EXP(-LN(2)/2))/(LN(2)/2)*V114*Y114*VLOOKUP('Données projet'!$B$9,Paramètres!$A$1:$I$89,3,0)*0.475*44/12</f>
        <v>1.1428474425056803E-11</v>
      </c>
      <c r="AC114" s="22">
        <f t="shared" si="57"/>
        <v>2.9550922645544122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-5.1159076974727213E-13</v>
      </c>
      <c r="AJ114" s="13">
        <f>AI114*VLOOKUP('Données projet'!$B$10,Paramètres!$A$1:$I$89,3,0)*VLOOKUP('Données projet'!$B$10,Paramètres!$A$1:$I$89,5,0)</f>
        <v>-4.4692569645121704E-13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402.82278346470082</v>
      </c>
      <c r="AO114" s="59">
        <f t="shared" si="90"/>
        <v>440.17787299198977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0.72038427936399718</v>
      </c>
      <c r="AV114" s="21">
        <f>EXP(-LN(2)/25)*AV113+(1-EXP(-LN(2)/25))/(LN(2)/25)*Calculateur!AQ114*Calculateur!AS114*VLOOKUP('Données projet'!$B$10,Paramètres!$A$1:$I$89,3,0)*0.475*44/12</f>
        <v>2.3847870966929898</v>
      </c>
      <c r="AW114" s="21">
        <f>EXP(-LN(2)/2)*AW113+(1-EXP(-LN(2)/2))/(LN(2)/2)*AQ114*AT114*VLOOKUP('Données projet'!$B$10,Paramètres!$A$1:$I$89,3,0)*0.475*44/12</f>
        <v>1.6975401024897762E-11</v>
      </c>
      <c r="AX114" s="21">
        <f t="shared" si="60"/>
        <v>3.1051713760739621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4.5</v>
      </c>
      <c r="BD114" s="12">
        <f>IF('Données projet'!$A$88&gt;35,BD113+BC114-BL113,IF(A114&lt;'Données projet'!$A$88,$BA$205^A114,IF(A114='Données projet'!$A$88,'Données projet'!$B$88,BD113+BC114-BL113)))</f>
        <v>311.49999999999966</v>
      </c>
      <c r="BE114" s="13">
        <f>BD114*VLOOKUP('Données projet'!$B$11,Paramètres!$A$1:$I$89,3,0)*VLOOKUP('Données projet'!$B$11,Paramètres!$A$1:$I$89,5,0)</f>
        <v>281.84519999999969</v>
      </c>
      <c r="BF114" s="13">
        <f t="shared" si="91"/>
        <v>67.356803491560427</v>
      </c>
      <c r="BG114" s="20">
        <f t="shared" si="61"/>
        <v>608.19348941446708</v>
      </c>
      <c r="BH114" s="59">
        <f t="shared" si="62"/>
        <v>901.52682274780045</v>
      </c>
      <c r="BI114" s="59">
        <f ca="1">AVERAGE(OFFSET($BH$3,0,0,'Données projet'!$E$11+1,1))-AVERAGE(OFFSET($H$3,0,0,'Données projet'!$E$11+1,1))</f>
        <v>469.68830256438338</v>
      </c>
      <c r="BJ114" s="59">
        <f t="shared" si="92"/>
        <v>332.61387922152159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0.48426910855358724</v>
      </c>
      <c r="BQ114" s="21">
        <f>EXP(-LN(2)/25)*BQ113+(1-EXP(-LN(2)/25))/(LN(2)/25)*Calculateur!BL114*Calculateur!BN114*VLOOKUP('Données projet'!$B$11,Paramètres!$A$1:$I$89,3,0)*0.475*44/12</f>
        <v>1.1942091988586632</v>
      </c>
      <c r="BR114" s="21">
        <f>EXP(-LN(2)/2)*BR113+(1-EXP(-LN(2)/2))/(LN(2)/2)*BL114*BO114*VLOOKUP('Données projet'!$B$11,Paramètres!$A$1:$I$89,3,0)*0.475*44/12</f>
        <v>1.3861163634072202E-11</v>
      </c>
      <c r="BS114" s="22">
        <f t="shared" si="63"/>
        <v>1.6784783074261116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5.8</v>
      </c>
      <c r="BY114" s="12">
        <f>IF('Données projet'!$A$114&gt;35,BY113+BX114-CG113,IF(A114&lt;'Données projet'!$A$114,$BV$205^A114,IF(A114='Données projet'!$A$114,'Données projet'!$B$114,BY113+BX114-CG113)))</f>
        <v>401.80000000000013</v>
      </c>
      <c r="BZ114" s="13">
        <f>BY114*VLOOKUP('Données projet'!$B$12,Paramètres!$A$1:$I$89,3,0)*VLOOKUP('Données projet'!$B$12,Paramètres!$A$1:$I$89,5,0)</f>
        <v>382.35288000000014</v>
      </c>
      <c r="CA114" s="13">
        <f t="shared" si="93"/>
        <v>88.189641767187894</v>
      </c>
      <c r="CB114" s="20">
        <f t="shared" si="64"/>
        <v>819.52822541118576</v>
      </c>
      <c r="CC114" s="59">
        <f t="shared" si="65"/>
        <v>1112.861558744519</v>
      </c>
      <c r="CD114" s="59">
        <f ca="1">AVERAGE(OFFSET($CC$3,0,0,'Données projet'!$E$12+1,1))-AVERAGE(OFFSET($H$3,0,0,'Données projet'!$E$12+1,1))</f>
        <v>609.40025883662452</v>
      </c>
      <c r="CE114" s="59">
        <f t="shared" si="94"/>
        <v>294.48909834404577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0.4172799409537179</v>
      </c>
      <c r="CM114" s="21">
        <f>EXP(-LN(2)/2)*CM113+(1-EXP(-LN(2)/2))/(LN(2)/2)*CG114*CJ114*VLOOKUP('Données projet'!$B$12,Paramètres!$A$1:$I$89,3,0)*0.475*44/12</f>
        <v>5.0524491950171697E-12</v>
      </c>
      <c r="CN114" s="22">
        <f t="shared" si="66"/>
        <v>0.41727994095877036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-1.1368683772161603E-13</v>
      </c>
      <c r="CU114" s="17">
        <f>CT114*VLOOKUP('Données projet'!$B$13,Paramètres!$A$1:$I$89,3,0)*VLOOKUP('Données projet'!$B$13,Paramètres!$A$1:$I$89,5,0)</f>
        <v>-5.3205440053716299E-14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346.16623654404509</v>
      </c>
      <c r="CZ114" s="59">
        <f t="shared" si="96"/>
        <v>281.80933156559087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0.63024609238697338</v>
      </c>
      <c r="DG114" s="21">
        <f>EXP(-LN(2)/25)*DG113+(1-EXP(-LN(2)/25))/(LN(2)/25)*Calculateur!DB114*Calculateur!DD114*VLOOKUP('Données projet'!$B$13,Paramètres!$A$1:$I$89,3,0)*0.475*44/12</f>
        <v>0.83144720227183666</v>
      </c>
      <c r="DH114" s="21">
        <f>EXP(-LN(2)/2)*DH113+(1-EXP(-LN(2)/2))/(LN(2)/2)*DB114*DE114*VLOOKUP('Données projet'!$B$13,Paramètres!$A$1:$I$89,3,0)*0.475*44/12</f>
        <v>6.3231697486482308E-12</v>
      </c>
      <c r="DI114" s="22">
        <f t="shared" si="69"/>
        <v>1.4616932946651333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6.2527760746888816E-13</v>
      </c>
      <c r="DP114" s="17">
        <f>DO114*VLOOKUP('Données projet'!$B$14,Paramètres!$A$1:$I$89,3,0)*VLOOKUP('Données projet'!$B$14,Paramètres!$A$1:$I$89,5,0)</f>
        <v>3.9017322706058616E-13</v>
      </c>
      <c r="DQ114" s="13">
        <f t="shared" si="97"/>
        <v>5.0025007393608908E-12</v>
      </c>
      <c r="DR114" s="20">
        <f t="shared" si="70"/>
        <v>9.3922404915174053E-12</v>
      </c>
      <c r="DS114" s="59">
        <f t="shared" si="71"/>
        <v>293.33333333334269</v>
      </c>
      <c r="DT114" s="59">
        <f ca="1">AVERAGE(OFFSET($DS$3,0,0,'Données projet'!$E$14+1,1))-AVERAGE(OFFSET($H$3,0,0,'Données projet'!$E$14+1,1))</f>
        <v>319.97171762304686</v>
      </c>
      <c r="DU114" s="59">
        <f t="shared" si="98"/>
        <v>337.89345858359621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1.3980503534826889</v>
      </c>
      <c r="EB114" s="21">
        <f>EXP(-LN(2)/25)*EB113+(1-EXP(-LN(2)/25))/(LN(2)/25)*Calculateur!DW114*Calculateur!DY114*VLOOKUP('Données projet'!$B$14,Paramètres!$A$1:$I$89,3,0)*0.475*44/12</f>
        <v>2.2002580050622638</v>
      </c>
      <c r="EC114" s="21">
        <f>EXP(-LN(2)/2)*EC113+(1-EXP(-LN(2)/2))/(LN(2)/2)*DW114*DZ114*VLOOKUP('Données projet'!$B$14,Paramètres!$A$1:$I$89,3,0)*0.475*44/12</f>
        <v>1.2984912755531175E-11</v>
      </c>
      <c r="ED114" s="22">
        <f t="shared" si="72"/>
        <v>3.5983083585579374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>
        <f>EJ114*VLOOKUP('Données projet'!$B$15,Paramètres!$A$1:$I$89,3,0)*VLOOKUP('Données projet'!$B$15,Paramètres!$A$1:$I$89,5,0)</f>
        <v>0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258.46015871559956</v>
      </c>
      <c r="EP114" s="59">
        <f t="shared" si="100"/>
        <v>280.26155987300996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1.2490519434027896</v>
      </c>
      <c r="EW114" s="21">
        <f>EXP(-LN(2)/25)*EW113+(1-EXP(-LN(2)/25))/(LN(2)/25)*Calculateur!ER114*Calculateur!ET114*VLOOKUP('Données projet'!$B$15,Paramètres!$A$1:$I$89,3,0)*0.475*44/12</f>
        <v>1.3051395930172334</v>
      </c>
      <c r="EX114" s="21">
        <f>EXP(-LN(2)/2)*EX113+(1-EXP(-LN(2)/2))/(LN(2)/2)*ER114*EU114*VLOOKUP('Données projet'!$B$15,Paramètres!$A$1:$I$89,3,0)*0.475*44/12</f>
        <v>3.5021785206151575E-12</v>
      </c>
      <c r="EY114" s="22">
        <f t="shared" si="75"/>
        <v>2.554191536423525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243.00000000000017</v>
      </c>
      <c r="O115" s="13">
        <f>N115*VLOOKUP('Données projet'!$B$9,Paramètres!$A$1:$I$89,3,0)*VLOOKUP('Données projet'!$B$9,Paramètres!$A$1:$I$89,5,0)</f>
        <v>212.28480000000016</v>
      </c>
      <c r="P115" s="13">
        <f t="shared" si="87"/>
        <v>52.434557099704236</v>
      </c>
      <c r="Q115" s="20">
        <f t="shared" si="107"/>
        <v>461.0528802819851</v>
      </c>
      <c r="R115" s="59">
        <f t="shared" si="55"/>
        <v>754.38621361531841</v>
      </c>
      <c r="S115" s="59">
        <f ca="1">AVERAGE(OFFSET($R$3,0,0,'Données projet'!$E$9+1,1))-AVERAGE(OFFSET($H$3,0,0,'Données projet'!$E$9+1,1))</f>
        <v>368.41876532159154</v>
      </c>
      <c r="T115" s="59">
        <f t="shared" si="88"/>
        <v>369.39570124551125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1.2139296794842354</v>
      </c>
      <c r="AA115" s="21">
        <f>EXP(-LN(2)/25)*AA114+(1-EXP(-LN(2)/25))/(LN(2)/25)*Calculateur!V115*Calculateur!X115*VLOOKUP('Données projet'!$B$9,Paramètres!$A$1:$I$89,3,0)*0.475*44/12</f>
        <v>1.6699338081358663</v>
      </c>
      <c r="AB115" s="21">
        <f>EXP(-LN(2)/2)*AB114+(1-EXP(-LN(2)/2))/(LN(2)/2)*V115*Y115*VLOOKUP('Données projet'!$B$9,Paramètres!$A$1:$I$89,3,0)*0.475*44/12</f>
        <v>8.081151764574695E-12</v>
      </c>
      <c r="AC115" s="22">
        <f t="shared" si="57"/>
        <v>2.8838634876281826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-5.1159076974727213E-13</v>
      </c>
      <c r="AJ115" s="13">
        <f>AI115*VLOOKUP('Données projet'!$B$10,Paramètres!$A$1:$I$89,3,0)*VLOOKUP('Données projet'!$B$10,Paramètres!$A$1:$I$89,5,0)</f>
        <v>-4.4692569645121704E-13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402.82278346470082</v>
      </c>
      <c r="AO115" s="59">
        <f t="shared" si="90"/>
        <v>440.17787299198977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0.7062579830366934</v>
      </c>
      <c r="AV115" s="21">
        <f>EXP(-LN(2)/25)*AV114+(1-EXP(-LN(2)/25))/(LN(2)/25)*Calculateur!AQ115*Calculateur!AS115*VLOOKUP('Données projet'!$B$10,Paramètres!$A$1:$I$89,3,0)*0.475*44/12</f>
        <v>2.3195749681234172</v>
      </c>
      <c r="AW115" s="21">
        <f>EXP(-LN(2)/2)*AW114+(1-EXP(-LN(2)/2))/(LN(2)/2)*AQ115*AT115*VLOOKUP('Données projet'!$B$10,Paramètres!$A$1:$I$89,3,0)*0.475*44/12</f>
        <v>1.2003421178066277E-11</v>
      </c>
      <c r="AX115" s="21">
        <f t="shared" si="60"/>
        <v>3.0258329511721138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4.5</v>
      </c>
      <c r="BD115" s="12">
        <f>IF('Données projet'!$A$88&gt;35,BD114+BC115-BL114,IF(A115&lt;'Données projet'!$A$88,$BA$205^A115,IF(A115='Données projet'!$A$88,'Données projet'!$B$88,BD114+BC115-BL114)))</f>
        <v>315.99999999999966</v>
      </c>
      <c r="BE115" s="13">
        <f>BD115*VLOOKUP('Données projet'!$B$11,Paramètres!$A$1:$I$89,3,0)*VLOOKUP('Données projet'!$B$11,Paramètres!$A$1:$I$89,5,0)</f>
        <v>285.91679999999968</v>
      </c>
      <c r="BF115" s="13">
        <f t="shared" si="91"/>
        <v>68.215872977287475</v>
      </c>
      <c r="BG115" s="20">
        <f t="shared" si="61"/>
        <v>616.7810721021084</v>
      </c>
      <c r="BH115" s="59">
        <f t="shared" si="62"/>
        <v>910.11440543544177</v>
      </c>
      <c r="BI115" s="59">
        <f ca="1">AVERAGE(OFFSET($BH$3,0,0,'Données projet'!$E$11+1,1))-AVERAGE(OFFSET($H$3,0,0,'Données projet'!$E$11+1,1))</f>
        <v>469.68830256438338</v>
      </c>
      <c r="BJ115" s="59">
        <f t="shared" si="92"/>
        <v>332.61387922152159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0.47477288670984175</v>
      </c>
      <c r="BQ115" s="21">
        <f>EXP(-LN(2)/25)*BQ114+(1-EXP(-LN(2)/25))/(LN(2)/25)*Calculateur!BL115*Calculateur!BN115*VLOOKUP('Données projet'!$B$11,Paramètres!$A$1:$I$89,3,0)*0.475*44/12</f>
        <v>1.1615534855151406</v>
      </c>
      <c r="BR115" s="21">
        <f>EXP(-LN(2)/2)*BR114+(1-EXP(-LN(2)/2))/(LN(2)/2)*BL115*BO115*VLOOKUP('Données projet'!$B$11,Paramètres!$A$1:$I$89,3,0)*0.475*44/12</f>
        <v>9.8013228007888222E-12</v>
      </c>
      <c r="BS115" s="22">
        <f t="shared" si="63"/>
        <v>1.6363263722347836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5.8</v>
      </c>
      <c r="BY115" s="12">
        <f>IF('Données projet'!$A$114&gt;35,BY114+BX115-CG114,IF(A115&lt;'Données projet'!$A$114,$BV$205^A115,IF(A115='Données projet'!$A$114,'Données projet'!$B$114,BY114+BX115-CG114)))</f>
        <v>407.60000000000014</v>
      </c>
      <c r="BZ115" s="13">
        <f>BY115*VLOOKUP('Données projet'!$B$12,Paramètres!$A$1:$I$89,3,0)*VLOOKUP('Données projet'!$B$12,Paramètres!$A$1:$I$89,5,0)</f>
        <v>387.87216000000012</v>
      </c>
      <c r="CA115" s="13">
        <f t="shared" si="93"/>
        <v>89.313543345125566</v>
      </c>
      <c r="CB115" s="20">
        <f t="shared" si="64"/>
        <v>831.09843332609398</v>
      </c>
      <c r="CC115" s="59">
        <f t="shared" si="65"/>
        <v>1124.4317666594272</v>
      </c>
      <c r="CD115" s="59">
        <f ca="1">AVERAGE(OFFSET($CC$3,0,0,'Données projet'!$E$12+1,1))-AVERAGE(OFFSET($H$3,0,0,'Données projet'!$E$12+1,1))</f>
        <v>609.40025883662452</v>
      </c>
      <c r="CE115" s="59">
        <f t="shared" si="94"/>
        <v>294.48909834404577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0.40586939902454011</v>
      </c>
      <c r="CM115" s="21">
        <f>EXP(-LN(2)/2)*CM114+(1-EXP(-LN(2)/2))/(LN(2)/2)*CG115*CJ115*VLOOKUP('Données projet'!$B$12,Paramètres!$A$1:$I$89,3,0)*0.475*44/12</f>
        <v>3.5726210873971541E-12</v>
      </c>
      <c r="CN115" s="22">
        <f t="shared" si="66"/>
        <v>0.40586939902811275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-1.1368683772161603E-13</v>
      </c>
      <c r="CU115" s="17">
        <f>CT115*VLOOKUP('Données projet'!$B$13,Paramètres!$A$1:$I$89,3,0)*VLOOKUP('Données projet'!$B$13,Paramètres!$A$1:$I$89,5,0)</f>
        <v>-5.3205440053716299E-14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346.16623654404509</v>
      </c>
      <c r="CZ115" s="59">
        <f t="shared" si="96"/>
        <v>281.80933156559087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0.61788735092742364</v>
      </c>
      <c r="DG115" s="21">
        <f>EXP(-LN(2)/25)*DG114+(1-EXP(-LN(2)/25))/(LN(2)/25)*Calculateur!DB115*Calculateur!DD115*VLOOKUP('Données projet'!$B$13,Paramètres!$A$1:$I$89,3,0)*0.475*44/12</f>
        <v>0.80871123480180518</v>
      </c>
      <c r="DH115" s="21">
        <f>EXP(-LN(2)/2)*DH114+(1-EXP(-LN(2)/2))/(LN(2)/2)*DB115*DE115*VLOOKUP('Données projet'!$B$13,Paramètres!$A$1:$I$89,3,0)*0.475*44/12</f>
        <v>4.4711562078628012E-12</v>
      </c>
      <c r="DI115" s="22">
        <f t="shared" si="69"/>
        <v>1.4265985857337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6.2527760746888816E-13</v>
      </c>
      <c r="DP115" s="17">
        <f>DO115*VLOOKUP('Données projet'!$B$14,Paramètres!$A$1:$I$89,3,0)*VLOOKUP('Données projet'!$B$14,Paramètres!$A$1:$I$89,5,0)</f>
        <v>3.9017322706058616E-13</v>
      </c>
      <c r="DQ115" s="13">
        <f t="shared" si="97"/>
        <v>5.0025007393608908E-12</v>
      </c>
      <c r="DR115" s="20">
        <f t="shared" si="70"/>
        <v>9.3922404915174053E-12</v>
      </c>
      <c r="DS115" s="59">
        <f t="shared" si="71"/>
        <v>293.33333333334269</v>
      </c>
      <c r="DT115" s="59">
        <f ca="1">AVERAGE(OFFSET($DS$3,0,0,'Données projet'!$E$14+1,1))-AVERAGE(OFFSET($H$3,0,0,'Données projet'!$E$14+1,1))</f>
        <v>319.97171762304686</v>
      </c>
      <c r="DU115" s="59">
        <f t="shared" si="98"/>
        <v>337.89345858359621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1.3706354387774093</v>
      </c>
      <c r="EB115" s="21">
        <f>EXP(-LN(2)/25)*EB114+(1-EXP(-LN(2)/25))/(LN(2)/25)*Calculateur!DW115*Calculateur!DY115*VLOOKUP('Données projet'!$B$14,Paramètres!$A$1:$I$89,3,0)*0.475*44/12</f>
        <v>2.1400918342072965</v>
      </c>
      <c r="EC115" s="21">
        <f>EXP(-LN(2)/2)*EC114+(1-EXP(-LN(2)/2))/(LN(2)/2)*DW115*DZ115*VLOOKUP('Données projet'!$B$14,Paramètres!$A$1:$I$89,3,0)*0.475*44/12</f>
        <v>9.1817198625517922E-12</v>
      </c>
      <c r="ED115" s="22">
        <f t="shared" si="72"/>
        <v>3.5107272729938876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>
        <f>EJ115*VLOOKUP('Données projet'!$B$15,Paramètres!$A$1:$I$89,3,0)*VLOOKUP('Données projet'!$B$15,Paramètres!$A$1:$I$89,5,0)</f>
        <v>0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258.46015871559956</v>
      </c>
      <c r="EP115" s="59">
        <f t="shared" si="100"/>
        <v>280.26155987300996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1.2245587966391203</v>
      </c>
      <c r="EW115" s="21">
        <f>EXP(-LN(2)/25)*EW114+(1-EXP(-LN(2)/25))/(LN(2)/25)*Calculateur!ER115*Calculateur!ET115*VLOOKUP('Données projet'!$B$15,Paramètres!$A$1:$I$89,3,0)*0.475*44/12</f>
        <v>1.2694504822118688</v>
      </c>
      <c r="EX115" s="21">
        <f>EXP(-LN(2)/2)*EX114+(1-EXP(-LN(2)/2))/(LN(2)/2)*ER115*EU115*VLOOKUP('Données projet'!$B$15,Paramètres!$A$1:$I$89,3,0)*0.475*44/12</f>
        <v>2.4764141808528488E-12</v>
      </c>
      <c r="EY115" s="22">
        <f t="shared" si="75"/>
        <v>2.4940092788534654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243.00000000000017</v>
      </c>
      <c r="O116" s="13">
        <f>N116*VLOOKUP('Données projet'!$B$9,Paramètres!$A$1:$I$89,3,0)*VLOOKUP('Données projet'!$B$9,Paramètres!$A$1:$I$89,5,0)</f>
        <v>212.28480000000016</v>
      </c>
      <c r="P116" s="13">
        <f t="shared" si="87"/>
        <v>52.434557099704236</v>
      </c>
      <c r="Q116" s="20">
        <f t="shared" si="107"/>
        <v>461.0528802819851</v>
      </c>
      <c r="R116" s="59">
        <f t="shared" si="55"/>
        <v>754.38621361531841</v>
      </c>
      <c r="S116" s="59">
        <f ca="1">AVERAGE(OFFSET($R$3,0,0,'Données projet'!$E$9+1,1))-AVERAGE(OFFSET($H$3,0,0,'Données projet'!$E$9+1,1))</f>
        <v>368.41876532159154</v>
      </c>
      <c r="T116" s="59">
        <f t="shared" si="88"/>
        <v>369.39570124551125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1.1901252588935431</v>
      </c>
      <c r="AA116" s="21">
        <f>EXP(-LN(2)/25)*AA115+(1-EXP(-LN(2)/25))/(LN(2)/25)*Calculateur!V116*Calculateur!X116*VLOOKUP('Données projet'!$B$9,Paramètres!$A$1:$I$89,3,0)*0.475*44/12</f>
        <v>1.6242693803343888</v>
      </c>
      <c r="AB116" s="21">
        <f>EXP(-LN(2)/2)*AB115+(1-EXP(-LN(2)/2))/(LN(2)/2)*V116*Y116*VLOOKUP('Données projet'!$B$9,Paramètres!$A$1:$I$89,3,0)*0.475*44/12</f>
        <v>5.7142372125284013E-12</v>
      </c>
      <c r="AC116" s="22">
        <f t="shared" si="57"/>
        <v>2.8143946392336461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-5.1159076974727213E-13</v>
      </c>
      <c r="AJ116" s="13">
        <f>AI116*VLOOKUP('Données projet'!$B$10,Paramètres!$A$1:$I$89,3,0)*VLOOKUP('Données projet'!$B$10,Paramètres!$A$1:$I$89,5,0)</f>
        <v>-4.4692569645121704E-13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402.82278346470082</v>
      </c>
      <c r="AO116" s="59">
        <f t="shared" si="90"/>
        <v>440.17787299198977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0.69240869476417799</v>
      </c>
      <c r="AV116" s="21">
        <f>EXP(-LN(2)/25)*AV115+(1-EXP(-LN(2)/25))/(LN(2)/25)*Calculateur!AQ116*Calculateur!AS116*VLOOKUP('Données projet'!$B$10,Paramètres!$A$1:$I$89,3,0)*0.475*44/12</f>
        <v>2.2561460686389361</v>
      </c>
      <c r="AW116" s="21">
        <f>EXP(-LN(2)/2)*AW115+(1-EXP(-LN(2)/2))/(LN(2)/2)*AQ116*AT116*VLOOKUP('Données projet'!$B$10,Paramètres!$A$1:$I$89,3,0)*0.475*44/12</f>
        <v>8.487700512448881E-12</v>
      </c>
      <c r="AX116" s="21">
        <f t="shared" si="60"/>
        <v>2.9485547634116021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4.5</v>
      </c>
      <c r="BD116" s="12">
        <f>IF('Données projet'!$A$88&gt;35,BD115+BC116-BL115,IF(A116&lt;'Données projet'!$A$88,$BA$205^A116,IF(A116='Données projet'!$A$88,'Données projet'!$B$88,BD115+BC116-BL115)))</f>
        <v>320.49999999999966</v>
      </c>
      <c r="BE116" s="13">
        <f>BD116*VLOOKUP('Données projet'!$B$11,Paramètres!$A$1:$I$89,3,0)*VLOOKUP('Données projet'!$B$11,Paramètres!$A$1:$I$89,5,0)</f>
        <v>289.98839999999967</v>
      </c>
      <c r="BF116" s="13">
        <f t="shared" si="91"/>
        <v>69.073519602481454</v>
      </c>
      <c r="BG116" s="20">
        <f t="shared" si="61"/>
        <v>625.36617664098787</v>
      </c>
      <c r="BH116" s="59">
        <f t="shared" si="62"/>
        <v>918.69950997432124</v>
      </c>
      <c r="BI116" s="59">
        <f ca="1">AVERAGE(OFFSET($BH$3,0,0,'Données projet'!$E$11+1,1))-AVERAGE(OFFSET($H$3,0,0,'Données projet'!$E$11+1,1))</f>
        <v>469.68830256438338</v>
      </c>
      <c r="BJ116" s="59">
        <f t="shared" si="92"/>
        <v>332.61387922152159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0.46546287998432873</v>
      </c>
      <c r="BQ116" s="21">
        <f>EXP(-LN(2)/25)*BQ115+(1-EXP(-LN(2)/25))/(LN(2)/25)*Calculateur!BL116*Calculateur!BN116*VLOOKUP('Données projet'!$B$11,Paramètres!$A$1:$I$89,3,0)*0.475*44/12</f>
        <v>1.1297907443702859</v>
      </c>
      <c r="BR116" s="21">
        <f>EXP(-LN(2)/2)*BR115+(1-EXP(-LN(2)/2))/(LN(2)/2)*BL116*BO116*VLOOKUP('Données projet'!$B$11,Paramètres!$A$1:$I$89,3,0)*0.475*44/12</f>
        <v>6.9305818170361009E-12</v>
      </c>
      <c r="BS116" s="22">
        <f t="shared" si="63"/>
        <v>1.5952536243615454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5.8</v>
      </c>
      <c r="BY116" s="12">
        <f>IF('Données projet'!$A$114&gt;35,BY115+BX116-CG115,IF(A116&lt;'Données projet'!$A$114,$BV$205^A116,IF(A116='Données projet'!$A$114,'Données projet'!$B$114,BY115+BX116-CG115)))</f>
        <v>413.40000000000015</v>
      </c>
      <c r="BZ116" s="13">
        <f>BY116*VLOOKUP('Données projet'!$B$12,Paramètres!$A$1:$I$89,3,0)*VLOOKUP('Données projet'!$B$12,Paramètres!$A$1:$I$89,5,0)</f>
        <v>393.39144000000016</v>
      </c>
      <c r="CA116" s="13">
        <f t="shared" si="93"/>
        <v>90.435584845907428</v>
      </c>
      <c r="CB116" s="20">
        <f t="shared" si="64"/>
        <v>842.66540160662237</v>
      </c>
      <c r="CC116" s="59">
        <f t="shared" si="65"/>
        <v>1135.9987349399557</v>
      </c>
      <c r="CD116" s="59">
        <f ca="1">AVERAGE(OFFSET($CC$3,0,0,'Données projet'!$E$12+1,1))-AVERAGE(OFFSET($H$3,0,0,'Données projet'!$E$12+1,1))</f>
        <v>609.40025883662452</v>
      </c>
      <c r="CE116" s="59">
        <f t="shared" si="94"/>
        <v>294.48909834404577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0.39477087896447</v>
      </c>
      <c r="CM116" s="21">
        <f>EXP(-LN(2)/2)*CM115+(1-EXP(-LN(2)/2))/(LN(2)/2)*CG116*CJ116*VLOOKUP('Données projet'!$B$12,Paramètres!$A$1:$I$89,3,0)*0.475*44/12</f>
        <v>2.5262245975085853E-12</v>
      </c>
      <c r="CN116" s="22">
        <f t="shared" si="66"/>
        <v>0.3947708789669962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-1.1368683772161603E-13</v>
      </c>
      <c r="CU116" s="17">
        <f>CT116*VLOOKUP('Données projet'!$B$13,Paramètres!$A$1:$I$89,3,0)*VLOOKUP('Données projet'!$B$13,Paramètres!$A$1:$I$89,5,0)</f>
        <v>-5.3205440053716299E-14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346.16623654404509</v>
      </c>
      <c r="CZ116" s="59">
        <f t="shared" si="96"/>
        <v>281.80933156559087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0.60577095684980775</v>
      </c>
      <c r="DG116" s="21">
        <f>EXP(-LN(2)/25)*DG115+(1-EXP(-LN(2)/25))/(LN(2)/25)*Calculateur!DB116*Calculateur!DD116*VLOOKUP('Données projet'!$B$13,Paramètres!$A$1:$I$89,3,0)*0.475*44/12</f>
        <v>0.78659698355787433</v>
      </c>
      <c r="DH116" s="21">
        <f>EXP(-LN(2)/2)*DH115+(1-EXP(-LN(2)/2))/(LN(2)/2)*DB116*DE116*VLOOKUP('Données projet'!$B$13,Paramètres!$A$1:$I$89,3,0)*0.475*44/12</f>
        <v>3.1615848743241154E-12</v>
      </c>
      <c r="DI116" s="22">
        <f t="shared" si="69"/>
        <v>1.3923679404108438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6.2527760746888816E-13</v>
      </c>
      <c r="DP116" s="17">
        <f>DO116*VLOOKUP('Données projet'!$B$14,Paramètres!$A$1:$I$89,3,0)*VLOOKUP('Données projet'!$B$14,Paramètres!$A$1:$I$89,5,0)</f>
        <v>3.9017322706058616E-13</v>
      </c>
      <c r="DQ116" s="13">
        <f t="shared" si="97"/>
        <v>5.0025007393608908E-12</v>
      </c>
      <c r="DR116" s="20">
        <f t="shared" si="70"/>
        <v>9.3922404915174053E-12</v>
      </c>
      <c r="DS116" s="59">
        <f t="shared" si="71"/>
        <v>293.33333333334269</v>
      </c>
      <c r="DT116" s="59">
        <f ca="1">AVERAGE(OFFSET($DS$3,0,0,'Données projet'!$E$14+1,1))-AVERAGE(OFFSET($H$3,0,0,'Données projet'!$E$14+1,1))</f>
        <v>319.97171762304686</v>
      </c>
      <c r="DU116" s="59">
        <f t="shared" si="98"/>
        <v>337.89345858359621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1.3437581138280534</v>
      </c>
      <c r="EB116" s="21">
        <f>EXP(-LN(2)/25)*EB115+(1-EXP(-LN(2)/25))/(LN(2)/25)*Calculateur!DW116*Calculateur!DY116*VLOOKUP('Données projet'!$B$14,Paramètres!$A$1:$I$89,3,0)*0.475*44/12</f>
        <v>2.0815709104583595</v>
      </c>
      <c r="EC116" s="21">
        <f>EXP(-LN(2)/2)*EC115+(1-EXP(-LN(2)/2))/(LN(2)/2)*DW116*DZ116*VLOOKUP('Données projet'!$B$14,Paramètres!$A$1:$I$89,3,0)*0.475*44/12</f>
        <v>6.4924563777655874E-12</v>
      </c>
      <c r="ED116" s="22">
        <f t="shared" si="72"/>
        <v>3.4253290242929055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>
        <f>EJ116*VLOOKUP('Données projet'!$B$15,Paramètres!$A$1:$I$89,3,0)*VLOOKUP('Données projet'!$B$15,Paramètres!$A$1:$I$89,5,0)</f>
        <v>0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258.46015871559956</v>
      </c>
      <c r="EP116" s="59">
        <f t="shared" si="100"/>
        <v>280.26155987300996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1.2005459455441421</v>
      </c>
      <c r="EW116" s="21">
        <f>EXP(-LN(2)/25)*EW115+(1-EXP(-LN(2)/25))/(LN(2)/25)*Calculateur!ER116*Calculateur!ET116*VLOOKUP('Données projet'!$B$15,Paramètres!$A$1:$I$89,3,0)*0.475*44/12</f>
        <v>1.2347372920182857</v>
      </c>
      <c r="EX116" s="21">
        <f>EXP(-LN(2)/2)*EX115+(1-EXP(-LN(2)/2))/(LN(2)/2)*ER116*EU116*VLOOKUP('Données projet'!$B$15,Paramètres!$A$1:$I$89,3,0)*0.475*44/12</f>
        <v>1.7510892603075787E-12</v>
      </c>
      <c r="EY116" s="22">
        <f t="shared" si="75"/>
        <v>2.4352832375641786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243.00000000000017</v>
      </c>
      <c r="O117" s="13">
        <f>N117*VLOOKUP('Données projet'!$B$9,Paramètres!$A$1:$I$89,3,0)*VLOOKUP('Données projet'!$B$9,Paramètres!$A$1:$I$89,5,0)</f>
        <v>212.28480000000016</v>
      </c>
      <c r="P117" s="13">
        <f t="shared" si="87"/>
        <v>52.434557099704236</v>
      </c>
      <c r="Q117" s="20">
        <f t="shared" si="107"/>
        <v>461.0528802819851</v>
      </c>
      <c r="R117" s="59">
        <f t="shared" si="55"/>
        <v>754.38621361531841</v>
      </c>
      <c r="S117" s="59">
        <f ca="1">AVERAGE(OFFSET($R$3,0,0,'Données projet'!$E$9+1,1))-AVERAGE(OFFSET($H$3,0,0,'Données projet'!$E$9+1,1))</f>
        <v>368.41876532159154</v>
      </c>
      <c r="T117" s="59">
        <f t="shared" si="88"/>
        <v>369.39570124551125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1.1667876284713716</v>
      </c>
      <c r="AA117" s="21">
        <f>EXP(-LN(2)/25)*AA116+(1-EXP(-LN(2)/25))/(LN(2)/25)*Calculateur!V117*Calculateur!X117*VLOOKUP('Données projet'!$B$9,Paramètres!$A$1:$I$89,3,0)*0.475*44/12</f>
        <v>1.5798536487125305</v>
      </c>
      <c r="AB117" s="21">
        <f>EXP(-LN(2)/2)*AB116+(1-EXP(-LN(2)/2))/(LN(2)/2)*V117*Y117*VLOOKUP('Données projet'!$B$9,Paramètres!$A$1:$I$89,3,0)*0.475*44/12</f>
        <v>4.0405758822873475E-12</v>
      </c>
      <c r="AC117" s="22">
        <f t="shared" si="57"/>
        <v>2.7466412771879427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-5.1159076974727213E-13</v>
      </c>
      <c r="AJ117" s="13">
        <f>AI117*VLOOKUP('Données projet'!$B$10,Paramètres!$A$1:$I$89,3,0)*VLOOKUP('Données projet'!$B$10,Paramètres!$A$1:$I$89,5,0)</f>
        <v>-4.4692569645121704E-13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402.82278346470082</v>
      </c>
      <c r="AO117" s="59">
        <f t="shared" si="90"/>
        <v>440.17787299198977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0.67883098258745489</v>
      </c>
      <c r="AV117" s="21">
        <f>EXP(-LN(2)/25)*AV116+(1-EXP(-LN(2)/25))/(LN(2)/25)*Calculateur!AQ117*Calculateur!AS117*VLOOKUP('Données projet'!$B$10,Paramètres!$A$1:$I$89,3,0)*0.475*44/12</f>
        <v>2.194451635746439</v>
      </c>
      <c r="AW117" s="21">
        <f>EXP(-LN(2)/2)*AW116+(1-EXP(-LN(2)/2))/(LN(2)/2)*AQ117*AT117*VLOOKUP('Données projet'!$B$10,Paramètres!$A$1:$I$89,3,0)*0.475*44/12</f>
        <v>6.0017105890331383E-12</v>
      </c>
      <c r="AX117" s="21">
        <f t="shared" si="60"/>
        <v>2.8732826183398958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4.5</v>
      </c>
      <c r="BD117" s="12">
        <f>IF('Données projet'!$A$88&gt;35,BD116+BC117-BL116,IF(A117&lt;'Données projet'!$A$88,$BA$205^A117,IF(A117='Données projet'!$A$88,'Données projet'!$B$88,BD116+BC117-BL116)))</f>
        <v>324.99999999999966</v>
      </c>
      <c r="BE117" s="13">
        <f>BD117*VLOOKUP('Données projet'!$B$11,Paramètres!$A$1:$I$89,3,0)*VLOOKUP('Données projet'!$B$11,Paramètres!$A$1:$I$89,5,0)</f>
        <v>294.05999999999972</v>
      </c>
      <c r="BF117" s="13">
        <f t="shared" si="91"/>
        <v>69.929765653573313</v>
      </c>
      <c r="BG117" s="20">
        <f t="shared" si="61"/>
        <v>633.94884184663977</v>
      </c>
      <c r="BH117" s="59">
        <f t="shared" si="62"/>
        <v>927.28217517997314</v>
      </c>
      <c r="BI117" s="59">
        <f ca="1">AVERAGE(OFFSET($BH$3,0,0,'Données projet'!$E$11+1,1))-AVERAGE(OFFSET($H$3,0,0,'Données projet'!$E$11+1,1))</f>
        <v>469.68830256438338</v>
      </c>
      <c r="BJ117" s="59">
        <f t="shared" si="92"/>
        <v>332.61387922152159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0.4563354368121596</v>
      </c>
      <c r="BQ117" s="21">
        <f>EXP(-LN(2)/25)*BQ116+(1-EXP(-LN(2)/25))/(LN(2)/25)*Calculateur!BL117*Calculateur!BN117*VLOOKUP('Données projet'!$B$11,Paramètres!$A$1:$I$89,3,0)*0.475*44/12</f>
        <v>1.0988965570523674</v>
      </c>
      <c r="BR117" s="21">
        <f>EXP(-LN(2)/2)*BR116+(1-EXP(-LN(2)/2))/(LN(2)/2)*BL117*BO117*VLOOKUP('Données projet'!$B$11,Paramètres!$A$1:$I$89,3,0)*0.475*44/12</f>
        <v>4.9006614003944111E-12</v>
      </c>
      <c r="BS117" s="22">
        <f t="shared" si="63"/>
        <v>1.5552319938694279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5.8</v>
      </c>
      <c r="BY117" s="12">
        <f>IF('Données projet'!$A$114&gt;35,BY116+BX117-CG116,IF(A117&lt;'Données projet'!$A$114,$BV$205^A117,IF(A117='Données projet'!$A$114,'Données projet'!$B$114,BY116+BX117-CG116)))</f>
        <v>419.20000000000016</v>
      </c>
      <c r="BZ117" s="13">
        <f>BY117*VLOOKUP('Données projet'!$B$12,Paramètres!$A$1:$I$89,3,0)*VLOOKUP('Données projet'!$B$12,Paramètres!$A$1:$I$89,5,0)</f>
        <v>398.9107200000002</v>
      </c>
      <c r="CA117" s="13">
        <f t="shared" si="93"/>
        <v>91.555795382228737</v>
      </c>
      <c r="CB117" s="20">
        <f t="shared" si="64"/>
        <v>854.22918095738203</v>
      </c>
      <c r="CC117" s="59">
        <f t="shared" si="65"/>
        <v>1147.5625142907154</v>
      </c>
      <c r="CD117" s="59">
        <f ca="1">AVERAGE(OFFSET($CC$3,0,0,'Données projet'!$E$12+1,1))-AVERAGE(OFFSET($H$3,0,0,'Données projet'!$E$12+1,1))</f>
        <v>609.40025883662452</v>
      </c>
      <c r="CE117" s="59">
        <f t="shared" si="94"/>
        <v>294.48909834404577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0.38397584851908828</v>
      </c>
      <c r="CM117" s="21">
        <f>EXP(-LN(2)/2)*CM116+(1-EXP(-LN(2)/2))/(LN(2)/2)*CG117*CJ117*VLOOKUP('Données projet'!$B$12,Paramètres!$A$1:$I$89,3,0)*0.475*44/12</f>
        <v>1.7863105436985775E-12</v>
      </c>
      <c r="CN117" s="22">
        <f t="shared" si="66"/>
        <v>0.38397584852087457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-1.1368683772161603E-13</v>
      </c>
      <c r="CU117" s="17">
        <f>CT117*VLOOKUP('Données projet'!$B$13,Paramètres!$A$1:$I$89,3,0)*VLOOKUP('Données projet'!$B$13,Paramètres!$A$1:$I$89,5,0)</f>
        <v>-5.3205440053716299E-14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346.16623654404509</v>
      </c>
      <c r="CZ117" s="59">
        <f t="shared" si="96"/>
        <v>281.80933156559087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0.59389215786978322</v>
      </c>
      <c r="DG117" s="21">
        <f>EXP(-LN(2)/25)*DG116+(1-EXP(-LN(2)/25))/(LN(2)/25)*Calculateur!DB117*Calculateur!DD117*VLOOKUP('Données projet'!$B$13,Paramètres!$A$1:$I$89,3,0)*0.475*44/12</f>
        <v>0.76508744767714665</v>
      </c>
      <c r="DH117" s="21">
        <f>EXP(-LN(2)/2)*DH116+(1-EXP(-LN(2)/2))/(LN(2)/2)*DB117*DE117*VLOOKUP('Données projet'!$B$13,Paramètres!$A$1:$I$89,3,0)*0.475*44/12</f>
        <v>2.2355781039314006E-12</v>
      </c>
      <c r="DI117" s="22">
        <f t="shared" si="69"/>
        <v>1.3589796055491654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6.2527760746888816E-13</v>
      </c>
      <c r="DP117" s="17">
        <f>DO117*VLOOKUP('Données projet'!$B$14,Paramètres!$A$1:$I$89,3,0)*VLOOKUP('Données projet'!$B$14,Paramètres!$A$1:$I$89,5,0)</f>
        <v>3.9017322706058616E-13</v>
      </c>
      <c r="DQ117" s="13">
        <f t="shared" si="97"/>
        <v>5.0025007393608908E-12</v>
      </c>
      <c r="DR117" s="20">
        <f t="shared" si="70"/>
        <v>9.3922404915174053E-12</v>
      </c>
      <c r="DS117" s="59">
        <f t="shared" si="71"/>
        <v>293.33333333334269</v>
      </c>
      <c r="DT117" s="59">
        <f ca="1">AVERAGE(OFFSET($DS$3,0,0,'Données projet'!$E$14+1,1))-AVERAGE(OFFSET($H$3,0,0,'Données projet'!$E$14+1,1))</f>
        <v>319.97171762304686</v>
      </c>
      <c r="DU117" s="59">
        <f t="shared" si="98"/>
        <v>337.89345858359621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1.3174078368274049</v>
      </c>
      <c r="EB117" s="21">
        <f>EXP(-LN(2)/25)*EB116+(1-EXP(-LN(2)/25))/(LN(2)/25)*Calculateur!DW117*Calculateur!DY117*VLOOKUP('Données projet'!$B$14,Paramètres!$A$1:$I$89,3,0)*0.475*44/12</f>
        <v>2.0246502444468191</v>
      </c>
      <c r="EC117" s="21">
        <f>EXP(-LN(2)/2)*EC116+(1-EXP(-LN(2)/2))/(LN(2)/2)*DW117*DZ117*VLOOKUP('Données projet'!$B$14,Paramètres!$A$1:$I$89,3,0)*0.475*44/12</f>
        <v>4.5908599312758961E-12</v>
      </c>
      <c r="ED117" s="22">
        <f t="shared" si="72"/>
        <v>3.342058081278815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>
        <f>EJ117*VLOOKUP('Données projet'!$B$15,Paramètres!$A$1:$I$89,3,0)*VLOOKUP('Données projet'!$B$15,Paramètres!$A$1:$I$89,5,0)</f>
        <v>0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258.46015871559956</v>
      </c>
      <c r="EP117" s="59">
        <f t="shared" si="100"/>
        <v>280.26155987300996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1.1770039718127434</v>
      </c>
      <c r="EW117" s="21">
        <f>EXP(-LN(2)/25)*EW116+(1-EXP(-LN(2)/25))/(LN(2)/25)*Calculateur!ER117*Calculateur!ET117*VLOOKUP('Données projet'!$B$15,Paramètres!$A$1:$I$89,3,0)*0.475*44/12</f>
        <v>1.2009733358360335</v>
      </c>
      <c r="EX117" s="21">
        <f>EXP(-LN(2)/2)*EX116+(1-EXP(-LN(2)/2))/(LN(2)/2)*ER117*EU117*VLOOKUP('Données projet'!$B$15,Paramètres!$A$1:$I$89,3,0)*0.475*44/12</f>
        <v>1.2382070904264244E-12</v>
      </c>
      <c r="EY117" s="22">
        <f t="shared" si="75"/>
        <v>2.3779773076500152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243.00000000000017</v>
      </c>
      <c r="O118" s="13">
        <f>N118*VLOOKUP('Données projet'!$B$9,Paramètres!$A$1:$I$89,3,0)*VLOOKUP('Données projet'!$B$9,Paramètres!$A$1:$I$89,5,0)</f>
        <v>212.28480000000016</v>
      </c>
      <c r="P118" s="13">
        <f t="shared" si="87"/>
        <v>52.434557099704236</v>
      </c>
      <c r="Q118" s="20">
        <f t="shared" si="107"/>
        <v>461.0528802819851</v>
      </c>
      <c r="R118" s="59">
        <f t="shared" si="55"/>
        <v>754.38621361531841</v>
      </c>
      <c r="S118" s="59">
        <f ca="1">AVERAGE(OFFSET($R$3,0,0,'Données projet'!$E$9+1,1))-AVERAGE(OFFSET($H$3,0,0,'Données projet'!$E$9+1,1))</f>
        <v>368.41876532159154</v>
      </c>
      <c r="T118" s="59">
        <f t="shared" si="88"/>
        <v>369.39570124551125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1.1439076347472299</v>
      </c>
      <c r="AA118" s="21">
        <f>EXP(-LN(2)/25)*AA117+(1-EXP(-LN(2)/25))/(LN(2)/25)*Calculateur!V118*Calculateur!X118*VLOOKUP('Données projet'!$B$9,Paramètres!$A$1:$I$89,3,0)*0.475*44/12</f>
        <v>1.5366524676075939</v>
      </c>
      <c r="AB118" s="21">
        <f>EXP(-LN(2)/2)*AB117+(1-EXP(-LN(2)/2))/(LN(2)/2)*V118*Y118*VLOOKUP('Données projet'!$B$9,Paramètres!$A$1:$I$89,3,0)*0.475*44/12</f>
        <v>2.8571186062642007E-12</v>
      </c>
      <c r="AC118" s="22">
        <f t="shared" si="57"/>
        <v>2.6805601023576813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-5.1159076974727213E-13</v>
      </c>
      <c r="AJ118" s="13">
        <f>AI118*VLOOKUP('Données projet'!$B$10,Paramètres!$A$1:$I$89,3,0)*VLOOKUP('Données projet'!$B$10,Paramètres!$A$1:$I$89,5,0)</f>
        <v>-4.4692569645121704E-13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402.82278346470082</v>
      </c>
      <c r="AO118" s="59">
        <f t="shared" si="90"/>
        <v>440.17787299198977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0.66551952106493062</v>
      </c>
      <c r="AV118" s="21">
        <f>EXP(-LN(2)/25)*AV117+(1-EXP(-LN(2)/25))/(LN(2)/25)*Calculateur!AQ118*Calculateur!AS118*VLOOKUP('Données projet'!$B$10,Paramètres!$A$1:$I$89,3,0)*0.475*44/12</f>
        <v>2.1344442403657564</v>
      </c>
      <c r="AW118" s="21">
        <f>EXP(-LN(2)/2)*AW117+(1-EXP(-LN(2)/2))/(LN(2)/2)*AQ118*AT118*VLOOKUP('Données projet'!$B$10,Paramètres!$A$1:$I$89,3,0)*0.475*44/12</f>
        <v>4.2438502562244405E-12</v>
      </c>
      <c r="AX118" s="21">
        <f t="shared" si="60"/>
        <v>2.7999637614349306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4.5</v>
      </c>
      <c r="BD118" s="12">
        <f>IF('Données projet'!$A$88&gt;35,BD117+BC118-BL117,IF(A118&lt;'Données projet'!$A$88,$BA$205^A118,IF(A118='Données projet'!$A$88,'Données projet'!$B$88,BD117+BC118-BL117)))</f>
        <v>329.49999999999966</v>
      </c>
      <c r="BE118" s="13">
        <f>BD118*VLOOKUP('Données projet'!$B$11,Paramètres!$A$1:$I$89,3,0)*VLOOKUP('Données projet'!$B$11,Paramètres!$A$1:$I$89,5,0)</f>
        <v>298.13159999999965</v>
      </c>
      <c r="BF118" s="13">
        <f t="shared" si="91"/>
        <v>70.784632764375971</v>
      </c>
      <c r="BG118" s="20">
        <f t="shared" si="61"/>
        <v>642.52910539795425</v>
      </c>
      <c r="BH118" s="59">
        <f t="shared" si="62"/>
        <v>935.86243873128751</v>
      </c>
      <c r="BI118" s="59">
        <f ca="1">AVERAGE(OFFSET($BH$3,0,0,'Données projet'!$E$11+1,1))-AVERAGE(OFFSET($H$3,0,0,'Données projet'!$E$11+1,1))</f>
        <v>469.68830256438338</v>
      </c>
      <c r="BJ118" s="59">
        <f t="shared" si="92"/>
        <v>332.61387922152159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0.44738697723340609</v>
      </c>
      <c r="BQ118" s="21">
        <f>EXP(-LN(2)/25)*BQ117+(1-EXP(-LN(2)/25))/(LN(2)/25)*Calculateur!BL118*Calculateur!BN118*VLOOKUP('Données projet'!$B$11,Paramètres!$A$1:$I$89,3,0)*0.475*44/12</f>
        <v>1.068847172911312</v>
      </c>
      <c r="BR118" s="21">
        <f>EXP(-LN(2)/2)*BR117+(1-EXP(-LN(2)/2))/(LN(2)/2)*BL118*BO118*VLOOKUP('Données projet'!$B$11,Paramètres!$A$1:$I$89,3,0)*0.475*44/12</f>
        <v>3.4652909085180505E-12</v>
      </c>
      <c r="BS118" s="22">
        <f t="shared" si="63"/>
        <v>1.5162341501481833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5.8</v>
      </c>
      <c r="BY118" s="12">
        <f>IF('Données projet'!$A$114&gt;35,BY117+BX118-CG117,IF(A118&lt;'Données projet'!$A$114,$BV$205^A118,IF(A118='Données projet'!$A$114,'Données projet'!$B$114,BY117+BX118-CG117)))</f>
        <v>425.00000000000017</v>
      </c>
      <c r="BZ118" s="13">
        <f>BY118*VLOOKUP('Données projet'!$B$12,Paramètres!$A$1:$I$89,3,0)*VLOOKUP('Données projet'!$B$12,Paramètres!$A$1:$I$89,5,0)</f>
        <v>404.43000000000018</v>
      </c>
      <c r="CA118" s="13">
        <f t="shared" si="93"/>
        <v>92.674203214904111</v>
      </c>
      <c r="CB118" s="20">
        <f t="shared" si="64"/>
        <v>865.78982059929149</v>
      </c>
      <c r="CC118" s="59">
        <f t="shared" si="65"/>
        <v>1159.1231539326247</v>
      </c>
      <c r="CD118" s="59">
        <f ca="1">AVERAGE(OFFSET($CC$3,0,0,'Données projet'!$E$12+1,1))-AVERAGE(OFFSET($H$3,0,0,'Données projet'!$E$12+1,1))</f>
        <v>609.40025883662452</v>
      </c>
      <c r="CE118" s="59">
        <f t="shared" si="94"/>
        <v>294.48909834404577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0.37347600874892151</v>
      </c>
      <c r="CM118" s="21">
        <f>EXP(-LN(2)/2)*CM117+(1-EXP(-LN(2)/2))/(LN(2)/2)*CG118*CJ118*VLOOKUP('Données projet'!$B$12,Paramètres!$A$1:$I$89,3,0)*0.475*44/12</f>
        <v>1.2631122987542928E-12</v>
      </c>
      <c r="CN118" s="22">
        <f t="shared" si="66"/>
        <v>0.37347600875018461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-1.1368683772161603E-13</v>
      </c>
      <c r="CU118" s="17">
        <f>CT118*VLOOKUP('Données projet'!$B$13,Paramètres!$A$1:$I$89,3,0)*VLOOKUP('Données projet'!$B$13,Paramètres!$A$1:$I$89,5,0)</f>
        <v>-5.3205440053716299E-14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346.16623654404509</v>
      </c>
      <c r="CZ118" s="59">
        <f t="shared" si="96"/>
        <v>281.80933156559087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0.58224629489240498</v>
      </c>
      <c r="DG118" s="21">
        <f>EXP(-LN(2)/25)*DG117+(1-EXP(-LN(2)/25))/(LN(2)/25)*Calculateur!DB118*Calculateur!DD118*VLOOKUP('Données projet'!$B$13,Paramètres!$A$1:$I$89,3,0)*0.475*44/12</f>
        <v>0.7441660911862148</v>
      </c>
      <c r="DH118" s="21">
        <f>EXP(-LN(2)/2)*DH117+(1-EXP(-LN(2)/2))/(LN(2)/2)*DB118*DE118*VLOOKUP('Données projet'!$B$13,Paramètres!$A$1:$I$89,3,0)*0.475*44/12</f>
        <v>1.5807924371620577E-12</v>
      </c>
      <c r="DI118" s="22">
        <f t="shared" si="69"/>
        <v>1.3264123860802004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6.2527760746888816E-13</v>
      </c>
      <c r="DP118" s="17">
        <f>DO118*VLOOKUP('Données projet'!$B$14,Paramètres!$A$1:$I$89,3,0)*VLOOKUP('Données projet'!$B$14,Paramètres!$A$1:$I$89,5,0)</f>
        <v>3.9017322706058616E-13</v>
      </c>
      <c r="DQ118" s="13">
        <f t="shared" si="97"/>
        <v>5.0025007393608908E-12</v>
      </c>
      <c r="DR118" s="20">
        <f t="shared" si="70"/>
        <v>9.3922404915174053E-12</v>
      </c>
      <c r="DS118" s="59">
        <f t="shared" si="71"/>
        <v>293.33333333334269</v>
      </c>
      <c r="DT118" s="59">
        <f ca="1">AVERAGE(OFFSET($DS$3,0,0,'Données projet'!$E$14+1,1))-AVERAGE(OFFSET($H$3,0,0,'Données projet'!$E$14+1,1))</f>
        <v>319.97171762304686</v>
      </c>
      <c r="DU118" s="59">
        <f t="shared" si="98"/>
        <v>337.89345858359621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1.291574272686657</v>
      </c>
      <c r="EB118" s="21">
        <f>EXP(-LN(2)/25)*EB117+(1-EXP(-LN(2)/25))/(LN(2)/25)*Calculateur!DW118*Calculateur!DY118*VLOOKUP('Données projet'!$B$14,Paramètres!$A$1:$I$89,3,0)*0.475*44/12</f>
        <v>1.9692860770406919</v>
      </c>
      <c r="EC118" s="21">
        <f>EXP(-LN(2)/2)*EC117+(1-EXP(-LN(2)/2))/(LN(2)/2)*DW118*DZ118*VLOOKUP('Données projet'!$B$14,Paramètres!$A$1:$I$89,3,0)*0.475*44/12</f>
        <v>3.2462281888827937E-12</v>
      </c>
      <c r="ED118" s="22">
        <f t="shared" si="72"/>
        <v>3.2608603497305952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>
        <f>EJ118*VLOOKUP('Données projet'!$B$15,Paramètres!$A$1:$I$89,3,0)*VLOOKUP('Données projet'!$B$15,Paramètres!$A$1:$I$89,5,0)</f>
        <v>0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258.46015871559956</v>
      </c>
      <c r="EP118" s="59">
        <f t="shared" si="100"/>
        <v>280.26155987300996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1.1539236418270313</v>
      </c>
      <c r="EW118" s="21">
        <f>EXP(-LN(2)/25)*EW117+(1-EXP(-LN(2)/25))/(LN(2)/25)*Calculateur!ER118*Calculateur!ET118*VLOOKUP('Données projet'!$B$15,Paramètres!$A$1:$I$89,3,0)*0.475*44/12</f>
        <v>1.1681326568111543</v>
      </c>
      <c r="EX118" s="21">
        <f>EXP(-LN(2)/2)*EX117+(1-EXP(-LN(2)/2))/(LN(2)/2)*ER118*EU118*VLOOKUP('Données projet'!$B$15,Paramètres!$A$1:$I$89,3,0)*0.475*44/12</f>
        <v>8.7554463015378937E-13</v>
      </c>
      <c r="EY118" s="22">
        <f t="shared" si="75"/>
        <v>2.3220562986390614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243.00000000000017</v>
      </c>
      <c r="O119" s="13">
        <f>N119*VLOOKUP('Données projet'!$B$9,Paramètres!$A$1:$I$89,3,0)*VLOOKUP('Données projet'!$B$9,Paramètres!$A$1:$I$89,5,0)</f>
        <v>212.28480000000016</v>
      </c>
      <c r="P119" s="13">
        <f t="shared" si="87"/>
        <v>52.434557099704236</v>
      </c>
      <c r="Q119" s="20">
        <f t="shared" si="107"/>
        <v>461.0528802819851</v>
      </c>
      <c r="R119" s="59">
        <f t="shared" si="55"/>
        <v>754.38621361531841</v>
      </c>
      <c r="S119" s="59">
        <f ca="1">AVERAGE(OFFSET($R$3,0,0,'Données projet'!$E$9+1,1))-AVERAGE(OFFSET($H$3,0,0,'Données projet'!$E$9+1,1))</f>
        <v>368.41876532159154</v>
      </c>
      <c r="T119" s="59">
        <f t="shared" si="88"/>
        <v>369.39570124551125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1.1214763037446003</v>
      </c>
      <c r="AA119" s="21">
        <f>EXP(-LN(2)/25)*AA118+(1-EXP(-LN(2)/25))/(LN(2)/25)*Calculateur!V119*Calculateur!X119*VLOOKUP('Données projet'!$B$9,Paramètres!$A$1:$I$89,3,0)*0.475*44/12</f>
        <v>1.4946326250718229</v>
      </c>
      <c r="AB119" s="21">
        <f>EXP(-LN(2)/2)*AB118+(1-EXP(-LN(2)/2))/(LN(2)/2)*V119*Y119*VLOOKUP('Données projet'!$B$9,Paramètres!$A$1:$I$89,3,0)*0.475*44/12</f>
        <v>2.0202879411436737E-12</v>
      </c>
      <c r="AC119" s="22">
        <f t="shared" si="57"/>
        <v>2.6161089288184436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-5.1159076974727213E-13</v>
      </c>
      <c r="AJ119" s="13">
        <f>AI119*VLOOKUP('Données projet'!$B$10,Paramètres!$A$1:$I$89,3,0)*VLOOKUP('Données projet'!$B$10,Paramètres!$A$1:$I$89,5,0)</f>
        <v>-4.4692569645121704E-13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402.82278346470082</v>
      </c>
      <c r="AO119" s="59">
        <f t="shared" si="90"/>
        <v>440.17787299198977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0.65246908918367319</v>
      </c>
      <c r="AV119" s="21">
        <f>EXP(-LN(2)/25)*AV118+(1-EXP(-LN(2)/25))/(LN(2)/25)*Calculateur!AQ119*Calculateur!AS119*VLOOKUP('Données projet'!$B$10,Paramètres!$A$1:$I$89,3,0)*0.475*44/12</f>
        <v>2.0760777503674106</v>
      </c>
      <c r="AW119" s="21">
        <f>EXP(-LN(2)/2)*AW118+(1-EXP(-LN(2)/2))/(LN(2)/2)*AQ119*AT119*VLOOKUP('Données projet'!$B$10,Paramètres!$A$1:$I$89,3,0)*0.475*44/12</f>
        <v>3.0008552945165691E-12</v>
      </c>
      <c r="AX119" s="21">
        <f t="shared" si="60"/>
        <v>2.7285468395540846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4.5</v>
      </c>
      <c r="BD119" s="12">
        <f>IF('Données projet'!$A$88&gt;35,BD118+BC119-BL118,IF(A119&lt;'Données projet'!$A$88,$BA$205^A119,IF(A119='Données projet'!$A$88,'Données projet'!$B$88,BD118+BC119-BL118)))</f>
        <v>333.99999999999966</v>
      </c>
      <c r="BE119" s="13">
        <f>BD119*VLOOKUP('Données projet'!$B$11,Paramètres!$A$1:$I$89,3,0)*VLOOKUP('Données projet'!$B$11,Paramètres!$A$1:$I$89,5,0)</f>
        <v>302.2031999999997</v>
      </c>
      <c r="BF119" s="13">
        <f t="shared" si="91"/>
        <v>71.638141943842228</v>
      </c>
      <c r="BG119" s="20">
        <f t="shared" si="61"/>
        <v>651.1070038855247</v>
      </c>
      <c r="BH119" s="59">
        <f t="shared" si="62"/>
        <v>944.44033721885808</v>
      </c>
      <c r="BI119" s="59">
        <f ca="1">AVERAGE(OFFSET($BH$3,0,0,'Données projet'!$E$11+1,1))-AVERAGE(OFFSET($H$3,0,0,'Données projet'!$E$11+1,1))</f>
        <v>469.68830256438338</v>
      </c>
      <c r="BJ119" s="59">
        <f t="shared" si="92"/>
        <v>332.61387922152159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0.43861399148897051</v>
      </c>
      <c r="BQ119" s="21">
        <f>EXP(-LN(2)/25)*BQ118+(1-EXP(-LN(2)/25))/(LN(2)/25)*Calculateur!BL119*Calculateur!BN119*VLOOKUP('Données projet'!$B$11,Paramètres!$A$1:$I$89,3,0)*0.475*44/12</f>
        <v>1.0396194907598222</v>
      </c>
      <c r="BR119" s="21">
        <f>EXP(-LN(2)/2)*BR118+(1-EXP(-LN(2)/2))/(LN(2)/2)*BL119*BO119*VLOOKUP('Données projet'!$B$11,Paramètres!$A$1:$I$89,3,0)*0.475*44/12</f>
        <v>2.4503307001972056E-12</v>
      </c>
      <c r="BS119" s="22">
        <f t="shared" si="63"/>
        <v>1.4782334822512431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5.8</v>
      </c>
      <c r="BY119" s="12">
        <f>IF('Données projet'!$A$114&gt;35,BY118+BX119-CG118,IF(A119&lt;'Données projet'!$A$114,$BV$205^A119,IF(A119='Données projet'!$A$114,'Données projet'!$B$114,BY118+BX119-CG118)))</f>
        <v>430.80000000000018</v>
      </c>
      <c r="BZ119" s="13">
        <f>BY119*VLOOKUP('Données projet'!$B$12,Paramètres!$A$1:$I$89,3,0)*VLOOKUP('Données projet'!$B$12,Paramètres!$A$1:$I$89,5,0)</f>
        <v>409.94928000000021</v>
      </c>
      <c r="CA119" s="13">
        <f t="shared" si="93"/>
        <v>93.790835789074436</v>
      </c>
      <c r="CB119" s="20">
        <f t="shared" si="64"/>
        <v>877.34736833263833</v>
      </c>
      <c r="CC119" s="59">
        <f t="shared" si="65"/>
        <v>1170.6807016659716</v>
      </c>
      <c r="CD119" s="59">
        <f ca="1">AVERAGE(OFFSET($CC$3,0,0,'Données projet'!$E$12+1,1))-AVERAGE(OFFSET($H$3,0,0,'Données projet'!$E$12+1,1))</f>
        <v>609.40025883662452</v>
      </c>
      <c r="CE119" s="59">
        <f t="shared" si="94"/>
        <v>294.48909834404577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0.36326328764943255</v>
      </c>
      <c r="CM119" s="21">
        <f>EXP(-LN(2)/2)*CM118+(1-EXP(-LN(2)/2))/(LN(2)/2)*CG119*CJ119*VLOOKUP('Données projet'!$B$12,Paramètres!$A$1:$I$89,3,0)*0.475*44/12</f>
        <v>8.9315527184928884E-13</v>
      </c>
      <c r="CN119" s="22">
        <f t="shared" si="66"/>
        <v>0.36326328765032573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-1.1368683772161603E-13</v>
      </c>
      <c r="CU119" s="17">
        <f>CT119*VLOOKUP('Données projet'!$B$13,Paramètres!$A$1:$I$89,3,0)*VLOOKUP('Données projet'!$B$13,Paramètres!$A$1:$I$89,5,0)</f>
        <v>-5.3205440053716299E-14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346.16623654404509</v>
      </c>
      <c r="CZ119" s="59">
        <f t="shared" si="96"/>
        <v>281.80933156559087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0.57082880018473814</v>
      </c>
      <c r="DG119" s="21">
        <f>EXP(-LN(2)/25)*DG118+(1-EXP(-LN(2)/25))/(LN(2)/25)*Calculateur!DB119*Calculateur!DD119*VLOOKUP('Données projet'!$B$13,Paramètres!$A$1:$I$89,3,0)*0.475*44/12</f>
        <v>0.72381683028873378</v>
      </c>
      <c r="DH119" s="21">
        <f>EXP(-LN(2)/2)*DH118+(1-EXP(-LN(2)/2))/(LN(2)/2)*DB119*DE119*VLOOKUP('Données projet'!$B$13,Paramètres!$A$1:$I$89,3,0)*0.475*44/12</f>
        <v>1.1177890519657003E-12</v>
      </c>
      <c r="DI119" s="22">
        <f t="shared" si="69"/>
        <v>1.2946456304745897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6.2527760746888816E-13</v>
      </c>
      <c r="DP119" s="17">
        <f>DO119*VLOOKUP('Données projet'!$B$14,Paramètres!$A$1:$I$89,3,0)*VLOOKUP('Données projet'!$B$14,Paramètres!$A$1:$I$89,5,0)</f>
        <v>3.9017322706058616E-13</v>
      </c>
      <c r="DQ119" s="13">
        <f t="shared" si="97"/>
        <v>5.0025007393608908E-12</v>
      </c>
      <c r="DR119" s="20">
        <f t="shared" si="70"/>
        <v>9.3922404915174053E-12</v>
      </c>
      <c r="DS119" s="59">
        <f t="shared" si="71"/>
        <v>293.33333333334269</v>
      </c>
      <c r="DT119" s="59">
        <f ca="1">AVERAGE(OFFSET($DS$3,0,0,'Données projet'!$E$14+1,1))-AVERAGE(OFFSET($H$3,0,0,'Données projet'!$E$14+1,1))</f>
        <v>319.97171762304686</v>
      </c>
      <c r="DU119" s="59">
        <f t="shared" si="98"/>
        <v>337.89345858359621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1.2662472889817911</v>
      </c>
      <c r="EB119" s="21">
        <f>EXP(-LN(2)/25)*EB118+(1-EXP(-LN(2)/25))/(LN(2)/25)*Calculateur!DW119*Calculateur!DY119*VLOOKUP('Données projet'!$B$14,Paramètres!$A$1:$I$89,3,0)*0.475*44/12</f>
        <v>1.9154358457037604</v>
      </c>
      <c r="EC119" s="21">
        <f>EXP(-LN(2)/2)*EC118+(1-EXP(-LN(2)/2))/(LN(2)/2)*DW119*DZ119*VLOOKUP('Données projet'!$B$14,Paramètres!$A$1:$I$89,3,0)*0.475*44/12</f>
        <v>2.295429965637948E-12</v>
      </c>
      <c r="ED119" s="22">
        <f t="shared" si="72"/>
        <v>3.1816831346878467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>
        <f>EJ119*VLOOKUP('Données projet'!$B$15,Paramètres!$A$1:$I$89,3,0)*VLOOKUP('Données projet'!$B$15,Paramètres!$A$1:$I$89,5,0)</f>
        <v>0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258.46015871559956</v>
      </c>
      <c r="EP119" s="59">
        <f t="shared" si="100"/>
        <v>280.26155987300996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1.1312959030347278</v>
      </c>
      <c r="EW119" s="21">
        <f>EXP(-LN(2)/25)*EW118+(1-EXP(-LN(2)/25))/(LN(2)/25)*Calculateur!ER119*Calculateur!ET119*VLOOKUP('Données projet'!$B$15,Paramètres!$A$1:$I$89,3,0)*0.475*44/12</f>
        <v>1.1361900078812266</v>
      </c>
      <c r="EX119" s="21">
        <f>EXP(-LN(2)/2)*EX118+(1-EXP(-LN(2)/2))/(LN(2)/2)*ER119*EU119*VLOOKUP('Données projet'!$B$15,Paramètres!$A$1:$I$89,3,0)*0.475*44/12</f>
        <v>6.1910354521321221E-13</v>
      </c>
      <c r="EY119" s="22">
        <f t="shared" si="75"/>
        <v>2.2674859109165735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243.00000000000017</v>
      </c>
      <c r="O120" s="13">
        <f>N120*VLOOKUP('Données projet'!$B$9,Paramètres!$A$1:$I$89,3,0)*VLOOKUP('Données projet'!$B$9,Paramètres!$A$1:$I$89,5,0)</f>
        <v>212.28480000000016</v>
      </c>
      <c r="P120" s="13">
        <f t="shared" si="87"/>
        <v>52.434557099704236</v>
      </c>
      <c r="Q120" s="20">
        <f t="shared" si="107"/>
        <v>461.0528802819851</v>
      </c>
      <c r="R120" s="59">
        <f t="shared" si="55"/>
        <v>754.38621361531841</v>
      </c>
      <c r="S120" s="59">
        <f ca="1">AVERAGE(OFFSET($R$3,0,0,'Données projet'!$E$9+1,1))-AVERAGE(OFFSET($H$3,0,0,'Données projet'!$E$9+1,1))</f>
        <v>368.41876532159154</v>
      </c>
      <c r="T120" s="59">
        <f t="shared" si="88"/>
        <v>369.39570124551125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1.0994848374611712</v>
      </c>
      <c r="AA120" s="21">
        <f>EXP(-LN(2)/25)*AA119+(1-EXP(-LN(2)/25))/(LN(2)/25)*Calculateur!V120*Calculateur!X120*VLOOKUP('Données projet'!$B$9,Paramètres!$A$1:$I$89,3,0)*0.475*44/12</f>
        <v>1.4537618173399203</v>
      </c>
      <c r="AB120" s="21">
        <f>EXP(-LN(2)/2)*AB119+(1-EXP(-LN(2)/2))/(LN(2)/2)*V120*Y120*VLOOKUP('Données projet'!$B$9,Paramètres!$A$1:$I$89,3,0)*0.475*44/12</f>
        <v>1.4285593031321003E-12</v>
      </c>
      <c r="AC120" s="22">
        <f t="shared" si="57"/>
        <v>2.5532466548025199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-5.1159076974727213E-13</v>
      </c>
      <c r="AJ120" s="13">
        <f>AI120*VLOOKUP('Données projet'!$B$10,Paramètres!$A$1:$I$89,3,0)*VLOOKUP('Données projet'!$B$10,Paramètres!$A$1:$I$89,5,0)</f>
        <v>-4.4692569645121704E-13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402.82278346470082</v>
      </c>
      <c r="AO120" s="59">
        <f t="shared" si="90"/>
        <v>440.17787299198977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0.63967456831162983</v>
      </c>
      <c r="AV120" s="21">
        <f>EXP(-LN(2)/25)*AV119+(1-EXP(-LN(2)/25))/(LN(2)/25)*Calculateur!AQ120*Calculateur!AS120*VLOOKUP('Données projet'!$B$10,Paramètres!$A$1:$I$89,3,0)*0.475*44/12</f>
        <v>2.01930729510743</v>
      </c>
      <c r="AW120" s="21">
        <f>EXP(-LN(2)/2)*AW119+(1-EXP(-LN(2)/2))/(LN(2)/2)*AQ120*AT120*VLOOKUP('Données projet'!$B$10,Paramètres!$A$1:$I$89,3,0)*0.475*44/12</f>
        <v>2.1219251281122202E-12</v>
      </c>
      <c r="AX120" s="21">
        <f t="shared" si="60"/>
        <v>2.6589818634211815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4.5</v>
      </c>
      <c r="BD120" s="12">
        <f>IF('Données projet'!$A$88&gt;35,BD119+BC120-BL119,IF(A120&lt;'Données projet'!$A$88,$BA$205^A120,IF(A120='Données projet'!$A$88,'Données projet'!$B$88,BD119+BC120-BL119)))</f>
        <v>338.49999999999966</v>
      </c>
      <c r="BE120" s="13">
        <f>BD120*VLOOKUP('Données projet'!$B$11,Paramètres!$A$1:$I$89,3,0)*VLOOKUP('Données projet'!$B$11,Paramètres!$A$1:$I$89,5,0)</f>
        <v>306.27479999999969</v>
      </c>
      <c r="BF120" s="13">
        <f t="shared" si="91"/>
        <v>72.490313602282981</v>
      </c>
      <c r="BG120" s="20">
        <f t="shared" si="61"/>
        <v>659.68257285730897</v>
      </c>
      <c r="BH120" s="59">
        <f t="shared" si="62"/>
        <v>953.01590619064223</v>
      </c>
      <c r="BI120" s="59">
        <f ca="1">AVERAGE(OFFSET($BH$3,0,0,'Données projet'!$E$11+1,1))-AVERAGE(OFFSET($H$3,0,0,'Données projet'!$E$11+1,1))</f>
        <v>469.68830256438338</v>
      </c>
      <c r="BJ120" s="59">
        <f t="shared" si="92"/>
        <v>332.61387922152159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0.43001303864399038</v>
      </c>
      <c r="BQ120" s="21">
        <f>EXP(-LN(2)/25)*BQ119+(1-EXP(-LN(2)/25))/(LN(2)/25)*Calculateur!BL120*Calculateur!BN120*VLOOKUP('Données projet'!$B$11,Paramètres!$A$1:$I$89,3,0)*0.475*44/12</f>
        <v>1.0111910411137819</v>
      </c>
      <c r="BR120" s="21">
        <f>EXP(-LN(2)/2)*BR119+(1-EXP(-LN(2)/2))/(LN(2)/2)*BL120*BO120*VLOOKUP('Données projet'!$B$11,Paramètres!$A$1:$I$89,3,0)*0.475*44/12</f>
        <v>1.7326454542590252E-12</v>
      </c>
      <c r="BS120" s="22">
        <f t="shared" si="63"/>
        <v>1.4412040797595049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5.8</v>
      </c>
      <c r="BY120" s="12">
        <f>IF('Données projet'!$A$114&gt;35,BY119+BX120-CG119,IF(A120&lt;'Données projet'!$A$114,$BV$205^A120,IF(A120='Données projet'!$A$114,'Données projet'!$B$114,BY119+BX120-CG119)))</f>
        <v>436.60000000000019</v>
      </c>
      <c r="BZ120" s="13">
        <f>BY120*VLOOKUP('Données projet'!$B$12,Paramètres!$A$1:$I$89,3,0)*VLOOKUP('Données projet'!$B$12,Paramètres!$A$1:$I$89,5,0)</f>
        <v>415.46856000000025</v>
      </c>
      <c r="CA120" s="13">
        <f t="shared" si="93"/>
        <v>94.905719768406456</v>
      </c>
      <c r="CB120" s="20">
        <f t="shared" si="64"/>
        <v>888.90187059664174</v>
      </c>
      <c r="CC120" s="59">
        <f t="shared" si="65"/>
        <v>1182.2352039299751</v>
      </c>
      <c r="CD120" s="59">
        <f ca="1">AVERAGE(OFFSET($CC$3,0,0,'Données projet'!$E$12+1,1))-AVERAGE(OFFSET($H$3,0,0,'Données projet'!$E$12+1,1))</f>
        <v>609.40025883662452</v>
      </c>
      <c r="CE120" s="59">
        <f t="shared" si="94"/>
        <v>294.48909834404577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0.35332983394547279</v>
      </c>
      <c r="CM120" s="21">
        <f>EXP(-LN(2)/2)*CM119+(1-EXP(-LN(2)/2))/(LN(2)/2)*CG120*CJ120*VLOOKUP('Données projet'!$B$12,Paramètres!$A$1:$I$89,3,0)*0.475*44/12</f>
        <v>6.3155614937714651E-13</v>
      </c>
      <c r="CN120" s="22">
        <f t="shared" si="66"/>
        <v>0.35332983394610434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-1.1368683772161603E-13</v>
      </c>
      <c r="CU120" s="17">
        <f>CT120*VLOOKUP('Données projet'!$B$13,Paramètres!$A$1:$I$89,3,0)*VLOOKUP('Données projet'!$B$13,Paramètres!$A$1:$I$89,5,0)</f>
        <v>-5.3205440053716299E-14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346.16623654404509</v>
      </c>
      <c r="CZ120" s="59">
        <f t="shared" si="96"/>
        <v>281.80933156559087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0.55963519558430452</v>
      </c>
      <c r="DG120" s="21">
        <f>EXP(-LN(2)/25)*DG119+(1-EXP(-LN(2)/25))/(LN(2)/25)*Calculateur!DB120*Calculateur!DD120*VLOOKUP('Données projet'!$B$13,Paramètres!$A$1:$I$89,3,0)*0.475*44/12</f>
        <v>0.70402402100061556</v>
      </c>
      <c r="DH120" s="21">
        <f>EXP(-LN(2)/2)*DH119+(1-EXP(-LN(2)/2))/(LN(2)/2)*DB120*DE120*VLOOKUP('Données projet'!$B$13,Paramètres!$A$1:$I$89,3,0)*0.475*44/12</f>
        <v>7.9039621858102885E-13</v>
      </c>
      <c r="DI120" s="22">
        <f t="shared" si="69"/>
        <v>1.2636592165857106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6.2527760746888816E-13</v>
      </c>
      <c r="DP120" s="17">
        <f>DO120*VLOOKUP('Données projet'!$B$14,Paramètres!$A$1:$I$89,3,0)*VLOOKUP('Données projet'!$B$14,Paramètres!$A$1:$I$89,5,0)</f>
        <v>3.9017322706058616E-13</v>
      </c>
      <c r="DQ120" s="13">
        <f t="shared" si="97"/>
        <v>5.0025007393608908E-12</v>
      </c>
      <c r="DR120" s="20">
        <f t="shared" si="70"/>
        <v>9.3922404915174053E-12</v>
      </c>
      <c r="DS120" s="59">
        <f t="shared" si="71"/>
        <v>293.33333333334269</v>
      </c>
      <c r="DT120" s="59">
        <f ca="1">AVERAGE(OFFSET($DS$3,0,0,'Données projet'!$E$14+1,1))-AVERAGE(OFFSET($H$3,0,0,'Données projet'!$E$14+1,1))</f>
        <v>319.97171762304686</v>
      </c>
      <c r="DU120" s="59">
        <f t="shared" si="98"/>
        <v>337.89345858359621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1.2414169519794427</v>
      </c>
      <c r="EB120" s="21">
        <f>EXP(-LN(2)/25)*EB119+(1-EXP(-LN(2)/25))/(LN(2)/25)*Calculateur!DW120*Calculateur!DY120*VLOOKUP('Données projet'!$B$14,Paramètres!$A$1:$I$89,3,0)*0.475*44/12</f>
        <v>1.8630581517745977</v>
      </c>
      <c r="EC120" s="21">
        <f>EXP(-LN(2)/2)*EC119+(1-EXP(-LN(2)/2))/(LN(2)/2)*DW120*DZ120*VLOOKUP('Données projet'!$B$14,Paramètres!$A$1:$I$89,3,0)*0.475*44/12</f>
        <v>1.6231140944413969E-12</v>
      </c>
      <c r="ED120" s="22">
        <f t="shared" si="72"/>
        <v>3.1044751037556635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>
        <f>EJ120*VLOOKUP('Données projet'!$B$15,Paramètres!$A$1:$I$89,3,0)*VLOOKUP('Données projet'!$B$15,Paramètres!$A$1:$I$89,5,0)</f>
        <v>0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258.46015871559956</v>
      </c>
      <c r="EP120" s="59">
        <f t="shared" si="100"/>
        <v>280.26155987300996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1.1091118803985835</v>
      </c>
      <c r="EW120" s="21">
        <f>EXP(-LN(2)/25)*EW119+(1-EXP(-LN(2)/25))/(LN(2)/25)*Calculateur!ER120*Calculateur!ET120*VLOOKUP('Données projet'!$B$15,Paramètres!$A$1:$I$89,3,0)*0.475*44/12</f>
        <v>1.1051208323660788</v>
      </c>
      <c r="EX120" s="21">
        <f>EXP(-LN(2)/2)*EX119+(1-EXP(-LN(2)/2))/(LN(2)/2)*ER120*EU120*VLOOKUP('Données projet'!$B$15,Paramètres!$A$1:$I$89,3,0)*0.475*44/12</f>
        <v>4.3777231507689468E-13</v>
      </c>
      <c r="EY120" s="22">
        <f t="shared" si="75"/>
        <v>2.2142327127651003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243.00000000000017</v>
      </c>
      <c r="O121" s="13">
        <f>N121*VLOOKUP('Données projet'!$B$9,Paramètres!$A$1:$I$89,3,0)*VLOOKUP('Données projet'!$B$9,Paramètres!$A$1:$I$89,5,0)</f>
        <v>212.28480000000016</v>
      </c>
      <c r="P121" s="13">
        <f t="shared" si="87"/>
        <v>52.434557099704236</v>
      </c>
      <c r="Q121" s="20">
        <f t="shared" si="107"/>
        <v>461.0528802819851</v>
      </c>
      <c r="R121" s="59">
        <f t="shared" si="55"/>
        <v>754.38621361531841</v>
      </c>
      <c r="S121" s="59">
        <f ca="1">AVERAGE(OFFSET($R$3,0,0,'Données projet'!$E$9+1,1))-AVERAGE(OFFSET($H$3,0,0,'Données projet'!$E$9+1,1))</f>
        <v>368.41876532159154</v>
      </c>
      <c r="T121" s="59">
        <f t="shared" si="88"/>
        <v>369.39570124551125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1.0779246104180904</v>
      </c>
      <c r="AA121" s="21">
        <f>EXP(-LN(2)/25)*AA120+(1-EXP(-LN(2)/25))/(LN(2)/25)*Calculateur!V121*Calculateur!X121*VLOOKUP('Données projet'!$B$9,Paramètres!$A$1:$I$89,3,0)*0.475*44/12</f>
        <v>1.4140086239947487</v>
      </c>
      <c r="AB121" s="21">
        <f>EXP(-LN(2)/2)*AB120+(1-EXP(-LN(2)/2))/(LN(2)/2)*V121*Y121*VLOOKUP('Données projet'!$B$9,Paramètres!$A$1:$I$89,3,0)*0.475*44/12</f>
        <v>1.0101439705718369E-12</v>
      </c>
      <c r="AC121" s="22">
        <f t="shared" si="57"/>
        <v>2.4919332344138492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-5.1159076974727213E-13</v>
      </c>
      <c r="AJ121" s="13">
        <f>AI121*VLOOKUP('Données projet'!$B$10,Paramètres!$A$1:$I$89,3,0)*VLOOKUP('Données projet'!$B$10,Paramètres!$A$1:$I$89,5,0)</f>
        <v>-4.4692569645121704E-13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402.82278346470082</v>
      </c>
      <c r="AO121" s="59">
        <f t="shared" si="90"/>
        <v>440.17787299198977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0.62713094019000004</v>
      </c>
      <c r="AV121" s="21">
        <f>EXP(-LN(2)/25)*AV120+(1-EXP(-LN(2)/25))/(LN(2)/25)*Calculateur!AQ121*Calculateur!AS121*VLOOKUP('Données projet'!$B$10,Paramètres!$A$1:$I$89,3,0)*0.475*44/12</f>
        <v>1.964089230931962</v>
      </c>
      <c r="AW121" s="21">
        <f>EXP(-LN(2)/2)*AW120+(1-EXP(-LN(2)/2))/(LN(2)/2)*AQ121*AT121*VLOOKUP('Données projet'!$B$10,Paramètres!$A$1:$I$89,3,0)*0.475*44/12</f>
        <v>1.5004276472582846E-12</v>
      </c>
      <c r="AX121" s="21">
        <f t="shared" si="60"/>
        <v>2.5912201711234624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4.5</v>
      </c>
      <c r="BD121" s="12">
        <f>IF('Données projet'!$A$88&gt;35,BD120+BC121-BL120,IF(A121&lt;'Données projet'!$A$88,$BA$205^A121,IF(A121='Données projet'!$A$88,'Données projet'!$B$88,BD120+BC121-BL120)))</f>
        <v>342.99999999999966</v>
      </c>
      <c r="BE121" s="13">
        <f>BD121*VLOOKUP('Données projet'!$B$11,Paramètres!$A$1:$I$89,3,0)*VLOOKUP('Données projet'!$B$11,Paramètres!$A$1:$I$89,5,0)</f>
        <v>310.34639999999968</v>
      </c>
      <c r="BF121" s="13">
        <f t="shared" si="91"/>
        <v>73.341167576152998</v>
      </c>
      <c r="BG121" s="20">
        <f t="shared" si="61"/>
        <v>668.25584686179923</v>
      </c>
      <c r="BH121" s="59">
        <f t="shared" si="62"/>
        <v>961.58918019513249</v>
      </c>
      <c r="BI121" s="59">
        <f ca="1">AVERAGE(OFFSET($BH$3,0,0,'Données projet'!$E$11+1,1))-AVERAGE(OFFSET($H$3,0,0,'Données projet'!$E$11+1,1))</f>
        <v>469.68830256438338</v>
      </c>
      <c r="BJ121" s="59">
        <f t="shared" si="92"/>
        <v>332.61387922152159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0.42158074523823708</v>
      </c>
      <c r="BQ121" s="21">
        <f>EXP(-LN(2)/25)*BQ120+(1-EXP(-LN(2)/25))/(LN(2)/25)*Calculateur!BL121*Calculateur!BN121*VLOOKUP('Données projet'!$B$11,Paramètres!$A$1:$I$89,3,0)*0.475*44/12</f>
        <v>0.98353996891829976</v>
      </c>
      <c r="BR121" s="21">
        <f>EXP(-LN(2)/2)*BR120+(1-EXP(-LN(2)/2))/(LN(2)/2)*BL121*BO121*VLOOKUP('Données projet'!$B$11,Paramètres!$A$1:$I$89,3,0)*0.475*44/12</f>
        <v>1.2251653500986028E-12</v>
      </c>
      <c r="BS121" s="22">
        <f t="shared" si="63"/>
        <v>1.405120714157762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5.8</v>
      </c>
      <c r="BY121" s="12">
        <f>IF('Données projet'!$A$114&gt;35,BY120+BX121-CG120,IF(A121&lt;'Données projet'!$A$114,$BV$205^A121,IF(A121='Données projet'!$A$114,'Données projet'!$B$114,BY120+BX121-CG120)))</f>
        <v>442.4000000000002</v>
      </c>
      <c r="BZ121" s="13">
        <f>BY121*VLOOKUP('Données projet'!$B$12,Paramètres!$A$1:$I$89,3,0)*VLOOKUP('Données projet'!$B$12,Paramètres!$A$1:$I$89,5,0)</f>
        <v>420.98784000000023</v>
      </c>
      <c r="CA121" s="13">
        <f t="shared" si="93"/>
        <v>96.018881067425042</v>
      </c>
      <c r="CB121" s="20">
        <f t="shared" si="64"/>
        <v>900.45337252576564</v>
      </c>
      <c r="CC121" s="59">
        <f t="shared" si="65"/>
        <v>1193.7867058590989</v>
      </c>
      <c r="CD121" s="59">
        <f ca="1">AVERAGE(OFFSET($CC$3,0,0,'Données projet'!$E$12+1,1))-AVERAGE(OFFSET($H$3,0,0,'Données projet'!$E$12+1,1))</f>
        <v>609.40025883662452</v>
      </c>
      <c r="CE121" s="59">
        <f t="shared" si="94"/>
        <v>294.48909834404577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0.34366801105542544</v>
      </c>
      <c r="CM121" s="21">
        <f>EXP(-LN(2)/2)*CM120+(1-EXP(-LN(2)/2))/(LN(2)/2)*CG121*CJ121*VLOOKUP('Données projet'!$B$12,Paramètres!$A$1:$I$89,3,0)*0.475*44/12</f>
        <v>4.4657763592464447E-13</v>
      </c>
      <c r="CN121" s="22">
        <f t="shared" si="66"/>
        <v>0.34366801105587202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-1.1368683772161603E-13</v>
      </c>
      <c r="CU121" s="17">
        <f>CT121*VLOOKUP('Données projet'!$B$13,Paramètres!$A$1:$I$89,3,0)*VLOOKUP('Données projet'!$B$13,Paramètres!$A$1:$I$89,5,0)</f>
        <v>-5.3205440053716299E-14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346.16623654404509</v>
      </c>
      <c r="CZ121" s="59">
        <f t="shared" si="96"/>
        <v>281.80933156559087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0.54866109074266067</v>
      </c>
      <c r="DG121" s="21">
        <f>EXP(-LN(2)/25)*DG120+(1-EXP(-LN(2)/25))/(LN(2)/25)*Calculateur!DB121*Calculateur!DD121*VLOOKUP('Données projet'!$B$13,Paramètres!$A$1:$I$89,3,0)*0.475*44/12</f>
        <v>0.68477244712333951</v>
      </c>
      <c r="DH121" s="21">
        <f>EXP(-LN(2)/2)*DH120+(1-EXP(-LN(2)/2))/(LN(2)/2)*DB121*DE121*VLOOKUP('Données projet'!$B$13,Paramètres!$A$1:$I$89,3,0)*0.475*44/12</f>
        <v>5.5889452598285015E-13</v>
      </c>
      <c r="DI121" s="22">
        <f t="shared" si="69"/>
        <v>1.2334335378665591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6.2527760746888816E-13</v>
      </c>
      <c r="DP121" s="17">
        <f>DO121*VLOOKUP('Données projet'!$B$14,Paramètres!$A$1:$I$89,3,0)*VLOOKUP('Données projet'!$B$14,Paramètres!$A$1:$I$89,5,0)</f>
        <v>3.9017322706058616E-13</v>
      </c>
      <c r="DQ121" s="13">
        <f t="shared" si="97"/>
        <v>5.0025007393608908E-12</v>
      </c>
      <c r="DR121" s="20">
        <f t="shared" si="70"/>
        <v>9.3922404915174053E-12</v>
      </c>
      <c r="DS121" s="59">
        <f t="shared" si="71"/>
        <v>293.33333333334269</v>
      </c>
      <c r="DT121" s="59">
        <f ca="1">AVERAGE(OFFSET($DS$3,0,0,'Données projet'!$E$14+1,1))-AVERAGE(OFFSET($H$3,0,0,'Données projet'!$E$14+1,1))</f>
        <v>319.97171762304686</v>
      </c>
      <c r="DU121" s="59">
        <f t="shared" si="98"/>
        <v>337.89345858359621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1.2170735227407004</v>
      </c>
      <c r="EB121" s="21">
        <f>EXP(-LN(2)/25)*EB120+(1-EXP(-LN(2)/25))/(LN(2)/25)*Calculateur!DW121*Calculateur!DY121*VLOOKUP('Données projet'!$B$14,Paramètres!$A$1:$I$89,3,0)*0.475*44/12</f>
        <v>1.8121127286403511</v>
      </c>
      <c r="EC121" s="21">
        <f>EXP(-LN(2)/2)*EC120+(1-EXP(-LN(2)/2))/(LN(2)/2)*DW121*DZ121*VLOOKUP('Données projet'!$B$14,Paramètres!$A$1:$I$89,3,0)*0.475*44/12</f>
        <v>1.147714982818974E-12</v>
      </c>
      <c r="ED121" s="22">
        <f t="shared" si="72"/>
        <v>3.0291862513821988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>
        <f>EJ121*VLOOKUP('Données projet'!$B$15,Paramètres!$A$1:$I$89,3,0)*VLOOKUP('Données projet'!$B$15,Paramètres!$A$1:$I$89,5,0)</f>
        <v>0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258.46015871559956</v>
      </c>
      <c r="EP121" s="59">
        <f t="shared" si="100"/>
        <v>280.26155987300996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1.0873628729154163</v>
      </c>
      <c r="EW121" s="21">
        <f>EXP(-LN(2)/25)*EW120+(1-EXP(-LN(2)/25))/(LN(2)/25)*Calculateur!ER121*Calculateur!ET121*VLOOKUP('Données projet'!$B$15,Paramètres!$A$1:$I$89,3,0)*0.475*44/12</f>
        <v>1.0749012450892497</v>
      </c>
      <c r="EX121" s="21">
        <f>EXP(-LN(2)/2)*EX120+(1-EXP(-LN(2)/2))/(LN(2)/2)*ER121*EU121*VLOOKUP('Données projet'!$B$15,Paramètres!$A$1:$I$89,3,0)*0.475*44/12</f>
        <v>3.095517726066061E-13</v>
      </c>
      <c r="EY121" s="22">
        <f t="shared" si="75"/>
        <v>2.1622641180049755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243.00000000000017</v>
      </c>
      <c r="O122" s="13">
        <f>N122*VLOOKUP('Données projet'!$B$9,Paramètres!$A$1:$I$89,3,0)*VLOOKUP('Données projet'!$B$9,Paramètres!$A$1:$I$89,5,0)</f>
        <v>212.28480000000016</v>
      </c>
      <c r="P122" s="13">
        <f t="shared" si="87"/>
        <v>52.434557099704236</v>
      </c>
      <c r="Q122" s="20">
        <f t="shared" si="107"/>
        <v>461.0528802819851</v>
      </c>
      <c r="R122" s="59">
        <f t="shared" si="55"/>
        <v>754.38621361531841</v>
      </c>
      <c r="S122" s="59">
        <f ca="1">AVERAGE(OFFSET($R$3,0,0,'Données projet'!$E$9+1,1))-AVERAGE(OFFSET($H$3,0,0,'Données projet'!$E$9+1,1))</f>
        <v>368.41876532159154</v>
      </c>
      <c r="T122" s="59">
        <f t="shared" si="88"/>
        <v>369.39570124551125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1.0567871662768844</v>
      </c>
      <c r="AA122" s="21">
        <f>EXP(-LN(2)/25)*AA121+(1-EXP(-LN(2)/25))/(LN(2)/25)*Calculateur!V122*Calculateur!X122*VLOOKUP('Données projet'!$B$9,Paramètres!$A$1:$I$89,3,0)*0.475*44/12</f>
        <v>1.3753424838121304</v>
      </c>
      <c r="AB122" s="21">
        <f>EXP(-LN(2)/2)*AB121+(1-EXP(-LN(2)/2))/(LN(2)/2)*V122*Y122*VLOOKUP('Données projet'!$B$9,Paramètres!$A$1:$I$89,3,0)*0.475*44/12</f>
        <v>7.1427965156605016E-13</v>
      </c>
      <c r="AC122" s="22">
        <f t="shared" si="57"/>
        <v>2.4321296500897289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-5.1159076974727213E-13</v>
      </c>
      <c r="AJ122" s="13">
        <f>AI122*VLOOKUP('Données projet'!$B$10,Paramètres!$A$1:$I$89,3,0)*VLOOKUP('Données projet'!$B$10,Paramètres!$A$1:$I$89,5,0)</f>
        <v>-4.4692569645121704E-13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402.82278346470082</v>
      </c>
      <c r="AO122" s="59">
        <f t="shared" si="90"/>
        <v>440.17787299198977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0.61483328496497769</v>
      </c>
      <c r="AV122" s="21">
        <f>EXP(-LN(2)/25)*AV121+(1-EXP(-LN(2)/25))/(LN(2)/25)*Calculateur!AQ122*Calculateur!AS122*VLOOKUP('Données projet'!$B$10,Paramètres!$A$1:$I$89,3,0)*0.475*44/12</f>
        <v>1.9103811076251638</v>
      </c>
      <c r="AW122" s="21">
        <f>EXP(-LN(2)/2)*AW121+(1-EXP(-LN(2)/2))/(LN(2)/2)*AQ122*AT122*VLOOKUP('Données projet'!$B$10,Paramètres!$A$1:$I$89,3,0)*0.475*44/12</f>
        <v>1.0609625640561101E-12</v>
      </c>
      <c r="AX122" s="21">
        <f t="shared" si="60"/>
        <v>2.5252143925912023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4.5</v>
      </c>
      <c r="BD122" s="12">
        <f>IF('Données projet'!$A$88&gt;35,BD121+BC122-BL121,IF(A122&lt;'Données projet'!$A$88,$BA$205^A122,IF(A122='Données projet'!$A$88,'Données projet'!$B$88,BD121+BC122-BL121)))</f>
        <v>347.49999999999966</v>
      </c>
      <c r="BE122" s="13">
        <f>BD122*VLOOKUP('Données projet'!$B$11,Paramètres!$A$1:$I$89,3,0)*VLOOKUP('Données projet'!$B$11,Paramètres!$A$1:$I$89,5,0)</f>
        <v>314.41799999999967</v>
      </c>
      <c r="BF122" s="13">
        <f t="shared" si="91"/>
        <v>74.190723151497266</v>
      </c>
      <c r="BG122" s="20">
        <f t="shared" si="61"/>
        <v>676.82685948885705</v>
      </c>
      <c r="BH122" s="59">
        <f t="shared" si="62"/>
        <v>970.16019282219031</v>
      </c>
      <c r="BI122" s="59">
        <f ca="1">AVERAGE(OFFSET($BH$3,0,0,'Données projet'!$E$11+1,1))-AVERAGE(OFFSET($H$3,0,0,'Données projet'!$E$11+1,1))</f>
        <v>469.68830256438338</v>
      </c>
      <c r="BJ122" s="59">
        <f t="shared" si="92"/>
        <v>332.61387922152159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0.41331380396297951</v>
      </c>
      <c r="BQ122" s="21">
        <f>EXP(-LN(2)/25)*BQ121+(1-EXP(-LN(2)/25))/(LN(2)/25)*Calculateur!BL122*Calculateur!BN122*VLOOKUP('Données projet'!$B$11,Paramètres!$A$1:$I$89,3,0)*0.475*44/12</f>
        <v>0.9566450167461098</v>
      </c>
      <c r="BR122" s="21">
        <f>EXP(-LN(2)/2)*BR121+(1-EXP(-LN(2)/2))/(LN(2)/2)*BL122*BO122*VLOOKUP('Données projet'!$B$11,Paramètres!$A$1:$I$89,3,0)*0.475*44/12</f>
        <v>8.6632272712951262E-13</v>
      </c>
      <c r="BS122" s="22">
        <f t="shared" si="63"/>
        <v>1.3699588207099558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5.8</v>
      </c>
      <c r="BY122" s="12">
        <f>IF('Données projet'!$A$114&gt;35,BY121+BX122-CG121,IF(A122&lt;'Données projet'!$A$114,$BV$205^A122,IF(A122='Données projet'!$A$114,'Données projet'!$B$114,BY121+BX122-CG121)))</f>
        <v>448.20000000000022</v>
      </c>
      <c r="BZ122" s="13">
        <f>BY122*VLOOKUP('Données projet'!$B$12,Paramètres!$A$1:$I$89,3,0)*VLOOKUP('Données projet'!$B$12,Paramètres!$A$1:$I$89,5,0)</f>
        <v>426.50712000000016</v>
      </c>
      <c r="CA122" s="13">
        <f t="shared" si="93"/>
        <v>97.130344882100587</v>
      </c>
      <c r="CB122" s="20">
        <f t="shared" si="64"/>
        <v>912.00191800299206</v>
      </c>
      <c r="CC122" s="59">
        <f t="shared" si="65"/>
        <v>1205.3352513363254</v>
      </c>
      <c r="CD122" s="59">
        <f ca="1">AVERAGE(OFFSET($CC$3,0,0,'Données projet'!$E$12+1,1))-AVERAGE(OFFSET($H$3,0,0,'Données projet'!$E$12+1,1))</f>
        <v>609.40025883662452</v>
      </c>
      <c r="CE122" s="59">
        <f t="shared" si="94"/>
        <v>294.48909834404577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0.33427039122039959</v>
      </c>
      <c r="CM122" s="21">
        <f>EXP(-LN(2)/2)*CM121+(1-EXP(-LN(2)/2))/(LN(2)/2)*CG122*CJ122*VLOOKUP('Données projet'!$B$12,Paramètres!$A$1:$I$89,3,0)*0.475*44/12</f>
        <v>3.1577807468857331E-13</v>
      </c>
      <c r="CN122" s="22">
        <f t="shared" si="66"/>
        <v>0.33427039122071539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-1.1368683772161603E-13</v>
      </c>
      <c r="CU122" s="17">
        <f>CT122*VLOOKUP('Données projet'!$B$13,Paramètres!$A$1:$I$89,3,0)*VLOOKUP('Données projet'!$B$13,Paramètres!$A$1:$I$89,5,0)</f>
        <v>-5.3205440053716299E-14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346.16623654404509</v>
      </c>
      <c r="CZ122" s="59">
        <f t="shared" si="96"/>
        <v>281.80933156559087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0.5379021814034185</v>
      </c>
      <c r="DG122" s="21">
        <f>EXP(-LN(2)/25)*DG121+(1-EXP(-LN(2)/25))/(LN(2)/25)*Calculateur!DB122*Calculateur!DD122*VLOOKUP('Données projet'!$B$13,Paramètres!$A$1:$I$89,3,0)*0.475*44/12</f>
        <v>0.66604730854613392</v>
      </c>
      <c r="DH122" s="21">
        <f>EXP(-LN(2)/2)*DH121+(1-EXP(-LN(2)/2))/(LN(2)/2)*DB122*DE122*VLOOKUP('Données projet'!$B$13,Paramètres!$A$1:$I$89,3,0)*0.475*44/12</f>
        <v>3.9519810929051443E-13</v>
      </c>
      <c r="DI122" s="22">
        <f t="shared" si="69"/>
        <v>1.2039494899499477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6.2527760746888816E-13</v>
      </c>
      <c r="DP122" s="17">
        <f>DO122*VLOOKUP('Données projet'!$B$14,Paramètres!$A$1:$I$89,3,0)*VLOOKUP('Données projet'!$B$14,Paramètres!$A$1:$I$89,5,0)</f>
        <v>3.9017322706058616E-13</v>
      </c>
      <c r="DQ122" s="13">
        <f t="shared" si="97"/>
        <v>5.0025007393608908E-12</v>
      </c>
      <c r="DR122" s="20">
        <f t="shared" si="70"/>
        <v>9.3922404915174053E-12</v>
      </c>
      <c r="DS122" s="59">
        <f t="shared" si="71"/>
        <v>293.33333333334269</v>
      </c>
      <c r="DT122" s="59">
        <f ca="1">AVERAGE(OFFSET($DS$3,0,0,'Données projet'!$E$14+1,1))-AVERAGE(OFFSET($H$3,0,0,'Données projet'!$E$14+1,1))</f>
        <v>319.97171762304686</v>
      </c>
      <c r="DU122" s="59">
        <f t="shared" si="98"/>
        <v>337.89345858359621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1.193207453301304</v>
      </c>
      <c r="EB122" s="21">
        <f>EXP(-LN(2)/25)*EB121+(1-EXP(-LN(2)/25))/(LN(2)/25)*Calculateur!DW122*Calculateur!DY122*VLOOKUP('Données projet'!$B$14,Paramètres!$A$1:$I$89,3,0)*0.475*44/12</f>
        <v>1.7625604107808139</v>
      </c>
      <c r="EC122" s="21">
        <f>EXP(-LN(2)/2)*EC121+(1-EXP(-LN(2)/2))/(LN(2)/2)*DW122*DZ122*VLOOKUP('Données projet'!$B$14,Paramètres!$A$1:$I$89,3,0)*0.475*44/12</f>
        <v>8.1155704722069843E-13</v>
      </c>
      <c r="ED122" s="22">
        <f t="shared" si="72"/>
        <v>2.955767864082929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>
        <f>EJ122*VLOOKUP('Données projet'!$B$15,Paramètres!$A$1:$I$89,3,0)*VLOOKUP('Données projet'!$B$15,Paramètres!$A$1:$I$89,5,0)</f>
        <v>0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258.46015871559956</v>
      </c>
      <c r="EP122" s="59">
        <f t="shared" si="100"/>
        <v>280.26155987300996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1.0660403502034095</v>
      </c>
      <c r="EW122" s="21">
        <f>EXP(-LN(2)/25)*EW121+(1-EXP(-LN(2)/25))/(LN(2)/25)*Calculateur!ER122*Calculateur!ET122*VLOOKUP('Données projet'!$B$15,Paramètres!$A$1:$I$89,3,0)*0.475*44/12</f>
        <v>1.0455080140156843</v>
      </c>
      <c r="EX122" s="21">
        <f>EXP(-LN(2)/2)*EX121+(1-EXP(-LN(2)/2))/(LN(2)/2)*ER122*EU122*VLOOKUP('Données projet'!$B$15,Paramètres!$A$1:$I$89,3,0)*0.475*44/12</f>
        <v>2.1888615753844734E-13</v>
      </c>
      <c r="EY122" s="22">
        <f t="shared" si="75"/>
        <v>2.1115483642193129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243.00000000000017</v>
      </c>
      <c r="O123" s="13">
        <f>N123*VLOOKUP('Données projet'!$B$9,Paramètres!$A$1:$I$89,3,0)*VLOOKUP('Données projet'!$B$9,Paramètres!$A$1:$I$89,5,0)</f>
        <v>212.28480000000016</v>
      </c>
      <c r="P123" s="13">
        <f t="shared" si="87"/>
        <v>52.434557099704236</v>
      </c>
      <c r="Q123" s="20">
        <f t="shared" si="107"/>
        <v>461.0528802819851</v>
      </c>
      <c r="R123" s="59">
        <f t="shared" si="55"/>
        <v>754.38621361531841</v>
      </c>
      <c r="S123" s="59">
        <f ca="1">AVERAGE(OFFSET($R$3,0,0,'Données projet'!$E$9+1,1))-AVERAGE(OFFSET($H$3,0,0,'Données projet'!$E$9+1,1))</f>
        <v>368.41876532159154</v>
      </c>
      <c r="T123" s="59">
        <f t="shared" si="88"/>
        <v>369.39570124551125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1.0360642145227195</v>
      </c>
      <c r="AA123" s="21">
        <f>EXP(-LN(2)/25)*AA122+(1-EXP(-LN(2)/25))/(LN(2)/25)*Calculateur!V123*Calculateur!X123*VLOOKUP('Données projet'!$B$9,Paramètres!$A$1:$I$89,3,0)*0.475*44/12</f>
        <v>1.3377336712661698</v>
      </c>
      <c r="AB123" s="21">
        <f>EXP(-LN(2)/2)*AB122+(1-EXP(-LN(2)/2))/(LN(2)/2)*V123*Y123*VLOOKUP('Données projet'!$B$9,Paramètres!$A$1:$I$89,3,0)*0.475*44/12</f>
        <v>5.0507198528591843E-13</v>
      </c>
      <c r="AC123" s="22">
        <f t="shared" si="57"/>
        <v>2.373797885789394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-5.1159076974727213E-13</v>
      </c>
      <c r="AJ123" s="13">
        <f>AI123*VLOOKUP('Données projet'!$B$10,Paramètres!$A$1:$I$89,3,0)*VLOOKUP('Données projet'!$B$10,Paramètres!$A$1:$I$89,5,0)</f>
        <v>-4.4692569645121704E-13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402.82278346470082</v>
      </c>
      <c r="AO123" s="59">
        <f t="shared" si="90"/>
        <v>440.17787299198977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0.60277677925808903</v>
      </c>
      <c r="AV123" s="21">
        <f>EXP(-LN(2)/25)*AV122+(1-EXP(-LN(2)/25))/(LN(2)/25)*Calculateur!AQ123*Calculateur!AS123*VLOOKUP('Données projet'!$B$10,Paramètres!$A$1:$I$89,3,0)*0.475*44/12</f>
        <v>1.8581416357745775</v>
      </c>
      <c r="AW123" s="21">
        <f>EXP(-LN(2)/2)*AW122+(1-EXP(-LN(2)/2))/(LN(2)/2)*AQ123*AT123*VLOOKUP('Données projet'!$B$10,Paramètres!$A$1:$I$89,3,0)*0.475*44/12</f>
        <v>7.5021382362914229E-13</v>
      </c>
      <c r="AX123" s="21">
        <f t="shared" si="60"/>
        <v>2.4609184150334165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352</v>
      </c>
      <c r="BB123" s="12">
        <f>VLOOKUP(A123,'Données projet'!$A$87:$I$107,9,0)</f>
        <v>4.5</v>
      </c>
      <c r="BC123" s="12">
        <f t="array" ref="BC123">INDEX(BB:BB,MIN(IF(ISNUMBER(BB123:BB319),ROW(BB123:BB319),"")))</f>
        <v>4.5</v>
      </c>
      <c r="BD123" s="12">
        <f>IF('Données projet'!$A$88&gt;35,BD122+BC123-BL122,IF(A123&lt;'Données projet'!$A$88,$BA$205^A123,IF(A123='Données projet'!$A$88,'Données projet'!$B$88,BD122+BC123-BL122)))</f>
        <v>351.99999999999966</v>
      </c>
      <c r="BE123" s="13">
        <f>BD123*VLOOKUP('Données projet'!$B$11,Paramètres!$A$1:$I$89,3,0)*VLOOKUP('Données projet'!$B$11,Paramètres!$A$1:$I$89,5,0)</f>
        <v>318.48959999999971</v>
      </c>
      <c r="BF123" s="13">
        <f t="shared" si="91"/>
        <v>75.038999086150227</v>
      </c>
      <c r="BG123" s="20">
        <f t="shared" si="61"/>
        <v>685.39564340837785</v>
      </c>
      <c r="BH123" s="59">
        <f t="shared" si="62"/>
        <v>978.72897674171122</v>
      </c>
      <c r="BI123" s="59">
        <f ca="1">AVERAGE(OFFSET($BH$3,0,0,'Données projet'!$E$11+1,1))-AVERAGE(OFFSET($H$3,0,0,'Données projet'!$E$11+1,1))</f>
        <v>469.68830256438338</v>
      </c>
      <c r="BJ123" s="59">
        <f t="shared" si="92"/>
        <v>332.61387922152159</v>
      </c>
      <c r="BK123" s="15">
        <f>IF(ISNA(VLOOKUP(A123,'Données projet'!$A$87:$I$107,3,0)),0,VLOOKUP(A123,'Données projet'!$A$87:$I$107,3,0))</f>
        <v>11</v>
      </c>
      <c r="BL123" s="15">
        <f>IF(ISNA(VLOOKUP(A123,'Données projet'!$A$87:$I$107,4,0)),0,VLOOKUP(A123,'Données projet'!$A$87:$I$107,4,0))</f>
        <v>352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0.40520897236379344</v>
      </c>
      <c r="BQ123" s="21">
        <f>EXP(-LN(2)/25)*BQ122+(1-EXP(-LN(2)/25))/(LN(2)/25)*Calculateur!BL123*Calculateur!BN123*VLOOKUP('Données projet'!$B$11,Paramètres!$A$1:$I$89,3,0)*0.475*44/12</f>
        <v>0.93048550845541245</v>
      </c>
      <c r="BR123" s="21">
        <f>EXP(-LN(2)/2)*BR122+(1-EXP(-LN(2)/2))/(LN(2)/2)*BL123*BO123*VLOOKUP('Données projet'!$B$11,Paramètres!$A$1:$I$89,3,0)*0.475*44/12</f>
        <v>6.1258267504930139E-13</v>
      </c>
      <c r="BS123" s="22">
        <f t="shared" si="63"/>
        <v>1.3356944808198186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454</v>
      </c>
      <c r="BW123" s="12">
        <f>VLOOKUP(A123,'Données projet'!$A$113:$I$133,9,0)</f>
        <v>5.8</v>
      </c>
      <c r="BX123" s="12">
        <f t="array" ref="BX123">INDEX(BW:BW,MIN(IF(ISNUMBER(BW123:BW319),ROW(BW123:BW319),"")))</f>
        <v>5.8</v>
      </c>
      <c r="BY123" s="12">
        <f>IF('Données projet'!$A$114&gt;35,BY122+BX123-CG122,IF(A123&lt;'Données projet'!$A$114,$BV$205^A123,IF(A123='Données projet'!$A$114,'Données projet'!$B$114,BY122+BX123-CG122)))</f>
        <v>454.00000000000023</v>
      </c>
      <c r="BZ123" s="13">
        <f>BY123*VLOOKUP('Données projet'!$B$12,Paramètres!$A$1:$I$89,3,0)*VLOOKUP('Données projet'!$B$12,Paramètres!$A$1:$I$89,5,0)</f>
        <v>432.02640000000019</v>
      </c>
      <c r="CA123" s="13">
        <f t="shared" si="93"/>
        <v>98.240135718808659</v>
      </c>
      <c r="CB123" s="20">
        <f t="shared" si="64"/>
        <v>923.54754971025875</v>
      </c>
      <c r="CC123" s="59">
        <f t="shared" si="65"/>
        <v>1216.8808830435921</v>
      </c>
      <c r="CD123" s="59">
        <f ca="1">AVERAGE(OFFSET($CC$3,0,0,'Données projet'!$E$12+1,1))-AVERAGE(OFFSET($H$3,0,0,'Données projet'!$E$12+1,1))</f>
        <v>609.40025883662452</v>
      </c>
      <c r="CE123" s="59">
        <f t="shared" si="94"/>
        <v>294.48909834404577</v>
      </c>
      <c r="CF123" s="15">
        <f>IF(ISNA(VLOOKUP(A123,'Données projet'!$A$113:$I$133,3,0)),0,VLOOKUP(A123,'Données projet'!$A$113:$I$133,3,0))</f>
        <v>10</v>
      </c>
      <c r="CG123" s="15">
        <f>IF(ISNA(VLOOKUP(A123,'Données projet'!$A$113:$I$133,4,0)),0,VLOOKUP(A123,'Données projet'!$A$113:$I$133,4,0))</f>
        <v>43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0.32512974979396186</v>
      </c>
      <c r="CM123" s="21">
        <f>EXP(-LN(2)/2)*CM122+(1-EXP(-LN(2)/2))/(LN(2)/2)*CG123*CJ123*VLOOKUP('Données projet'!$B$12,Paramètres!$A$1:$I$89,3,0)*0.475*44/12</f>
        <v>2.2328881796232229E-13</v>
      </c>
      <c r="CN123" s="22">
        <f t="shared" si="66"/>
        <v>0.32512974979418513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-1.1368683772161603E-13</v>
      </c>
      <c r="CU123" s="17">
        <f>CT123*VLOOKUP('Données projet'!$B$13,Paramètres!$A$1:$I$89,3,0)*VLOOKUP('Données projet'!$B$13,Paramètres!$A$1:$I$89,5,0)</f>
        <v>-5.3205440053716299E-14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346.16623654404509</v>
      </c>
      <c r="CZ123" s="59">
        <f t="shared" si="96"/>
        <v>281.80933156559087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0.52735424771403216</v>
      </c>
      <c r="DG123" s="21">
        <f>EXP(-LN(2)/25)*DG122+(1-EXP(-LN(2)/25))/(LN(2)/25)*Calculateur!DB123*Calculateur!DD123*VLOOKUP('Données projet'!$B$13,Paramètres!$A$1:$I$89,3,0)*0.475*44/12</f>
        <v>0.64783420986803419</v>
      </c>
      <c r="DH123" s="21">
        <f>EXP(-LN(2)/2)*DH122+(1-EXP(-LN(2)/2))/(LN(2)/2)*DB123*DE123*VLOOKUP('Données projet'!$B$13,Paramètres!$A$1:$I$89,3,0)*0.475*44/12</f>
        <v>2.7944726299142507E-13</v>
      </c>
      <c r="DI123" s="22">
        <f t="shared" si="69"/>
        <v>1.1751884575823459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6.2527760746888816E-13</v>
      </c>
      <c r="DP123" s="17">
        <f>DO123*VLOOKUP('Données projet'!$B$14,Paramètres!$A$1:$I$89,3,0)*VLOOKUP('Données projet'!$B$14,Paramètres!$A$1:$I$89,5,0)</f>
        <v>3.9017322706058616E-13</v>
      </c>
      <c r="DQ123" s="13">
        <f t="shared" si="97"/>
        <v>5.0025007393608908E-12</v>
      </c>
      <c r="DR123" s="20">
        <f t="shared" si="70"/>
        <v>9.3922404915174053E-12</v>
      </c>
      <c r="DS123" s="59">
        <f t="shared" si="71"/>
        <v>293.33333333334269</v>
      </c>
      <c r="DT123" s="59">
        <f ca="1">AVERAGE(OFFSET($DS$3,0,0,'Données projet'!$E$14+1,1))-AVERAGE(OFFSET($H$3,0,0,'Données projet'!$E$14+1,1))</f>
        <v>319.97171762304686</v>
      </c>
      <c r="DU123" s="59">
        <f t="shared" si="98"/>
        <v>337.89345858359621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1.1698093829267491</v>
      </c>
      <c r="EB123" s="21">
        <f>EXP(-LN(2)/25)*EB122+(1-EXP(-LN(2)/25))/(LN(2)/25)*Calculateur!DW123*Calculateur!DY123*VLOOKUP('Données projet'!$B$14,Paramètres!$A$1:$I$89,3,0)*0.475*44/12</f>
        <v>1.714363103658989</v>
      </c>
      <c r="EC123" s="21">
        <f>EXP(-LN(2)/2)*EC122+(1-EXP(-LN(2)/2))/(LN(2)/2)*DW123*DZ123*VLOOKUP('Données projet'!$B$14,Paramètres!$A$1:$I$89,3,0)*0.475*44/12</f>
        <v>5.7385749140948701E-13</v>
      </c>
      <c r="ED123" s="22">
        <f t="shared" si="72"/>
        <v>2.8841724865863121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>
        <f>EJ123*VLOOKUP('Données projet'!$B$15,Paramètres!$A$1:$I$89,3,0)*VLOOKUP('Données projet'!$B$15,Paramètres!$A$1:$I$89,5,0)</f>
        <v>0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258.46015871559956</v>
      </c>
      <c r="EP123" s="59">
        <f t="shared" si="100"/>
        <v>280.26155987300996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1.0451359491563303</v>
      </c>
      <c r="EW123" s="21">
        <f>EXP(-LN(2)/25)*EW122+(1-EXP(-LN(2)/25))/(LN(2)/25)*Calculateur!ER123*Calculateur!ET123*VLOOKUP('Données projet'!$B$15,Paramètres!$A$1:$I$89,3,0)*0.475*44/12</f>
        <v>1.0169185423915486</v>
      </c>
      <c r="EX123" s="21">
        <f>EXP(-LN(2)/2)*EX122+(1-EXP(-LN(2)/2))/(LN(2)/2)*ER123*EU123*VLOOKUP('Données projet'!$B$15,Paramètres!$A$1:$I$89,3,0)*0.475*44/12</f>
        <v>1.5477588630330305E-13</v>
      </c>
      <c r="EY123" s="22">
        <f t="shared" si="75"/>
        <v>2.0620544915480337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243.00000000000017</v>
      </c>
      <c r="O124" s="13">
        <f>N124*VLOOKUP('Données projet'!$B$9,Paramètres!$A$1:$I$89,3,0)*VLOOKUP('Données projet'!$B$9,Paramètres!$A$1:$I$89,5,0)</f>
        <v>212.28480000000016</v>
      </c>
      <c r="P124" s="13">
        <f t="shared" si="87"/>
        <v>52.434557099704236</v>
      </c>
      <c r="Q124" s="20">
        <f t="shared" si="107"/>
        <v>461.0528802819851</v>
      </c>
      <c r="R124" s="59">
        <f t="shared" si="55"/>
        <v>754.38621361531841</v>
      </c>
      <c r="S124" s="59">
        <f ca="1">AVERAGE(OFFSET($R$3,0,0,'Données projet'!$E$9+1,1))-AVERAGE(OFFSET($H$3,0,0,'Données projet'!$E$9+1,1))</f>
        <v>368.41876532159154</v>
      </c>
      <c r="T124" s="59">
        <f t="shared" si="88"/>
        <v>369.39570124551125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1.0157476272127013</v>
      </c>
      <c r="AA124" s="21">
        <f>EXP(-LN(2)/25)*AA123+(1-EXP(-LN(2)/25))/(LN(2)/25)*Calculateur!V124*Calculateur!X124*VLOOKUP('Données projet'!$B$9,Paramètres!$A$1:$I$89,3,0)*0.475*44/12</f>
        <v>1.3011532736770401</v>
      </c>
      <c r="AB124" s="21">
        <f>EXP(-LN(2)/2)*AB123+(1-EXP(-LN(2)/2))/(LN(2)/2)*V124*Y124*VLOOKUP('Données projet'!$B$9,Paramètres!$A$1:$I$89,3,0)*0.475*44/12</f>
        <v>3.5713982578302508E-13</v>
      </c>
      <c r="AC124" s="22">
        <f t="shared" si="57"/>
        <v>2.3169009008900985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-5.1159076974727213E-13</v>
      </c>
      <c r="AJ124" s="13">
        <f>AI124*VLOOKUP('Données projet'!$B$10,Paramètres!$A$1:$I$89,3,0)*VLOOKUP('Données projet'!$B$10,Paramètres!$A$1:$I$89,5,0)</f>
        <v>-4.4692569645121704E-13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402.82278346470082</v>
      </c>
      <c r="AO124" s="59">
        <f t="shared" si="90"/>
        <v>440.17787299198977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0.59095669427437014</v>
      </c>
      <c r="AV124" s="21">
        <f>EXP(-LN(2)/25)*AV123+(1-EXP(-LN(2)/25))/(LN(2)/25)*Calculateur!AQ124*Calculateur!AS124*VLOOKUP('Données projet'!$B$10,Paramètres!$A$1:$I$89,3,0)*0.475*44/12</f>
        <v>1.8073306550288999</v>
      </c>
      <c r="AW124" s="21">
        <f>EXP(-LN(2)/2)*AW123+(1-EXP(-LN(2)/2))/(LN(2)/2)*AQ124*AT124*VLOOKUP('Données projet'!$B$10,Paramètres!$A$1:$I$89,3,0)*0.475*44/12</f>
        <v>5.3048128202805506E-13</v>
      </c>
      <c r="AX124" s="21">
        <f t="shared" si="60"/>
        <v>2.3982873493038008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-3.4106051316484809E-13</v>
      </c>
      <c r="BE124" s="13">
        <f>BD124*VLOOKUP('Données projet'!$B$11,Paramètres!$A$1:$I$89,3,0)*VLOOKUP('Données projet'!$B$11,Paramètres!$A$1:$I$89,5,0)</f>
        <v>-3.0859155231155454E-13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469.68830256438338</v>
      </c>
      <c r="BJ124" s="59">
        <f t="shared" si="92"/>
        <v>332.61387922152159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0.39726307156880825</v>
      </c>
      <c r="BQ124" s="21">
        <f>EXP(-LN(2)/25)*BQ123+(1-EXP(-LN(2)/25))/(LN(2)/25)*Calculateur!BL124*Calculateur!BN124*VLOOKUP('Données projet'!$B$11,Paramètres!$A$1:$I$89,3,0)*0.475*44/12</f>
        <v>0.90504133329459291</v>
      </c>
      <c r="BR124" s="21">
        <f>EXP(-LN(2)/2)*BR123+(1-EXP(-LN(2)/2))/(LN(2)/2)*BL124*BO124*VLOOKUP('Données projet'!$B$11,Paramètres!$A$1:$I$89,3,0)*0.475*44/12</f>
        <v>4.3316136356475631E-13</v>
      </c>
      <c r="BS124" s="22">
        <f t="shared" si="63"/>
        <v>1.3023044048638344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5</v>
      </c>
      <c r="BY124" s="12">
        <f>IF('Données projet'!$A$114&gt;35,BY123+BX124-CG123,IF(A124&lt;'Données projet'!$A$114,$BV$205^A124,IF(A124='Données projet'!$A$114,'Données projet'!$B$114,BY123+BX124-CG123)))</f>
        <v>416.00000000000023</v>
      </c>
      <c r="BZ124" s="13">
        <f>BY124*VLOOKUP('Données projet'!$B$12,Paramètres!$A$1:$I$89,3,0)*VLOOKUP('Données projet'!$B$12,Paramètres!$A$1:$I$89,5,0)</f>
        <v>395.8656000000002</v>
      </c>
      <c r="CA124" s="13">
        <f t="shared" si="93"/>
        <v>90.937972904612522</v>
      </c>
      <c r="CB124" s="20">
        <f t="shared" si="64"/>
        <v>847.84955614220053</v>
      </c>
      <c r="CC124" s="59">
        <f t="shared" si="65"/>
        <v>1141.1828894755338</v>
      </c>
      <c r="CD124" s="59">
        <f ca="1">AVERAGE(OFFSET($CC$3,0,0,'Données projet'!$E$12+1,1))-AVERAGE(OFFSET($H$3,0,0,'Données projet'!$E$12+1,1))</f>
        <v>609.40025883662452</v>
      </c>
      <c r="CE124" s="59">
        <f t="shared" si="94"/>
        <v>294.48909834404577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0.31623905968801552</v>
      </c>
      <c r="CM124" s="21">
        <f>EXP(-LN(2)/2)*CM123+(1-EXP(-LN(2)/2))/(LN(2)/2)*CG124*CJ124*VLOOKUP('Données projet'!$B$12,Paramètres!$A$1:$I$89,3,0)*0.475*44/12</f>
        <v>1.5788903734428668E-13</v>
      </c>
      <c r="CN124" s="22">
        <f t="shared" si="66"/>
        <v>0.3162390596881734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-1.1368683772161603E-13</v>
      </c>
      <c r="CU124" s="17">
        <f>CT124*VLOOKUP('Données projet'!$B$13,Paramètres!$A$1:$I$89,3,0)*VLOOKUP('Données projet'!$B$13,Paramètres!$A$1:$I$89,5,0)</f>
        <v>-5.3205440053716299E-14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346.16623654404509</v>
      </c>
      <c r="CZ124" s="59">
        <f t="shared" si="96"/>
        <v>281.80933156559087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0.51701315257069036</v>
      </c>
      <c r="DG124" s="21">
        <f>EXP(-LN(2)/25)*DG123+(1-EXP(-LN(2)/25))/(LN(2)/25)*Calculateur!DB124*Calculateur!DD124*VLOOKUP('Données projet'!$B$13,Paramètres!$A$1:$I$89,3,0)*0.475*44/12</f>
        <v>0.63011914933107238</v>
      </c>
      <c r="DH124" s="21">
        <f>EXP(-LN(2)/2)*DH123+(1-EXP(-LN(2)/2))/(LN(2)/2)*DB124*DE124*VLOOKUP('Données projet'!$B$13,Paramètres!$A$1:$I$89,3,0)*0.475*44/12</f>
        <v>1.9759905464525721E-13</v>
      </c>
      <c r="DI124" s="22">
        <f t="shared" si="69"/>
        <v>1.1471323019019604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6.2527760746888816E-13</v>
      </c>
      <c r="DP124" s="17">
        <f>DO124*VLOOKUP('Données projet'!$B$14,Paramètres!$A$1:$I$89,3,0)*VLOOKUP('Données projet'!$B$14,Paramètres!$A$1:$I$89,5,0)</f>
        <v>3.9017322706058616E-13</v>
      </c>
      <c r="DQ124" s="13">
        <f t="shared" si="97"/>
        <v>5.0025007393608908E-12</v>
      </c>
      <c r="DR124" s="20">
        <f t="shared" si="70"/>
        <v>9.3922404915174053E-12</v>
      </c>
      <c r="DS124" s="59">
        <f t="shared" si="71"/>
        <v>293.33333333334269</v>
      </c>
      <c r="DT124" s="59">
        <f ca="1">AVERAGE(OFFSET($DS$3,0,0,'Données projet'!$E$14+1,1))-AVERAGE(OFFSET($H$3,0,0,'Données projet'!$E$14+1,1))</f>
        <v>319.97171762304686</v>
      </c>
      <c r="DU124" s="59">
        <f t="shared" si="98"/>
        <v>337.89345858359621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1.1468701344408254</v>
      </c>
      <c r="EB124" s="21">
        <f>EXP(-LN(2)/25)*EB123+(1-EXP(-LN(2)/25))/(LN(2)/25)*Calculateur!DW124*Calculateur!DY124*VLOOKUP('Données projet'!$B$14,Paramètres!$A$1:$I$89,3,0)*0.475*44/12</f>
        <v>1.6674837544349965</v>
      </c>
      <c r="EC124" s="21">
        <f>EXP(-LN(2)/2)*EC123+(1-EXP(-LN(2)/2))/(LN(2)/2)*DW124*DZ124*VLOOKUP('Données projet'!$B$14,Paramètres!$A$1:$I$89,3,0)*0.475*44/12</f>
        <v>4.0577852361034921E-13</v>
      </c>
      <c r="ED124" s="22">
        <f t="shared" si="72"/>
        <v>2.8143538888762278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>
        <f>EJ124*VLOOKUP('Données projet'!$B$15,Paramètres!$A$1:$I$89,3,0)*VLOOKUP('Données projet'!$B$15,Paramètres!$A$1:$I$89,5,0)</f>
        <v>0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258.46015871559956</v>
      </c>
      <c r="EP124" s="59">
        <f t="shared" si="100"/>
        <v>280.26155987300996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1.0246414706633589</v>
      </c>
      <c r="EW124" s="21">
        <f>EXP(-LN(2)/25)*EW123+(1-EXP(-LN(2)/25))/(LN(2)/25)*Calculateur!ER124*Calculateur!ET124*VLOOKUP('Données projet'!$B$15,Paramètres!$A$1:$I$89,3,0)*0.475*44/12</f>
        <v>0.98911085137242971</v>
      </c>
      <c r="EX124" s="21">
        <f>EXP(-LN(2)/2)*EX123+(1-EXP(-LN(2)/2))/(LN(2)/2)*ER124*EU124*VLOOKUP('Données projet'!$B$15,Paramètres!$A$1:$I$89,3,0)*0.475*44/12</f>
        <v>1.0944307876922367E-13</v>
      </c>
      <c r="EY124" s="22">
        <f t="shared" si="75"/>
        <v>2.0137523220358977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243.00000000000017</v>
      </c>
      <c r="O125" s="13">
        <f>N125*VLOOKUP('Données projet'!$B$9,Paramètres!$A$1:$I$89,3,0)*VLOOKUP('Données projet'!$B$9,Paramètres!$A$1:$I$89,5,0)</f>
        <v>212.28480000000016</v>
      </c>
      <c r="P125" s="13">
        <f t="shared" si="87"/>
        <v>52.434557099704236</v>
      </c>
      <c r="Q125" s="20">
        <f t="shared" si="107"/>
        <v>461.0528802819851</v>
      </c>
      <c r="R125" s="59">
        <f t="shared" si="55"/>
        <v>754.38621361531841</v>
      </c>
      <c r="S125" s="59">
        <f ca="1">AVERAGE(OFFSET($R$3,0,0,'Données projet'!$E$9+1,1))-AVERAGE(OFFSET($H$3,0,0,'Données projet'!$E$9+1,1))</f>
        <v>368.41876532159154</v>
      </c>
      <c r="T125" s="59">
        <f t="shared" si="88"/>
        <v>369.39570124551125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0.99582943578793781</v>
      </c>
      <c r="AA125" s="21">
        <f>EXP(-LN(2)/25)*AA124+(1-EXP(-LN(2)/25))/(LN(2)/25)*Calculateur!V125*Calculateur!X125*VLOOKUP('Données projet'!$B$9,Paramètres!$A$1:$I$89,3,0)*0.475*44/12</f>
        <v>1.2655731689836647</v>
      </c>
      <c r="AB125" s="21">
        <f>EXP(-LN(2)/2)*AB124+(1-EXP(-LN(2)/2))/(LN(2)/2)*V125*Y125*VLOOKUP('Données projet'!$B$9,Paramètres!$A$1:$I$89,3,0)*0.475*44/12</f>
        <v>2.5253599264295922E-13</v>
      </c>
      <c r="AC125" s="22">
        <f t="shared" si="57"/>
        <v>2.2614026047718552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-5.1159076974727213E-13</v>
      </c>
      <c r="AJ125" s="13">
        <f>AI125*VLOOKUP('Données projet'!$B$10,Paramètres!$A$1:$I$89,3,0)*VLOOKUP('Données projet'!$B$10,Paramètres!$A$1:$I$89,5,0)</f>
        <v>-4.4692569645121704E-13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402.82278346470082</v>
      </c>
      <c r="AO125" s="59">
        <f t="shared" si="90"/>
        <v>440.17787299198977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0.57936839394764195</v>
      </c>
      <c r="AV125" s="21">
        <f>EXP(-LN(2)/25)*AV124+(1-EXP(-LN(2)/25))/(LN(2)/25)*Calculateur!AQ125*Calculateur!AS125*VLOOKUP('Données projet'!$B$10,Paramètres!$A$1:$I$89,3,0)*0.475*44/12</f>
        <v>1.7579091032237462</v>
      </c>
      <c r="AW125" s="21">
        <f>EXP(-LN(2)/2)*AW124+(1-EXP(-LN(2)/2))/(LN(2)/2)*AQ125*AT125*VLOOKUP('Données projet'!$B$10,Paramètres!$A$1:$I$89,3,0)*0.475*44/12</f>
        <v>3.7510691181457114E-13</v>
      </c>
      <c r="AX125" s="21">
        <f t="shared" si="60"/>
        <v>2.3372774971717631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-3.4106051316484809E-13</v>
      </c>
      <c r="BE125" s="13">
        <f>BD125*VLOOKUP('Données projet'!$B$11,Paramètres!$A$1:$I$89,3,0)*VLOOKUP('Données projet'!$B$11,Paramètres!$A$1:$I$89,5,0)</f>
        <v>-3.0859155231155454E-13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469.68830256438338</v>
      </c>
      <c r="BJ125" s="59">
        <f t="shared" si="92"/>
        <v>332.61387922152159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0.38947298504189176</v>
      </c>
      <c r="BQ125" s="21">
        <f>EXP(-LN(2)/25)*BQ124+(1-EXP(-LN(2)/25))/(LN(2)/25)*Calculateur!BL125*Calculateur!BN125*VLOOKUP('Données projet'!$B$11,Paramètres!$A$1:$I$89,3,0)*0.475*44/12</f>
        <v>0.88029293044159707</v>
      </c>
      <c r="BR125" s="21">
        <f>EXP(-LN(2)/2)*BR124+(1-EXP(-LN(2)/2))/(LN(2)/2)*BL125*BO125*VLOOKUP('Données projet'!$B$11,Paramètres!$A$1:$I$89,3,0)*0.475*44/12</f>
        <v>3.0629133752465069E-13</v>
      </c>
      <c r="BS125" s="22">
        <f t="shared" si="63"/>
        <v>1.269765915483795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5</v>
      </c>
      <c r="BY125" s="12">
        <f>IF('Données projet'!$A$114&gt;35,BY124+BX125-CG124,IF(A125&lt;'Données projet'!$A$114,$BV$205^A125,IF(A125='Données projet'!$A$114,'Données projet'!$B$114,BY124+BX125-CG124)))</f>
        <v>421.00000000000023</v>
      </c>
      <c r="BZ125" s="13">
        <f>BY125*VLOOKUP('Données projet'!$B$12,Paramètres!$A$1:$I$89,3,0)*VLOOKUP('Données projet'!$B$12,Paramètres!$A$1:$I$89,5,0)</f>
        <v>400.62360000000018</v>
      </c>
      <c r="CA125" s="13">
        <f t="shared" si="93"/>
        <v>91.903079086750807</v>
      </c>
      <c r="CB125" s="20">
        <f t="shared" si="64"/>
        <v>857.81729940942466</v>
      </c>
      <c r="CC125" s="59">
        <f t="shared" si="65"/>
        <v>1151.150632742758</v>
      </c>
      <c r="CD125" s="59">
        <f ca="1">AVERAGE(OFFSET($CC$3,0,0,'Données projet'!$E$12+1,1))-AVERAGE(OFFSET($H$3,0,0,'Données projet'!$E$12+1,1))</f>
        <v>609.40025883662452</v>
      </c>
      <c r="CE125" s="59">
        <f t="shared" si="94"/>
        <v>294.48909834404577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0.30759148597055735</v>
      </c>
      <c r="CM125" s="21">
        <f>EXP(-LN(2)/2)*CM124+(1-EXP(-LN(2)/2))/(LN(2)/2)*CG125*CJ125*VLOOKUP('Données projet'!$B$12,Paramètres!$A$1:$I$89,3,0)*0.475*44/12</f>
        <v>1.1164440898116116E-13</v>
      </c>
      <c r="CN125" s="22">
        <f t="shared" si="66"/>
        <v>0.30759148597066899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-1.1368683772161603E-13</v>
      </c>
      <c r="CU125" s="17">
        <f>CT125*VLOOKUP('Données projet'!$B$13,Paramètres!$A$1:$I$89,3,0)*VLOOKUP('Données projet'!$B$13,Paramètres!$A$1:$I$89,5,0)</f>
        <v>-5.3205440053716299E-14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346.16623654404509</v>
      </c>
      <c r="CZ125" s="59">
        <f t="shared" si="96"/>
        <v>281.80933156559087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0.50687483999566429</v>
      </c>
      <c r="DG125" s="21">
        <f>EXP(-LN(2)/25)*DG124+(1-EXP(-LN(2)/25))/(LN(2)/25)*Calculateur!DB125*Calculateur!DD125*VLOOKUP('Données projet'!$B$13,Paramètres!$A$1:$I$89,3,0)*0.475*44/12</f>
        <v>0.6128885080560883</v>
      </c>
      <c r="DH125" s="21">
        <f>EXP(-LN(2)/2)*DH124+(1-EXP(-LN(2)/2))/(LN(2)/2)*DB125*DE125*VLOOKUP('Données projet'!$B$13,Paramètres!$A$1:$I$89,3,0)*0.475*44/12</f>
        <v>1.3972363149571254E-13</v>
      </c>
      <c r="DI125" s="22">
        <f t="shared" si="69"/>
        <v>1.1197633480518923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6.2527760746888816E-13</v>
      </c>
      <c r="DP125" s="17">
        <f>DO125*VLOOKUP('Données projet'!$B$14,Paramètres!$A$1:$I$89,3,0)*VLOOKUP('Données projet'!$B$14,Paramètres!$A$1:$I$89,5,0)</f>
        <v>3.9017322706058616E-13</v>
      </c>
      <c r="DQ125" s="13">
        <f t="shared" si="97"/>
        <v>5.0025007393608908E-12</v>
      </c>
      <c r="DR125" s="20">
        <f t="shared" si="70"/>
        <v>9.3922404915174053E-12</v>
      </c>
      <c r="DS125" s="59">
        <f t="shared" si="71"/>
        <v>293.33333333334269</v>
      </c>
      <c r="DT125" s="59">
        <f ca="1">AVERAGE(OFFSET($DS$3,0,0,'Données projet'!$E$14+1,1))-AVERAGE(OFFSET($H$3,0,0,'Données projet'!$E$14+1,1))</f>
        <v>319.97171762304686</v>
      </c>
      <c r="DU125" s="59">
        <f t="shared" si="98"/>
        <v>337.89345858359621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1.1243807106261507</v>
      </c>
      <c r="EB125" s="21">
        <f>EXP(-LN(2)/25)*EB124+(1-EXP(-LN(2)/25))/(LN(2)/25)*Calculateur!DW125*Calculateur!DY125*VLOOKUP('Données projet'!$B$14,Paramètres!$A$1:$I$89,3,0)*0.475*44/12</f>
        <v>1.6218863234808121</v>
      </c>
      <c r="EC125" s="21">
        <f>EXP(-LN(2)/2)*EC124+(1-EXP(-LN(2)/2))/(LN(2)/2)*DW125*DZ125*VLOOKUP('Données projet'!$B$14,Paramètres!$A$1:$I$89,3,0)*0.475*44/12</f>
        <v>2.8692874570474351E-13</v>
      </c>
      <c r="ED125" s="22">
        <f t="shared" si="72"/>
        <v>2.7462670341072499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>
        <f>EJ125*VLOOKUP('Données projet'!$B$15,Paramètres!$A$1:$I$89,3,0)*VLOOKUP('Données projet'!$B$15,Paramètres!$A$1:$I$89,5,0)</f>
        <v>0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258.46015871559956</v>
      </c>
      <c r="EP125" s="59">
        <f t="shared" si="100"/>
        <v>280.26155987300996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1.0045488763932369</v>
      </c>
      <c r="EW125" s="21">
        <f>EXP(-LN(2)/25)*EW124+(1-EXP(-LN(2)/25))/(LN(2)/25)*Calculateur!ER125*Calculateur!ET125*VLOOKUP('Données projet'!$B$15,Paramètres!$A$1:$I$89,3,0)*0.475*44/12</f>
        <v>0.9620635631265716</v>
      </c>
      <c r="EX125" s="21">
        <f>EXP(-LN(2)/2)*EX124+(1-EXP(-LN(2)/2))/(LN(2)/2)*ER125*EU125*VLOOKUP('Données projet'!$B$15,Paramètres!$A$1:$I$89,3,0)*0.475*44/12</f>
        <v>7.7387943151651526E-14</v>
      </c>
      <c r="EY125" s="22">
        <f t="shared" si="75"/>
        <v>1.9666124395198861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243.00000000000017</v>
      </c>
      <c r="O126" s="13">
        <f>N126*VLOOKUP('Données projet'!$B$9,Paramètres!$A$1:$I$89,3,0)*VLOOKUP('Données projet'!$B$9,Paramètres!$A$1:$I$89,5,0)</f>
        <v>212.28480000000016</v>
      </c>
      <c r="P126" s="13">
        <f t="shared" si="87"/>
        <v>52.434557099704236</v>
      </c>
      <c r="Q126" s="20">
        <f t="shared" si="107"/>
        <v>461.0528802819851</v>
      </c>
      <c r="R126" s="59">
        <f t="shared" si="55"/>
        <v>754.38621361531841</v>
      </c>
      <c r="S126" s="59">
        <f ca="1">AVERAGE(OFFSET($R$3,0,0,'Données projet'!$E$9+1,1))-AVERAGE(OFFSET($H$3,0,0,'Données projet'!$E$9+1,1))</f>
        <v>368.41876532159154</v>
      </c>
      <c r="T126" s="59">
        <f t="shared" si="88"/>
        <v>369.39570124551125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0.97630182794811682</v>
      </c>
      <c r="AA126" s="21">
        <f>EXP(-LN(2)/25)*AA125+(1-EXP(-LN(2)/25))/(LN(2)/25)*Calculateur!V126*Calculateur!X126*VLOOKUP('Données projet'!$B$9,Paramètres!$A$1:$I$89,3,0)*0.475*44/12</f>
        <v>1.2309660041242059</v>
      </c>
      <c r="AB126" s="21">
        <f>EXP(-LN(2)/2)*AB125+(1-EXP(-LN(2)/2))/(LN(2)/2)*V126*Y126*VLOOKUP('Données projet'!$B$9,Paramètres!$A$1:$I$89,3,0)*0.475*44/12</f>
        <v>1.7856991289151254E-13</v>
      </c>
      <c r="AC126" s="22">
        <f t="shared" si="57"/>
        <v>2.2072678320725014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-5.1159076974727213E-13</v>
      </c>
      <c r="AJ126" s="13">
        <f>AI126*VLOOKUP('Données projet'!$B$10,Paramètres!$A$1:$I$89,3,0)*VLOOKUP('Données projet'!$B$10,Paramètres!$A$1:$I$89,5,0)</f>
        <v>-4.4692569645121704E-13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402.82278346470082</v>
      </c>
      <c r="AO126" s="59">
        <f t="shared" si="90"/>
        <v>440.17787299198977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0.56800733312215568</v>
      </c>
      <c r="AV126" s="21">
        <f>EXP(-LN(2)/25)*AV125+(1-EXP(-LN(2)/25))/(LN(2)/25)*Calculateur!AQ126*Calculateur!AS126*VLOOKUP('Données projet'!$B$10,Paramètres!$A$1:$I$89,3,0)*0.475*44/12</f>
        <v>1.7098389863516708</v>
      </c>
      <c r="AW126" s="21">
        <f>EXP(-LN(2)/2)*AW125+(1-EXP(-LN(2)/2))/(LN(2)/2)*AQ126*AT126*VLOOKUP('Données projet'!$B$10,Paramètres!$A$1:$I$89,3,0)*0.475*44/12</f>
        <v>2.6524064101402753E-13</v>
      </c>
      <c r="AX126" s="21">
        <f t="shared" si="60"/>
        <v>2.2778463194740914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-3.4106051316484809E-13</v>
      </c>
      <c r="BE126" s="13">
        <f>BD126*VLOOKUP('Données projet'!$B$11,Paramètres!$A$1:$I$89,3,0)*VLOOKUP('Données projet'!$B$11,Paramètres!$A$1:$I$89,5,0)</f>
        <v>-3.0859155231155454E-13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469.68830256438338</v>
      </c>
      <c r="BJ126" s="59">
        <f t="shared" si="92"/>
        <v>332.61387922152159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0.38183565736028452</v>
      </c>
      <c r="BQ126" s="21">
        <f>EXP(-LN(2)/25)*BQ125+(1-EXP(-LN(2)/25))/(LN(2)/25)*Calculateur!BL126*Calculateur!BN126*VLOOKUP('Données projet'!$B$11,Paramètres!$A$1:$I$89,3,0)*0.475*44/12</f>
        <v>0.85622127396607828</v>
      </c>
      <c r="BR126" s="21">
        <f>EXP(-LN(2)/2)*BR125+(1-EXP(-LN(2)/2))/(LN(2)/2)*BL126*BO126*VLOOKUP('Données projet'!$B$11,Paramètres!$A$1:$I$89,3,0)*0.475*44/12</f>
        <v>2.1658068178237815E-13</v>
      </c>
      <c r="BS126" s="22">
        <f t="shared" si="63"/>
        <v>1.2380569313265792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5</v>
      </c>
      <c r="BY126" s="12">
        <f>IF('Données projet'!$A$114&gt;35,BY125+BX126-CG125,IF(A126&lt;'Données projet'!$A$114,$BV$205^A126,IF(A126='Données projet'!$A$114,'Données projet'!$B$114,BY125+BX126-CG125)))</f>
        <v>426.00000000000023</v>
      </c>
      <c r="BZ126" s="13">
        <f>BY126*VLOOKUP('Données projet'!$B$12,Paramètres!$A$1:$I$89,3,0)*VLOOKUP('Données projet'!$B$12,Paramètres!$A$1:$I$89,5,0)</f>
        <v>405.38160000000022</v>
      </c>
      <c r="CA126" s="13">
        <f t="shared" si="93"/>
        <v>92.866851972728369</v>
      </c>
      <c r="CB126" s="20">
        <f t="shared" si="64"/>
        <v>867.78272051916895</v>
      </c>
      <c r="CC126" s="59">
        <f t="shared" si="65"/>
        <v>1161.1160538525023</v>
      </c>
      <c r="CD126" s="59">
        <f ca="1">AVERAGE(OFFSET($CC$3,0,0,'Données projet'!$E$12+1,1))-AVERAGE(OFFSET($H$3,0,0,'Données projet'!$E$12+1,1))</f>
        <v>609.40025883662452</v>
      </c>
      <c r="CE126" s="59">
        <f t="shared" si="94"/>
        <v>294.48909834404577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0.2991803806111592</v>
      </c>
      <c r="CM126" s="21">
        <f>EXP(-LN(2)/2)*CM125+(1-EXP(-LN(2)/2))/(LN(2)/2)*CG126*CJ126*VLOOKUP('Données projet'!$B$12,Paramètres!$A$1:$I$89,3,0)*0.475*44/12</f>
        <v>7.8944518672143352E-14</v>
      </c>
      <c r="CN126" s="22">
        <f t="shared" si="66"/>
        <v>0.29918038061123814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-1.1368683772161603E-13</v>
      </c>
      <c r="CU126" s="17">
        <f>CT126*VLOOKUP('Données projet'!$B$13,Paramètres!$A$1:$I$89,3,0)*VLOOKUP('Données projet'!$B$13,Paramètres!$A$1:$I$89,5,0)</f>
        <v>-5.3205440053716299E-14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346.16623654404509</v>
      </c>
      <c r="CZ126" s="59">
        <f t="shared" si="96"/>
        <v>281.80933156559087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0.4969353335464744</v>
      </c>
      <c r="DG126" s="21">
        <f>EXP(-LN(2)/25)*DG125+(1-EXP(-LN(2)/25))/(LN(2)/25)*Calculateur!DB126*Calculateur!DD126*VLOOKUP('Données projet'!$B$13,Paramètres!$A$1:$I$89,3,0)*0.475*44/12</f>
        <v>0.59612903957288865</v>
      </c>
      <c r="DH126" s="21">
        <f>EXP(-LN(2)/2)*DH125+(1-EXP(-LN(2)/2))/(LN(2)/2)*DB126*DE126*VLOOKUP('Données projet'!$B$13,Paramètres!$A$1:$I$89,3,0)*0.475*44/12</f>
        <v>9.8799527322628607E-14</v>
      </c>
      <c r="DI126" s="22">
        <f t="shared" si="69"/>
        <v>1.0930643731194618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6.2527760746888816E-13</v>
      </c>
      <c r="DP126" s="17">
        <f>DO126*VLOOKUP('Données projet'!$B$14,Paramètres!$A$1:$I$89,3,0)*VLOOKUP('Données projet'!$B$14,Paramètres!$A$1:$I$89,5,0)</f>
        <v>3.9017322706058616E-13</v>
      </c>
      <c r="DQ126" s="13">
        <f t="shared" si="97"/>
        <v>5.0025007393608908E-12</v>
      </c>
      <c r="DR126" s="20">
        <f t="shared" si="70"/>
        <v>9.3922404915174053E-12</v>
      </c>
      <c r="DS126" s="59">
        <f t="shared" si="71"/>
        <v>293.33333333334269</v>
      </c>
      <c r="DT126" s="59">
        <f ca="1">AVERAGE(OFFSET($DS$3,0,0,'Données projet'!$E$14+1,1))-AVERAGE(OFFSET($H$3,0,0,'Données projet'!$E$14+1,1))</f>
        <v>319.97171762304686</v>
      </c>
      <c r="DU126" s="59">
        <f t="shared" si="98"/>
        <v>337.89345858359621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1.1023322906952879</v>
      </c>
      <c r="EB126" s="21">
        <f>EXP(-LN(2)/25)*EB125+(1-EXP(-LN(2)/25))/(LN(2)/25)*Calculateur!DW126*Calculateur!DY126*VLOOKUP('Données projet'!$B$14,Paramètres!$A$1:$I$89,3,0)*0.475*44/12</f>
        <v>1.5775357566739343</v>
      </c>
      <c r="EC126" s="21">
        <f>EXP(-LN(2)/2)*EC125+(1-EXP(-LN(2)/2))/(LN(2)/2)*DW126*DZ126*VLOOKUP('Données projet'!$B$14,Paramètres!$A$1:$I$89,3,0)*0.475*44/12</f>
        <v>2.0288926180517461E-13</v>
      </c>
      <c r="ED126" s="22">
        <f t="shared" si="72"/>
        <v>2.6798680473694252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>
        <f>EJ126*VLOOKUP('Données projet'!$B$15,Paramètres!$A$1:$I$89,3,0)*VLOOKUP('Données projet'!$B$15,Paramètres!$A$1:$I$89,5,0)</f>
        <v>0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258.46015871559956</v>
      </c>
      <c r="EP126" s="59">
        <f t="shared" si="100"/>
        <v>280.26155987300996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0.98485028564147958</v>
      </c>
      <c r="EW126" s="21">
        <f>EXP(-LN(2)/25)*EW125+(1-EXP(-LN(2)/25))/(LN(2)/25)*Calculateur!ER126*Calculateur!ET126*VLOOKUP('Données projet'!$B$15,Paramètres!$A$1:$I$89,3,0)*0.475*44/12</f>
        <v>0.93575588440015156</v>
      </c>
      <c r="EX126" s="21">
        <f>EXP(-LN(2)/2)*EX125+(1-EXP(-LN(2)/2))/(LN(2)/2)*ER126*EU126*VLOOKUP('Données projet'!$B$15,Paramètres!$A$1:$I$89,3,0)*0.475*44/12</f>
        <v>5.4721539384611835E-14</v>
      </c>
      <c r="EY126" s="22">
        <f t="shared" si="75"/>
        <v>1.9206061700416859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243.00000000000017</v>
      </c>
      <c r="O127" s="13">
        <f>N127*VLOOKUP('Données projet'!$B$9,Paramètres!$A$1:$I$89,3,0)*VLOOKUP('Données projet'!$B$9,Paramètres!$A$1:$I$89,5,0)</f>
        <v>212.28480000000016</v>
      </c>
      <c r="P127" s="13">
        <f t="shared" si="87"/>
        <v>52.434557099704236</v>
      </c>
      <c r="Q127" s="20">
        <f t="shared" si="107"/>
        <v>461.0528802819851</v>
      </c>
      <c r="R127" s="59">
        <f t="shared" si="55"/>
        <v>754.38621361531841</v>
      </c>
      <c r="S127" s="59">
        <f ca="1">AVERAGE(OFFSET($R$3,0,0,'Données projet'!$E$9+1,1))-AVERAGE(OFFSET($H$3,0,0,'Données projet'!$E$9+1,1))</f>
        <v>368.41876532159154</v>
      </c>
      <c r="T127" s="59">
        <f t="shared" si="88"/>
        <v>369.39570124551125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0.95715714458737</v>
      </c>
      <c r="AA127" s="21">
        <f>EXP(-LN(2)/25)*AA126+(1-EXP(-LN(2)/25))/(LN(2)/25)*Calculateur!V127*Calculateur!X127*VLOOKUP('Données projet'!$B$9,Paramètres!$A$1:$I$89,3,0)*0.475*44/12</f>
        <v>1.1973051740077407</v>
      </c>
      <c r="AB127" s="21">
        <f>EXP(-LN(2)/2)*AB126+(1-EXP(-LN(2)/2))/(LN(2)/2)*V127*Y127*VLOOKUP('Données projet'!$B$9,Paramètres!$A$1:$I$89,3,0)*0.475*44/12</f>
        <v>1.2626799632147961E-13</v>
      </c>
      <c r="AC127" s="22">
        <f t="shared" si="57"/>
        <v>2.154462318595237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-5.1159076974727213E-13</v>
      </c>
      <c r="AJ127" s="13">
        <f>AI127*VLOOKUP('Données projet'!$B$10,Paramètres!$A$1:$I$89,3,0)*VLOOKUP('Données projet'!$B$10,Paramètres!$A$1:$I$89,5,0)</f>
        <v>-4.4692569645121704E-13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402.82278346470082</v>
      </c>
      <c r="AO127" s="59">
        <f t="shared" si="90"/>
        <v>440.17787299198977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0.55686905576989432</v>
      </c>
      <c r="AV127" s="21">
        <f>EXP(-LN(2)/25)*AV126+(1-EXP(-LN(2)/25))/(LN(2)/25)*Calculateur!AQ127*Calculateur!AS127*VLOOKUP('Données projet'!$B$10,Paramètres!$A$1:$I$89,3,0)*0.475*44/12</f>
        <v>1.6630833493533599</v>
      </c>
      <c r="AW127" s="21">
        <f>EXP(-LN(2)/2)*AW126+(1-EXP(-LN(2)/2))/(LN(2)/2)*AQ127*AT127*VLOOKUP('Données projet'!$B$10,Paramètres!$A$1:$I$89,3,0)*0.475*44/12</f>
        <v>1.8755345590728557E-13</v>
      </c>
      <c r="AX127" s="21">
        <f t="shared" si="60"/>
        <v>2.2199524051234416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-3.4106051316484809E-13</v>
      </c>
      <c r="BE127" s="13">
        <f>BD127*VLOOKUP('Données projet'!$B$11,Paramètres!$A$1:$I$89,3,0)*VLOOKUP('Données projet'!$B$11,Paramètres!$A$1:$I$89,5,0)</f>
        <v>-3.0859155231155454E-13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469.68830256438338</v>
      </c>
      <c r="BJ127" s="59">
        <f t="shared" si="92"/>
        <v>332.61387922152159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0.3743480930162037</v>
      </c>
      <c r="BQ127" s="21">
        <f>EXP(-LN(2)/25)*BQ126+(1-EXP(-LN(2)/25))/(LN(2)/25)*Calculateur!BL127*Calculateur!BN127*VLOOKUP('Données projet'!$B$11,Paramètres!$A$1:$I$89,3,0)*0.475*44/12</f>
        <v>0.83280785820275594</v>
      </c>
      <c r="BR127" s="21">
        <f>EXP(-LN(2)/2)*BR126+(1-EXP(-LN(2)/2))/(LN(2)/2)*BL127*BO127*VLOOKUP('Données projet'!$B$11,Paramètres!$A$1:$I$89,3,0)*0.475*44/12</f>
        <v>1.5314566876232535E-13</v>
      </c>
      <c r="BS127" s="22">
        <f t="shared" si="63"/>
        <v>1.2071559512191128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5</v>
      </c>
      <c r="BY127" s="12">
        <f>IF('Données projet'!$A$114&gt;35,BY126+BX127-CG126,IF(A127&lt;'Données projet'!$A$114,$BV$205^A127,IF(A127='Données projet'!$A$114,'Données projet'!$B$114,BY126+BX127-CG126)))</f>
        <v>431.00000000000023</v>
      </c>
      <c r="BZ127" s="13">
        <f>BY127*VLOOKUP('Données projet'!$B$12,Paramètres!$A$1:$I$89,3,0)*VLOOKUP('Données projet'!$B$12,Paramètres!$A$1:$I$89,5,0)</f>
        <v>410.13960000000026</v>
      </c>
      <c r="CA127" s="13">
        <f t="shared" si="93"/>
        <v>93.829309021984102</v>
      </c>
      <c r="CB127" s="20">
        <f t="shared" si="64"/>
        <v>877.74584987995604</v>
      </c>
      <c r="CC127" s="59">
        <f t="shared" si="65"/>
        <v>1171.0791832132893</v>
      </c>
      <c r="CD127" s="59">
        <f ca="1">AVERAGE(OFFSET($CC$3,0,0,'Données projet'!$E$12+1,1))-AVERAGE(OFFSET($H$3,0,0,'Données projet'!$E$12+1,1))</f>
        <v>609.40025883662452</v>
      </c>
      <c r="CE127" s="59">
        <f t="shared" si="94"/>
        <v>294.48909834404577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0.29099927737013465</v>
      </c>
      <c r="CM127" s="21">
        <f>EXP(-LN(2)/2)*CM126+(1-EXP(-LN(2)/2))/(LN(2)/2)*CG127*CJ127*VLOOKUP('Données projet'!$B$12,Paramètres!$A$1:$I$89,3,0)*0.475*44/12</f>
        <v>5.582220449058059E-14</v>
      </c>
      <c r="CN127" s="22">
        <f t="shared" si="66"/>
        <v>0.29099927737019049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-1.1368683772161603E-13</v>
      </c>
      <c r="CU127" s="17">
        <f>CT127*VLOOKUP('Données projet'!$B$13,Paramètres!$A$1:$I$89,3,0)*VLOOKUP('Données projet'!$B$13,Paramètres!$A$1:$I$89,5,0)</f>
        <v>-5.3205440053716299E-14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346.16623654404509</v>
      </c>
      <c r="CZ127" s="59">
        <f t="shared" si="96"/>
        <v>281.80933156559087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0.4871907347562528</v>
      </c>
      <c r="DG127" s="21">
        <f>EXP(-LN(2)/25)*DG126+(1-EXP(-LN(2)/25))/(LN(2)/25)*Calculateur!DB127*Calculateur!DD127*VLOOKUP('Données projet'!$B$13,Paramètres!$A$1:$I$89,3,0)*0.475*44/12</f>
        <v>0.57982785963670425</v>
      </c>
      <c r="DH127" s="21">
        <f>EXP(-LN(2)/2)*DH126+(1-EXP(-LN(2)/2))/(LN(2)/2)*DB127*DE127*VLOOKUP('Données projet'!$B$13,Paramètres!$A$1:$I$89,3,0)*0.475*44/12</f>
        <v>6.9861815747856269E-14</v>
      </c>
      <c r="DI127" s="22">
        <f t="shared" si="69"/>
        <v>1.067018594393027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6.2527760746888816E-13</v>
      </c>
      <c r="DP127" s="17">
        <f>DO127*VLOOKUP('Données projet'!$B$14,Paramètres!$A$1:$I$89,3,0)*VLOOKUP('Données projet'!$B$14,Paramètres!$A$1:$I$89,5,0)</f>
        <v>3.9017322706058616E-13</v>
      </c>
      <c r="DQ127" s="13">
        <f t="shared" si="97"/>
        <v>5.0025007393608908E-12</v>
      </c>
      <c r="DR127" s="20">
        <f t="shared" si="70"/>
        <v>9.3922404915174053E-12</v>
      </c>
      <c r="DS127" s="59">
        <f t="shared" si="71"/>
        <v>293.33333333334269</v>
      </c>
      <c r="DT127" s="59">
        <f ca="1">AVERAGE(OFFSET($DS$3,0,0,'Données projet'!$E$14+1,1))-AVERAGE(OFFSET($H$3,0,0,'Données projet'!$E$14+1,1))</f>
        <v>319.97171762304686</v>
      </c>
      <c r="DU127" s="59">
        <f t="shared" si="98"/>
        <v>337.89345858359621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1.0807162268310611</v>
      </c>
      <c r="EB127" s="21">
        <f>EXP(-LN(2)/25)*EB126+(1-EXP(-LN(2)/25))/(LN(2)/25)*Calculateur!DW127*Calculateur!DY127*VLOOKUP('Données projet'!$B$14,Paramètres!$A$1:$I$89,3,0)*0.475*44/12</f>
        <v>1.5343979584486855</v>
      </c>
      <c r="EC127" s="21">
        <f>EXP(-LN(2)/2)*EC126+(1-EXP(-LN(2)/2))/(LN(2)/2)*DW127*DZ127*VLOOKUP('Données projet'!$B$14,Paramètres!$A$1:$I$89,3,0)*0.475*44/12</f>
        <v>1.4346437285237175E-13</v>
      </c>
      <c r="ED127" s="22">
        <f t="shared" si="72"/>
        <v>2.6151141852798898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>
        <f>EJ127*VLOOKUP('Données projet'!$B$15,Paramètres!$A$1:$I$89,3,0)*VLOOKUP('Données projet'!$B$15,Paramètres!$A$1:$I$89,5,0)</f>
        <v>0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258.46015871559956</v>
      </c>
      <c r="EP127" s="59">
        <f t="shared" si="100"/>
        <v>280.26155987300996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0.96553797223941029</v>
      </c>
      <c r="EW127" s="21">
        <f>EXP(-LN(2)/25)*EW126+(1-EXP(-LN(2)/25))/(LN(2)/25)*Calculateur!ER127*Calculateur!ET127*VLOOKUP('Données projet'!$B$15,Paramètres!$A$1:$I$89,3,0)*0.475*44/12</f>
        <v>0.91016759053196616</v>
      </c>
      <c r="EX127" s="21">
        <f>EXP(-LN(2)/2)*EX126+(1-EXP(-LN(2)/2))/(LN(2)/2)*ER127*EU127*VLOOKUP('Données projet'!$B$15,Paramètres!$A$1:$I$89,3,0)*0.475*44/12</f>
        <v>3.8693971575825763E-14</v>
      </c>
      <c r="EY127" s="22">
        <f t="shared" si="75"/>
        <v>1.8757055627714152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243.00000000000017</v>
      </c>
      <c r="O128" s="13">
        <f>N128*VLOOKUP('Données projet'!$B$9,Paramètres!$A$1:$I$89,3,0)*VLOOKUP('Données projet'!$B$9,Paramètres!$A$1:$I$89,5,0)</f>
        <v>212.28480000000016</v>
      </c>
      <c r="P128" s="13">
        <f t="shared" si="87"/>
        <v>52.434557099704236</v>
      </c>
      <c r="Q128" s="20">
        <f t="shared" si="107"/>
        <v>461.0528802819851</v>
      </c>
      <c r="R128" s="59">
        <f t="shared" si="55"/>
        <v>754.38621361531841</v>
      </c>
      <c r="S128" s="59">
        <f ca="1">AVERAGE(OFFSET($R$3,0,0,'Données projet'!$E$9+1,1))-AVERAGE(OFFSET($H$3,0,0,'Données projet'!$E$9+1,1))</f>
        <v>368.41876532159154</v>
      </c>
      <c r="T128" s="59">
        <f t="shared" si="88"/>
        <v>369.39570124551125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0.93838787679022362</v>
      </c>
      <c r="AA128" s="21">
        <f>EXP(-LN(2)/25)*AA127+(1-EXP(-LN(2)/25))/(LN(2)/25)*Calculateur!V128*Calculateur!X128*VLOOKUP('Données projet'!$B$9,Paramètres!$A$1:$I$89,3,0)*0.475*44/12</f>
        <v>1.1645648010609564</v>
      </c>
      <c r="AB128" s="21">
        <f>EXP(-LN(2)/2)*AB127+(1-EXP(-LN(2)/2))/(LN(2)/2)*V128*Y128*VLOOKUP('Données projet'!$B$9,Paramètres!$A$1:$I$89,3,0)*0.475*44/12</f>
        <v>8.9284956445756271E-14</v>
      </c>
      <c r="AC128" s="22">
        <f t="shared" si="57"/>
        <v>2.102952677851269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-5.1159076974727213E-13</v>
      </c>
      <c r="AJ128" s="13">
        <f>AI128*VLOOKUP('Données projet'!$B$10,Paramètres!$A$1:$I$89,3,0)*VLOOKUP('Données projet'!$B$10,Paramètres!$A$1:$I$89,5,0)</f>
        <v>-4.4692569645121704E-13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402.82278346470082</v>
      </c>
      <c r="AO128" s="59">
        <f t="shared" si="90"/>
        <v>440.17787299198977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0.54594919324283242</v>
      </c>
      <c r="AV128" s="21">
        <f>EXP(-LN(2)/25)*AV127+(1-EXP(-LN(2)/25))/(LN(2)/25)*Calculateur!AQ128*Calculateur!AS128*VLOOKUP('Données projet'!$B$10,Paramètres!$A$1:$I$89,3,0)*0.475*44/12</f>
        <v>1.6176062477075399</v>
      </c>
      <c r="AW128" s="21">
        <f>EXP(-LN(2)/2)*AW127+(1-EXP(-LN(2)/2))/(LN(2)/2)*AQ128*AT128*VLOOKUP('Données projet'!$B$10,Paramètres!$A$1:$I$89,3,0)*0.475*44/12</f>
        <v>1.3262032050701377E-13</v>
      </c>
      <c r="AX128" s="21">
        <f t="shared" si="60"/>
        <v>2.1635554409505051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-3.4106051316484809E-13</v>
      </c>
      <c r="BE128" s="13">
        <f>BD128*VLOOKUP('Données projet'!$B$11,Paramètres!$A$1:$I$89,3,0)*VLOOKUP('Données projet'!$B$11,Paramètres!$A$1:$I$89,5,0)</f>
        <v>-3.0859155231155454E-13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469.68830256438338</v>
      </c>
      <c r="BJ128" s="59">
        <f t="shared" si="92"/>
        <v>332.61387922152159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0.367007355241947</v>
      </c>
      <c r="BQ128" s="21">
        <f>EXP(-LN(2)/25)*BQ127+(1-EXP(-LN(2)/25))/(LN(2)/25)*Calculateur!BL128*Calculateur!BN128*VLOOKUP('Données projet'!$B$11,Paramètres!$A$1:$I$89,3,0)*0.475*44/12</f>
        <v>0.81003468352473973</v>
      </c>
      <c r="BR128" s="21">
        <f>EXP(-LN(2)/2)*BR127+(1-EXP(-LN(2)/2))/(LN(2)/2)*BL128*BO128*VLOOKUP('Données projet'!$B$11,Paramètres!$A$1:$I$89,3,0)*0.475*44/12</f>
        <v>1.0829034089118908E-13</v>
      </c>
      <c r="BS128" s="22">
        <f t="shared" si="63"/>
        <v>1.177042038766795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5</v>
      </c>
      <c r="BY128" s="12">
        <f>IF('Données projet'!$A$114&gt;35,BY127+BX128-CG127,IF(A128&lt;'Données projet'!$A$114,$BV$205^A128,IF(A128='Données projet'!$A$114,'Données projet'!$B$114,BY127+BX128-CG127)))</f>
        <v>436.00000000000023</v>
      </c>
      <c r="BZ128" s="13">
        <f>BY128*VLOOKUP('Données projet'!$B$12,Paramètres!$A$1:$I$89,3,0)*VLOOKUP('Données projet'!$B$12,Paramètres!$A$1:$I$89,5,0)</f>
        <v>414.89760000000024</v>
      </c>
      <c r="CA128" s="13">
        <f t="shared" si="93"/>
        <v>94.79046726554958</v>
      </c>
      <c r="CB128" s="20">
        <f t="shared" si="64"/>
        <v>887.70671715416586</v>
      </c>
      <c r="CC128" s="59">
        <f t="shared" si="65"/>
        <v>1181.0400504874992</v>
      </c>
      <c r="CD128" s="59">
        <f ca="1">AVERAGE(OFFSET($CC$3,0,0,'Données projet'!$E$12+1,1))-AVERAGE(OFFSET($H$3,0,0,'Données projet'!$E$12+1,1))</f>
        <v>609.40025883662452</v>
      </c>
      <c r="CE128" s="59">
        <f t="shared" si="94"/>
        <v>294.48909834404577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0.2830418868274614</v>
      </c>
      <c r="CM128" s="21">
        <f>EXP(-LN(2)/2)*CM127+(1-EXP(-LN(2)/2))/(LN(2)/2)*CG128*CJ128*VLOOKUP('Données projet'!$B$12,Paramètres!$A$1:$I$89,3,0)*0.475*44/12</f>
        <v>3.9472259336071682E-14</v>
      </c>
      <c r="CN128" s="22">
        <f t="shared" si="66"/>
        <v>0.28304188682750087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-1.1368683772161603E-13</v>
      </c>
      <c r="CU128" s="17">
        <f>CT128*VLOOKUP('Données projet'!$B$13,Paramètres!$A$1:$I$89,3,0)*VLOOKUP('Données projet'!$B$13,Paramètres!$A$1:$I$89,5,0)</f>
        <v>-5.3205440053716299E-14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346.16623654404509</v>
      </c>
      <c r="CZ128" s="59">
        <f t="shared" si="96"/>
        <v>281.80933156559087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0.47763722160468908</v>
      </c>
      <c r="DG128" s="21">
        <f>EXP(-LN(2)/25)*DG127+(1-EXP(-LN(2)/25))/(LN(2)/25)*Calculateur!DB128*Calculateur!DD128*VLOOKUP('Données projet'!$B$13,Paramètres!$A$1:$I$89,3,0)*0.475*44/12</f>
        <v>0.56397243632311667</v>
      </c>
      <c r="DH128" s="21">
        <f>EXP(-LN(2)/2)*DH127+(1-EXP(-LN(2)/2))/(LN(2)/2)*DB128*DE128*VLOOKUP('Données projet'!$B$13,Paramètres!$A$1:$I$89,3,0)*0.475*44/12</f>
        <v>4.9399763661314303E-14</v>
      </c>
      <c r="DI128" s="22">
        <f t="shared" si="69"/>
        <v>1.0416096579278551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6.2527760746888816E-13</v>
      </c>
      <c r="DP128" s="17">
        <f>DO128*VLOOKUP('Données projet'!$B$14,Paramètres!$A$1:$I$89,3,0)*VLOOKUP('Données projet'!$B$14,Paramètres!$A$1:$I$89,5,0)</f>
        <v>3.9017322706058616E-13</v>
      </c>
      <c r="DQ128" s="13">
        <f t="shared" si="97"/>
        <v>5.0025007393608908E-12</v>
      </c>
      <c r="DR128" s="20">
        <f t="shared" si="70"/>
        <v>9.3922404915174053E-12</v>
      </c>
      <c r="DS128" s="59">
        <f t="shared" si="71"/>
        <v>293.33333333334269</v>
      </c>
      <c r="DT128" s="59">
        <f ca="1">AVERAGE(OFFSET($DS$3,0,0,'Données projet'!$E$14+1,1))-AVERAGE(OFFSET($H$3,0,0,'Données projet'!$E$14+1,1))</f>
        <v>319.97171762304686</v>
      </c>
      <c r="DU128" s="59">
        <f t="shared" si="98"/>
        <v>337.89345858359621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1.0595240407947144</v>
      </c>
      <c r="EB128" s="21">
        <f>EXP(-LN(2)/25)*EB127+(1-EXP(-LN(2)/25))/(LN(2)/25)*Calculateur!DW128*Calculateur!DY128*VLOOKUP('Données projet'!$B$14,Paramètres!$A$1:$I$89,3,0)*0.475*44/12</f>
        <v>1.4924397655844246</v>
      </c>
      <c r="EC128" s="21">
        <f>EXP(-LN(2)/2)*EC127+(1-EXP(-LN(2)/2))/(LN(2)/2)*DW128*DZ128*VLOOKUP('Données projet'!$B$14,Paramètres!$A$1:$I$89,3,0)*0.475*44/12</f>
        <v>1.014446309025873E-13</v>
      </c>
      <c r="ED128" s="22">
        <f t="shared" si="72"/>
        <v>2.5519638063792405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>
        <f>EJ128*VLOOKUP('Données projet'!$B$15,Paramètres!$A$1:$I$89,3,0)*VLOOKUP('Données projet'!$B$15,Paramètres!$A$1:$I$89,5,0)</f>
        <v>0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258.46015871559956</v>
      </c>
      <c r="EP128" s="59">
        <f t="shared" si="100"/>
        <v>280.26155987300996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0.94660436152380745</v>
      </c>
      <c r="EW128" s="21">
        <f>EXP(-LN(2)/25)*EW127+(1-EXP(-LN(2)/25))/(LN(2)/25)*Calculateur!ER128*Calculateur!ET128*VLOOKUP('Données projet'!$B$15,Paramètres!$A$1:$I$89,3,0)*0.475*44/12</f>
        <v>0.88527900990523622</v>
      </c>
      <c r="EX128" s="21">
        <f>EXP(-LN(2)/2)*EX127+(1-EXP(-LN(2)/2))/(LN(2)/2)*ER128*EU128*VLOOKUP('Données projet'!$B$15,Paramètres!$A$1:$I$89,3,0)*0.475*44/12</f>
        <v>2.7360769692305918E-14</v>
      </c>
      <c r="EY128" s="22">
        <f t="shared" si="75"/>
        <v>1.831883371429071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243.00000000000017</v>
      </c>
      <c r="O129" s="13">
        <f>N129*VLOOKUP('Données projet'!$B$9,Paramètres!$A$1:$I$89,3,0)*VLOOKUP('Données projet'!$B$9,Paramètres!$A$1:$I$89,5,0)</f>
        <v>212.28480000000016</v>
      </c>
      <c r="P129" s="13">
        <f t="shared" si="87"/>
        <v>52.434557099704236</v>
      </c>
      <c r="Q129" s="20">
        <f t="shared" si="107"/>
        <v>461.0528802819851</v>
      </c>
      <c r="R129" s="59">
        <f t="shared" si="55"/>
        <v>754.38621361531841</v>
      </c>
      <c r="S129" s="59">
        <f ca="1">AVERAGE(OFFSET($R$3,0,0,'Données projet'!$E$9+1,1))-AVERAGE(OFFSET($H$3,0,0,'Données projet'!$E$9+1,1))</f>
        <v>368.41876532159154</v>
      </c>
      <c r="T129" s="59">
        <f t="shared" si="88"/>
        <v>369.39570124551125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0.91998666288645636</v>
      </c>
      <c r="AA129" s="21">
        <f>EXP(-LN(2)/25)*AA128+(1-EXP(-LN(2)/25))/(LN(2)/25)*Calculateur!V129*Calculateur!X129*VLOOKUP('Données projet'!$B$9,Paramètres!$A$1:$I$89,3,0)*0.475*44/12</f>
        <v>1.1327197153341433</v>
      </c>
      <c r="AB129" s="21">
        <f>EXP(-LN(2)/2)*AB128+(1-EXP(-LN(2)/2))/(LN(2)/2)*V129*Y129*VLOOKUP('Données projet'!$B$9,Paramètres!$A$1:$I$89,3,0)*0.475*44/12</f>
        <v>6.3133998160739804E-14</v>
      </c>
      <c r="AC129" s="22">
        <f t="shared" si="57"/>
        <v>2.0527063782206625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-5.1159076974727213E-13</v>
      </c>
      <c r="AJ129" s="13">
        <f>AI129*VLOOKUP('Données projet'!$B$10,Paramètres!$A$1:$I$89,3,0)*VLOOKUP('Données projet'!$B$10,Paramètres!$A$1:$I$89,5,0)</f>
        <v>-4.4692569645121704E-13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402.82278346470082</v>
      </c>
      <c r="AO129" s="59">
        <f t="shared" si="90"/>
        <v>440.17787299198977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0.53524346255946775</v>
      </c>
      <c r="AV129" s="21">
        <f>EXP(-LN(2)/25)*AV128+(1-EXP(-LN(2)/25))/(LN(2)/25)*Calculateur!AQ129*Calculateur!AS129*VLOOKUP('Données projet'!$B$10,Paramètres!$A$1:$I$89,3,0)*0.475*44/12</f>
        <v>1.5733727197977618</v>
      </c>
      <c r="AW129" s="21">
        <f>EXP(-LN(2)/2)*AW128+(1-EXP(-LN(2)/2))/(LN(2)/2)*AQ129*AT129*VLOOKUP('Données projet'!$B$10,Paramètres!$A$1:$I$89,3,0)*0.475*44/12</f>
        <v>9.3776727953642786E-14</v>
      </c>
      <c r="AX129" s="21">
        <f t="shared" si="60"/>
        <v>2.1086161823573231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-3.4106051316484809E-13</v>
      </c>
      <c r="BE129" s="13">
        <f>BD129*VLOOKUP('Données projet'!$B$11,Paramètres!$A$1:$I$89,3,0)*VLOOKUP('Données projet'!$B$11,Paramètres!$A$1:$I$89,5,0)</f>
        <v>-3.0859155231155454E-13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469.68830256438338</v>
      </c>
      <c r="BJ129" s="59">
        <f t="shared" si="92"/>
        <v>332.61387922152159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0.35981056485803553</v>
      </c>
      <c r="BQ129" s="21">
        <f>EXP(-LN(2)/25)*BQ128+(1-EXP(-LN(2)/25))/(LN(2)/25)*Calculateur!BL129*Calculateur!BN129*VLOOKUP('Données projet'!$B$11,Paramètres!$A$1:$I$89,3,0)*0.475*44/12</f>
        <v>0.78788424250588307</v>
      </c>
      <c r="BR129" s="21">
        <f>EXP(-LN(2)/2)*BR128+(1-EXP(-LN(2)/2))/(LN(2)/2)*BL129*BO129*VLOOKUP('Données projet'!$B$11,Paramètres!$A$1:$I$89,3,0)*0.475*44/12</f>
        <v>7.6572834381162674E-14</v>
      </c>
      <c r="BS129" s="22">
        <f t="shared" si="63"/>
        <v>1.1476948073639952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5</v>
      </c>
      <c r="BY129" s="12">
        <f>IF('Données projet'!$A$114&gt;35,BY128+BX129-CG128,IF(A129&lt;'Données projet'!$A$114,$BV$205^A129,IF(A129='Données projet'!$A$114,'Données projet'!$B$114,BY128+BX129-CG128)))</f>
        <v>441.00000000000023</v>
      </c>
      <c r="BZ129" s="13">
        <f>BY129*VLOOKUP('Données projet'!$B$12,Paramètres!$A$1:$I$89,3,0)*VLOOKUP('Données projet'!$B$12,Paramètres!$A$1:$I$89,5,0)</f>
        <v>419.65560000000016</v>
      </c>
      <c r="CA129" s="13">
        <f t="shared" si="93"/>
        <v>95.750343321351295</v>
      </c>
      <c r="CB129" s="20">
        <f t="shared" si="64"/>
        <v>897.66535128468706</v>
      </c>
      <c r="CC129" s="59">
        <f t="shared" si="65"/>
        <v>1190.9986846180204</v>
      </c>
      <c r="CD129" s="59">
        <f ca="1">AVERAGE(OFFSET($CC$3,0,0,'Données projet'!$E$12+1,1))-AVERAGE(OFFSET($H$3,0,0,'Données projet'!$E$12+1,1))</f>
        <v>609.40025883662452</v>
      </c>
      <c r="CE129" s="59">
        <f t="shared" si="94"/>
        <v>294.48909834404577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0.27530209154763852</v>
      </c>
      <c r="CM129" s="21">
        <f>EXP(-LN(2)/2)*CM128+(1-EXP(-LN(2)/2))/(LN(2)/2)*CG129*CJ129*VLOOKUP('Données projet'!$B$12,Paramètres!$A$1:$I$89,3,0)*0.475*44/12</f>
        <v>2.7911102245290298E-14</v>
      </c>
      <c r="CN129" s="22">
        <f t="shared" si="66"/>
        <v>0.27530209154766644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-1.1368683772161603E-13</v>
      </c>
      <c r="CU129" s="17">
        <f>CT129*VLOOKUP('Données projet'!$B$13,Paramètres!$A$1:$I$89,3,0)*VLOOKUP('Données projet'!$B$13,Paramètres!$A$1:$I$89,5,0)</f>
        <v>-5.3205440053716299E-14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346.16623654404509</v>
      </c>
      <c r="CZ129" s="59">
        <f t="shared" si="96"/>
        <v>281.80933156559087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0.46827104701895989</v>
      </c>
      <c r="DG129" s="21">
        <f>EXP(-LN(2)/25)*DG128+(1-EXP(-LN(2)/25))/(LN(2)/25)*Calculateur!DB129*Calculateur!DD129*VLOOKUP('Données projet'!$B$13,Paramètres!$A$1:$I$89,3,0)*0.475*44/12</f>
        <v>0.54855058039383964</v>
      </c>
      <c r="DH129" s="21">
        <f>EXP(-LN(2)/2)*DH128+(1-EXP(-LN(2)/2))/(LN(2)/2)*DB129*DE129*VLOOKUP('Données projet'!$B$13,Paramètres!$A$1:$I$89,3,0)*0.475*44/12</f>
        <v>3.4930907873928134E-14</v>
      </c>
      <c r="DI129" s="22">
        <f t="shared" si="69"/>
        <v>1.0168216274128343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6.2527760746888816E-13</v>
      </c>
      <c r="DP129" s="17">
        <f>DO129*VLOOKUP('Données projet'!$B$14,Paramètres!$A$1:$I$89,3,0)*VLOOKUP('Données projet'!$B$14,Paramètres!$A$1:$I$89,5,0)</f>
        <v>3.9017322706058616E-13</v>
      </c>
      <c r="DQ129" s="13">
        <f t="shared" si="97"/>
        <v>5.0025007393608908E-12</v>
      </c>
      <c r="DR129" s="20">
        <f t="shared" si="70"/>
        <v>9.3922404915174053E-12</v>
      </c>
      <c r="DS129" s="59">
        <f t="shared" si="71"/>
        <v>293.33333333334269</v>
      </c>
      <c r="DT129" s="59">
        <f ca="1">AVERAGE(OFFSET($DS$3,0,0,'Données projet'!$E$14+1,1))-AVERAGE(OFFSET($H$3,0,0,'Données projet'!$E$14+1,1))</f>
        <v>319.97171762304686</v>
      </c>
      <c r="DU129" s="59">
        <f t="shared" si="98"/>
        <v>337.89345858359621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1.0387474206005836</v>
      </c>
      <c r="EB129" s="21">
        <f>EXP(-LN(2)/25)*EB128+(1-EXP(-LN(2)/25))/(LN(2)/25)*Calculateur!DW129*Calculateur!DY129*VLOOKUP('Données projet'!$B$14,Paramètres!$A$1:$I$89,3,0)*0.475*44/12</f>
        <v>1.4516289217105223</v>
      </c>
      <c r="EC129" s="21">
        <f>EXP(-LN(2)/2)*EC128+(1-EXP(-LN(2)/2))/(LN(2)/2)*DW129*DZ129*VLOOKUP('Données projet'!$B$14,Paramètres!$A$1:$I$89,3,0)*0.475*44/12</f>
        <v>7.1732186426185876E-14</v>
      </c>
      <c r="ED129" s="22">
        <f t="shared" si="72"/>
        <v>2.490376342311178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>
        <f>EJ129*VLOOKUP('Données projet'!$B$15,Paramètres!$A$1:$I$89,3,0)*VLOOKUP('Données projet'!$B$15,Paramètres!$A$1:$I$89,5,0)</f>
        <v>0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258.46015871559956</v>
      </c>
      <c r="EP129" s="59">
        <f t="shared" si="100"/>
        <v>280.26155987300996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0.92804202736597541</v>
      </c>
      <c r="EW129" s="21">
        <f>EXP(-LN(2)/25)*EW128+(1-EXP(-LN(2)/25))/(LN(2)/25)*Calculateur!ER129*Calculateur!ET129*VLOOKUP('Données projet'!$B$15,Paramètres!$A$1:$I$89,3,0)*0.475*44/12</f>
        <v>0.86107100882457777</v>
      </c>
      <c r="EX129" s="21">
        <f>EXP(-LN(2)/2)*EX128+(1-EXP(-LN(2)/2))/(LN(2)/2)*ER129*EU129*VLOOKUP('Données projet'!$B$15,Paramètres!$A$1:$I$89,3,0)*0.475*44/12</f>
        <v>1.9346985787912882E-14</v>
      </c>
      <c r="EY129" s="22">
        <f t="shared" si="75"/>
        <v>1.7891130361905725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243.00000000000017</v>
      </c>
      <c r="O130" s="13">
        <f>N130*VLOOKUP('Données projet'!$B$9,Paramètres!$A$1:$I$89,3,0)*VLOOKUP('Données projet'!$B$9,Paramètres!$A$1:$I$89,5,0)</f>
        <v>212.28480000000016</v>
      </c>
      <c r="P130" s="13">
        <f t="shared" si="87"/>
        <v>52.434557099704236</v>
      </c>
      <c r="Q130" s="20">
        <f t="shared" si="107"/>
        <v>461.0528802819851</v>
      </c>
      <c r="R130" s="59">
        <f t="shared" si="55"/>
        <v>754.38621361531841</v>
      </c>
      <c r="S130" s="59">
        <f ca="1">AVERAGE(OFFSET($R$3,0,0,'Données projet'!$E$9+1,1))-AVERAGE(OFFSET($H$3,0,0,'Données projet'!$E$9+1,1))</f>
        <v>368.41876532159154</v>
      </c>
      <c r="T130" s="59">
        <f t="shared" si="88"/>
        <v>369.39570124551125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0.9019462855637097</v>
      </c>
      <c r="AA130" s="21">
        <f>EXP(-LN(2)/25)*AA129+(1-EXP(-LN(2)/25))/(LN(2)/25)*Calculateur!V130*Calculateur!X130*VLOOKUP('Données projet'!$B$9,Paramètres!$A$1:$I$89,3,0)*0.475*44/12</f>
        <v>1.1017454351511902</v>
      </c>
      <c r="AB130" s="21">
        <f>EXP(-LN(2)/2)*AB129+(1-EXP(-LN(2)/2))/(LN(2)/2)*V130*Y130*VLOOKUP('Données projet'!$B$9,Paramètres!$A$1:$I$89,3,0)*0.475*44/12</f>
        <v>4.4642478222878135E-14</v>
      </c>
      <c r="AC130" s="22">
        <f t="shared" si="57"/>
        <v>2.0036917207149449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-5.1159076974727213E-13</v>
      </c>
      <c r="AJ130" s="13">
        <f>AI130*VLOOKUP('Données projet'!$B$10,Paramètres!$A$1:$I$89,3,0)*VLOOKUP('Données projet'!$B$10,Paramètres!$A$1:$I$89,5,0)</f>
        <v>-4.4692569645121704E-13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402.82278346470082</v>
      </c>
      <c r="AO130" s="59">
        <f t="shared" si="90"/>
        <v>440.17787299198977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0.52474766472495293</v>
      </c>
      <c r="AV130" s="21">
        <f>EXP(-LN(2)/25)*AV129+(1-EXP(-LN(2)/25))/(LN(2)/25)*Calculateur!AQ130*Calculateur!AS130*VLOOKUP('Données projet'!$B$10,Paramètres!$A$1:$I$89,3,0)*0.475*44/12</f>
        <v>1.5303487600348167</v>
      </c>
      <c r="AW130" s="21">
        <f>EXP(-LN(2)/2)*AW129+(1-EXP(-LN(2)/2))/(LN(2)/2)*AQ130*AT130*VLOOKUP('Données projet'!$B$10,Paramètres!$A$1:$I$89,3,0)*0.475*44/12</f>
        <v>6.6310160253506883E-14</v>
      </c>
      <c r="AX130" s="21">
        <f t="shared" si="60"/>
        <v>2.0550964247598356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-3.4106051316484809E-13</v>
      </c>
      <c r="BE130" s="13">
        <f>BD130*VLOOKUP('Données projet'!$B$11,Paramètres!$A$1:$I$89,3,0)*VLOOKUP('Données projet'!$B$11,Paramètres!$A$1:$I$89,5,0)</f>
        <v>-3.0859155231155454E-13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469.68830256438338</v>
      </c>
      <c r="BJ130" s="59">
        <f t="shared" si="92"/>
        <v>332.61387922152159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0.35275489914394387</v>
      </c>
      <c r="BQ130" s="21">
        <f>EXP(-LN(2)/25)*BQ129+(1-EXP(-LN(2)/25))/(LN(2)/25)*Calculateur!BL130*Calculateur!BN130*VLOOKUP('Données projet'!$B$11,Paramètres!$A$1:$I$89,3,0)*0.475*44/12</f>
        <v>0.76633950646152815</v>
      </c>
      <c r="BR130" s="21">
        <f>EXP(-LN(2)/2)*BR129+(1-EXP(-LN(2)/2))/(LN(2)/2)*BL130*BO130*VLOOKUP('Données projet'!$B$11,Paramètres!$A$1:$I$89,3,0)*0.475*44/12</f>
        <v>5.4145170445594539E-14</v>
      </c>
      <c r="BS130" s="22">
        <f t="shared" si="63"/>
        <v>1.1190944056055261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5</v>
      </c>
      <c r="BY130" s="12">
        <f>IF('Données projet'!$A$114&gt;35,BY129+BX130-CG129,IF(A130&lt;'Données projet'!$A$114,$BV$205^A130,IF(A130='Données projet'!$A$114,'Données projet'!$B$114,BY129+BX130-CG129)))</f>
        <v>446.00000000000023</v>
      </c>
      <c r="BZ130" s="13">
        <f>BY130*VLOOKUP('Données projet'!$B$12,Paramètres!$A$1:$I$89,3,0)*VLOOKUP('Données projet'!$B$12,Paramètres!$A$1:$I$89,5,0)</f>
        <v>424.4136000000002</v>
      </c>
      <c r="CA130" s="13">
        <f t="shared" si="93"/>
        <v>96.708953408798564</v>
      </c>
      <c r="CB130" s="20">
        <f t="shared" si="64"/>
        <v>907.62178052032448</v>
      </c>
      <c r="CC130" s="59">
        <f t="shared" si="65"/>
        <v>1200.9551138536578</v>
      </c>
      <c r="CD130" s="59">
        <f ca="1">AVERAGE(OFFSET($CC$3,0,0,'Données projet'!$E$12+1,1))-AVERAGE(OFFSET($H$3,0,0,'Données projet'!$E$12+1,1))</f>
        <v>609.40025883662452</v>
      </c>
      <c r="CE130" s="59">
        <f t="shared" si="94"/>
        <v>294.48909834404577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0.26777394137676058</v>
      </c>
      <c r="CM130" s="21">
        <f>EXP(-LN(2)/2)*CM129+(1-EXP(-LN(2)/2))/(LN(2)/2)*CG130*CJ130*VLOOKUP('Données projet'!$B$12,Paramètres!$A$1:$I$89,3,0)*0.475*44/12</f>
        <v>1.9736129668035844E-14</v>
      </c>
      <c r="CN130" s="22">
        <f t="shared" si="66"/>
        <v>0.26777394137678034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-1.1368683772161603E-13</v>
      </c>
      <c r="CU130" s="17">
        <f>CT130*VLOOKUP('Données projet'!$B$13,Paramètres!$A$1:$I$89,3,0)*VLOOKUP('Données projet'!$B$13,Paramètres!$A$1:$I$89,5,0)</f>
        <v>-5.3205440053716299E-14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346.16623654404509</v>
      </c>
      <c r="CZ130" s="59">
        <f t="shared" si="96"/>
        <v>281.80933156559087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0.45908853740405442</v>
      </c>
      <c r="DG130" s="21">
        <f>EXP(-LN(2)/25)*DG129+(1-EXP(-LN(2)/25))/(LN(2)/25)*Calculateur!DB130*Calculateur!DD130*VLOOKUP('Données projet'!$B$13,Paramètres!$A$1:$I$89,3,0)*0.475*44/12</f>
        <v>0.53355043592594875</v>
      </c>
      <c r="DH130" s="21">
        <f>EXP(-LN(2)/2)*DH129+(1-EXP(-LN(2)/2))/(LN(2)/2)*DB130*DE130*VLOOKUP('Données projet'!$B$13,Paramètres!$A$1:$I$89,3,0)*0.475*44/12</f>
        <v>2.4699881830657152E-14</v>
      </c>
      <c r="DI130" s="22">
        <f t="shared" si="69"/>
        <v>0.99263897333002782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6.2527760746888816E-13</v>
      </c>
      <c r="DP130" s="17">
        <f>DO130*VLOOKUP('Données projet'!$B$14,Paramètres!$A$1:$I$89,3,0)*VLOOKUP('Données projet'!$B$14,Paramètres!$A$1:$I$89,5,0)</f>
        <v>3.9017322706058616E-13</v>
      </c>
      <c r="DQ130" s="13">
        <f t="shared" si="97"/>
        <v>5.0025007393608908E-12</v>
      </c>
      <c r="DR130" s="20">
        <f t="shared" si="70"/>
        <v>9.3922404915174053E-12</v>
      </c>
      <c r="DS130" s="59">
        <f t="shared" si="71"/>
        <v>293.33333333334269</v>
      </c>
      <c r="DT130" s="59">
        <f ca="1">AVERAGE(OFFSET($DS$3,0,0,'Données projet'!$E$14+1,1))-AVERAGE(OFFSET($H$3,0,0,'Données projet'!$E$14+1,1))</f>
        <v>319.97171762304686</v>
      </c>
      <c r="DU130" s="59">
        <f t="shared" si="98"/>
        <v>337.89345858359621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1.0183782172559726</v>
      </c>
      <c r="EB130" s="21">
        <f>EXP(-LN(2)/25)*EB129+(1-EXP(-LN(2)/25))/(LN(2)/25)*Calculateur!DW130*Calculateur!DY130*VLOOKUP('Données projet'!$B$14,Paramètres!$A$1:$I$89,3,0)*0.475*44/12</f>
        <v>1.4119340525085007</v>
      </c>
      <c r="EC130" s="21">
        <f>EXP(-LN(2)/2)*EC129+(1-EXP(-LN(2)/2))/(LN(2)/2)*DW130*DZ130*VLOOKUP('Données projet'!$B$14,Paramètres!$A$1:$I$89,3,0)*0.475*44/12</f>
        <v>5.0722315451293652E-14</v>
      </c>
      <c r="ED130" s="22">
        <f t="shared" si="72"/>
        <v>2.4303122697645239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>
        <f>EJ130*VLOOKUP('Données projet'!$B$15,Paramètres!$A$1:$I$89,3,0)*VLOOKUP('Données projet'!$B$15,Paramètres!$A$1:$I$89,5,0)</f>
        <v>0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258.46015871559956</v>
      </c>
      <c r="EP130" s="59">
        <f t="shared" si="100"/>
        <v>280.26155987300996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0.90984368925907255</v>
      </c>
      <c r="EW130" s="21">
        <f>EXP(-LN(2)/25)*EW129+(1-EXP(-LN(2)/25))/(LN(2)/25)*Calculateur!ER130*Calculateur!ET130*VLOOKUP('Données projet'!$B$15,Paramètres!$A$1:$I$89,3,0)*0.475*44/12</f>
        <v>0.83752497680651339</v>
      </c>
      <c r="EX130" s="21">
        <f>EXP(-LN(2)/2)*EX129+(1-EXP(-LN(2)/2))/(LN(2)/2)*ER130*EU130*VLOOKUP('Données projet'!$B$15,Paramètres!$A$1:$I$89,3,0)*0.475*44/12</f>
        <v>1.3680384846152959E-14</v>
      </c>
      <c r="EY130" s="22">
        <f t="shared" si="75"/>
        <v>1.7473686660655998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243.00000000000017</v>
      </c>
      <c r="O131" s="13">
        <f>N131*VLOOKUP('Données projet'!$B$9,Paramètres!$A$1:$I$89,3,0)*VLOOKUP('Données projet'!$B$9,Paramètres!$A$1:$I$89,5,0)</f>
        <v>212.28480000000016</v>
      </c>
      <c r="P131" s="13">
        <f t="shared" si="87"/>
        <v>52.434557099704236</v>
      </c>
      <c r="Q131" s="20">
        <f t="shared" ref="Q131:Q153" si="108">(O131+P131)*0.475*44/12</f>
        <v>461.0528802819851</v>
      </c>
      <c r="R131" s="59">
        <f t="shared" ref="R131:R194" si="109">Q131+(I131+J131)*44/12</f>
        <v>754.38621361531841</v>
      </c>
      <c r="S131" s="59">
        <f ca="1">AVERAGE(OFFSET($R$3,0,0,'Données projet'!$E$9+1,1))-AVERAGE(OFFSET($H$3,0,0,'Données projet'!$E$9+1,1))</f>
        <v>368.41876532159154</v>
      </c>
      <c r="T131" s="59">
        <f t="shared" si="88"/>
        <v>369.39570124551125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0.88425966903671849</v>
      </c>
      <c r="AA131" s="21">
        <f>EXP(-LN(2)/25)*AA130+(1-EXP(-LN(2)/25))/(LN(2)/25)*Calculateur!V131*Calculateur!X131*VLOOKUP('Données projet'!$B$9,Paramètres!$A$1:$I$89,3,0)*0.475*44/12</f>
        <v>1.0716181482887066</v>
      </c>
      <c r="AB131" s="21">
        <f>EXP(-LN(2)/2)*AB130+(1-EXP(-LN(2)/2))/(LN(2)/2)*V131*Y131*VLOOKUP('Données projet'!$B$9,Paramètres!$A$1:$I$89,3,0)*0.475*44/12</f>
        <v>3.1566999080369902E-14</v>
      </c>
      <c r="AC131" s="22">
        <f t="shared" si="57"/>
        <v>1.9558778173254567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-5.1159076974727213E-13</v>
      </c>
      <c r="AJ131" s="13">
        <f>AI131*VLOOKUP('Données projet'!$B$10,Paramètres!$A$1:$I$89,3,0)*VLOOKUP('Données projet'!$B$10,Paramètres!$A$1:$I$89,5,0)</f>
        <v>-4.4692569645121704E-13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402.82278346470082</v>
      </c>
      <c r="AO131" s="59">
        <f t="shared" si="90"/>
        <v>440.17787299198977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0.51445768308416839</v>
      </c>
      <c r="AV131" s="21">
        <f>EXP(-LN(2)/25)*AV130+(1-EXP(-LN(2)/25))/(LN(2)/25)*Calculateur!AQ131*Calculateur!AS131*VLOOKUP('Données projet'!$B$10,Paramètres!$A$1:$I$89,3,0)*0.475*44/12</f>
        <v>1.488501292714121</v>
      </c>
      <c r="AW131" s="21">
        <f>EXP(-LN(2)/2)*AW130+(1-EXP(-LN(2)/2))/(LN(2)/2)*AQ131*AT131*VLOOKUP('Données projet'!$B$10,Paramètres!$A$1:$I$89,3,0)*0.475*44/12</f>
        <v>4.6888363976821393E-14</v>
      </c>
      <c r="AX131" s="21">
        <f t="shared" si="60"/>
        <v>2.0029589757983364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-3.4106051316484809E-13</v>
      </c>
      <c r="BE131" s="13">
        <f>BD131*VLOOKUP('Données projet'!$B$11,Paramètres!$A$1:$I$89,3,0)*VLOOKUP('Données projet'!$B$11,Paramètres!$A$1:$I$89,5,0)</f>
        <v>-3.0859155231155454E-13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469.68830256438338</v>
      </c>
      <c r="BJ131" s="59">
        <f t="shared" si="92"/>
        <v>332.61387922152159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0.34583759073097442</v>
      </c>
      <c r="BQ131" s="21">
        <f>EXP(-LN(2)/25)*BQ130+(1-EXP(-LN(2)/25))/(LN(2)/25)*Calculateur!BL131*Calculateur!BN131*VLOOKUP('Données projet'!$B$11,Paramètres!$A$1:$I$89,3,0)*0.475*44/12</f>
        <v>0.74538391235729451</v>
      </c>
      <c r="BR131" s="21">
        <f>EXP(-LN(2)/2)*BR130+(1-EXP(-LN(2)/2))/(LN(2)/2)*BL131*BO131*VLOOKUP('Données projet'!$B$11,Paramètres!$A$1:$I$89,3,0)*0.475*44/12</f>
        <v>3.8286417190581337E-14</v>
      </c>
      <c r="BS131" s="22">
        <f t="shared" si="63"/>
        <v>1.091221503088307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5</v>
      </c>
      <c r="BY131" s="12">
        <f>IF('Données projet'!$A$114&gt;35,BY130+BX131-CG130,IF(A131&lt;'Données projet'!$A$114,$BV$205^A131,IF(A131='Données projet'!$A$114,'Données projet'!$B$114,BY130+BX131-CG130)))</f>
        <v>451.00000000000023</v>
      </c>
      <c r="BZ131" s="13">
        <f>BY131*VLOOKUP('Données projet'!$B$12,Paramètres!$A$1:$I$89,3,0)*VLOOKUP('Données projet'!$B$12,Paramètres!$A$1:$I$89,5,0)</f>
        <v>429.17160000000024</v>
      </c>
      <c r="CA131" s="13">
        <f t="shared" si="93"/>
        <v>97.66631336269846</v>
      </c>
      <c r="CB131" s="20">
        <f t="shared" si="64"/>
        <v>917.57603244003349</v>
      </c>
      <c r="CC131" s="59">
        <f t="shared" si="65"/>
        <v>1210.9093657733667</v>
      </c>
      <c r="CD131" s="59">
        <f ca="1">AVERAGE(OFFSET($CC$3,0,0,'Données projet'!$E$12+1,1))-AVERAGE(OFFSET($H$3,0,0,'Données projet'!$E$12+1,1))</f>
        <v>609.40025883662452</v>
      </c>
      <c r="CE131" s="59">
        <f t="shared" si="94"/>
        <v>294.48909834404577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0.2604516488681935</v>
      </c>
      <c r="CM131" s="21">
        <f>EXP(-LN(2)/2)*CM130+(1-EXP(-LN(2)/2))/(LN(2)/2)*CG131*CJ131*VLOOKUP('Données projet'!$B$12,Paramètres!$A$1:$I$89,3,0)*0.475*44/12</f>
        <v>1.3955551122645152E-14</v>
      </c>
      <c r="CN131" s="22">
        <f t="shared" si="66"/>
        <v>0.26045164886820743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-1.1368683772161603E-13</v>
      </c>
      <c r="CU131" s="17">
        <f>CT131*VLOOKUP('Données projet'!$B$13,Paramètres!$A$1:$I$89,3,0)*VLOOKUP('Données projet'!$B$13,Paramètres!$A$1:$I$89,5,0)</f>
        <v>-5.3205440053716299E-14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346.16623654404509</v>
      </c>
      <c r="CZ131" s="59">
        <f t="shared" si="96"/>
        <v>281.80933156559087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0.45008609120191939</v>
      </c>
      <c r="DG131" s="21">
        <f>EXP(-LN(2)/25)*DG130+(1-EXP(-LN(2)/25))/(LN(2)/25)*Calculateur!DB131*Calculateur!DD131*VLOOKUP('Données projet'!$B$13,Paramètres!$A$1:$I$89,3,0)*0.475*44/12</f>
        <v>0.51896047119735567</v>
      </c>
      <c r="DH131" s="21">
        <f>EXP(-LN(2)/2)*DH130+(1-EXP(-LN(2)/2))/(LN(2)/2)*DB131*DE131*VLOOKUP('Données projet'!$B$13,Paramètres!$A$1:$I$89,3,0)*0.475*44/12</f>
        <v>1.7465453936964067E-14</v>
      </c>
      <c r="DI131" s="22">
        <f t="shared" si="69"/>
        <v>0.96904656239929243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6.2527760746888816E-13</v>
      </c>
      <c r="DP131" s="17">
        <f>DO131*VLOOKUP('Données projet'!$B$14,Paramètres!$A$1:$I$89,3,0)*VLOOKUP('Données projet'!$B$14,Paramètres!$A$1:$I$89,5,0)</f>
        <v>3.9017322706058616E-13</v>
      </c>
      <c r="DQ131" s="13">
        <f t="shared" si="97"/>
        <v>5.0025007393608908E-12</v>
      </c>
      <c r="DR131" s="20">
        <f t="shared" si="70"/>
        <v>9.3922404915174053E-12</v>
      </c>
      <c r="DS131" s="59">
        <f t="shared" si="71"/>
        <v>293.33333333334269</v>
      </c>
      <c r="DT131" s="59">
        <f ca="1">AVERAGE(OFFSET($DS$3,0,0,'Données projet'!$E$14+1,1))-AVERAGE(OFFSET($H$3,0,0,'Données projet'!$E$14+1,1))</f>
        <v>319.97171762304686</v>
      </c>
      <c r="DU131" s="59">
        <f t="shared" si="98"/>
        <v>337.89345858359621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0.998408441564962</v>
      </c>
      <c r="EB131" s="21">
        <f>EXP(-LN(2)/25)*EB130+(1-EXP(-LN(2)/25))/(LN(2)/25)*Calculateur!DW131*Calculateur!DY131*VLOOKUP('Données projet'!$B$14,Paramètres!$A$1:$I$89,3,0)*0.475*44/12</f>
        <v>1.3733246415922709</v>
      </c>
      <c r="EC131" s="21">
        <f>EXP(-LN(2)/2)*EC130+(1-EXP(-LN(2)/2))/(LN(2)/2)*DW131*DZ131*VLOOKUP('Données projet'!$B$14,Paramètres!$A$1:$I$89,3,0)*0.475*44/12</f>
        <v>3.5866093213092938E-14</v>
      </c>
      <c r="ED131" s="22">
        <f t="shared" si="72"/>
        <v>2.3717330831572689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>
        <f>EJ131*VLOOKUP('Données projet'!$B$15,Paramètres!$A$1:$I$89,3,0)*VLOOKUP('Données projet'!$B$15,Paramètres!$A$1:$I$89,5,0)</f>
        <v>0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258.46015871559956</v>
      </c>
      <c r="EP131" s="59">
        <f t="shared" si="100"/>
        <v>280.26155987300996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0.89200220946255582</v>
      </c>
      <c r="EW131" s="21">
        <f>EXP(-LN(2)/25)*EW130+(1-EXP(-LN(2)/25))/(LN(2)/25)*Calculateur!ER131*Calculateur!ET131*VLOOKUP('Données projet'!$B$15,Paramètres!$A$1:$I$89,3,0)*0.475*44/12</f>
        <v>0.81462281227221489</v>
      </c>
      <c r="EX131" s="21">
        <f>EXP(-LN(2)/2)*EX130+(1-EXP(-LN(2)/2))/(LN(2)/2)*ER131*EU131*VLOOKUP('Données projet'!$B$15,Paramètres!$A$1:$I$89,3,0)*0.475*44/12</f>
        <v>9.6734928939564408E-15</v>
      </c>
      <c r="EY131" s="22">
        <f t="shared" si="75"/>
        <v>1.7066250217347805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243.00000000000017</v>
      </c>
      <c r="O132" s="13">
        <f>N132*VLOOKUP('Données projet'!$B$9,Paramètres!$A$1:$I$89,3,0)*VLOOKUP('Données projet'!$B$9,Paramètres!$A$1:$I$89,5,0)</f>
        <v>212.28480000000016</v>
      </c>
      <c r="P132" s="13">
        <f t="shared" si="87"/>
        <v>52.434557099704236</v>
      </c>
      <c r="Q132" s="20">
        <f t="shared" si="108"/>
        <v>461.0528802819851</v>
      </c>
      <c r="R132" s="59">
        <f t="shared" si="109"/>
        <v>754.38621361531841</v>
      </c>
      <c r="S132" s="59">
        <f ca="1">AVERAGE(OFFSET($R$3,0,0,'Données projet'!$E$9+1,1))-AVERAGE(OFFSET($H$3,0,0,'Données projet'!$E$9+1,1))</f>
        <v>368.41876532159154</v>
      </c>
      <c r="T132" s="59">
        <f t="shared" si="88"/>
        <v>369.39570124551125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0.86691987627205069</v>
      </c>
      <c r="AA132" s="21">
        <f>EXP(-LN(2)/25)*AA131+(1-EXP(-LN(2)/25))/(LN(2)/25)*Calculateur!V132*Calculateur!X132*VLOOKUP('Données projet'!$B$9,Paramètres!$A$1:$I$89,3,0)*0.475*44/12</f>
        <v>1.0423146936698027</v>
      </c>
      <c r="AB132" s="21">
        <f>EXP(-LN(2)/2)*AB131+(1-EXP(-LN(2)/2))/(LN(2)/2)*V132*Y132*VLOOKUP('Données projet'!$B$9,Paramètres!$A$1:$I$89,3,0)*0.475*44/12</f>
        <v>2.2321239111439068E-14</v>
      </c>
      <c r="AC132" s="22">
        <f t="shared" ref="AC132:AC153" si="111">SUM(Z132:AB132)</f>
        <v>1.9092345699418758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-5.1159076974727213E-13</v>
      </c>
      <c r="AJ132" s="13">
        <f>AI132*VLOOKUP('Données projet'!$B$10,Paramètres!$A$1:$I$89,3,0)*VLOOKUP('Données projet'!$B$10,Paramètres!$A$1:$I$89,5,0)</f>
        <v>-4.4692569645121704E-13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402.82278346470082</v>
      </c>
      <c r="AO132" s="59">
        <f t="shared" si="90"/>
        <v>440.17787299198977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0.50436948170709051</v>
      </c>
      <c r="AV132" s="21">
        <f>EXP(-LN(2)/25)*AV131+(1-EXP(-LN(2)/25))/(LN(2)/25)*Calculateur!AQ132*Calculateur!AS132*VLOOKUP('Données projet'!$B$10,Paramètres!$A$1:$I$89,3,0)*0.475*44/12</f>
        <v>1.4477981465879723</v>
      </c>
      <c r="AW132" s="21">
        <f>EXP(-LN(2)/2)*AW131+(1-EXP(-LN(2)/2))/(LN(2)/2)*AQ132*AT132*VLOOKUP('Données projet'!$B$10,Paramètres!$A$1:$I$89,3,0)*0.475*44/12</f>
        <v>3.3155080126753441E-14</v>
      </c>
      <c r="AX132" s="21">
        <f t="shared" ref="AX132:AX153" si="114">SUM(AU132:AW132)</f>
        <v>1.9521676282950959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-3.4106051316484809E-13</v>
      </c>
      <c r="BE132" s="13">
        <f>BD132*VLOOKUP('Données projet'!$B$11,Paramètres!$A$1:$I$89,3,0)*VLOOKUP('Données projet'!$B$11,Paramètres!$A$1:$I$89,5,0)</f>
        <v>-3.0859155231155454E-13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469.68830256438338</v>
      </c>
      <c r="BJ132" s="59">
        <f t="shared" si="92"/>
        <v>332.61387922152159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0.33905592651684174</v>
      </c>
      <c r="BQ132" s="21">
        <f>EXP(-LN(2)/25)*BQ131+(1-EXP(-LN(2)/25))/(LN(2)/25)*Calculateur!BL132*Calculateur!BN132*VLOOKUP('Données projet'!$B$11,Paramètres!$A$1:$I$89,3,0)*0.475*44/12</f>
        <v>0.72500135007584798</v>
      </c>
      <c r="BR132" s="21">
        <f>EXP(-LN(2)/2)*BR131+(1-EXP(-LN(2)/2))/(LN(2)/2)*BL132*BO132*VLOOKUP('Données projet'!$B$11,Paramètres!$A$1:$I$89,3,0)*0.475*44/12</f>
        <v>2.7072585222797269E-14</v>
      </c>
      <c r="BS132" s="22">
        <f t="shared" ref="BS132:BS153" si="117">SUM(BP132:BR132)</f>
        <v>1.0640572765927168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5</v>
      </c>
      <c r="BY132" s="12">
        <f>IF('Données projet'!$A$114&gt;35,BY131+BX132-CG131,IF(A132&lt;'Données projet'!$A$114,$BV$205^A132,IF(A132='Données projet'!$A$114,'Données projet'!$B$114,BY131+BX132-CG131)))</f>
        <v>456.00000000000023</v>
      </c>
      <c r="BZ132" s="13">
        <f>BY132*VLOOKUP('Données projet'!$B$12,Paramètres!$A$1:$I$89,3,0)*VLOOKUP('Données projet'!$B$12,Paramètres!$A$1:$I$89,5,0)</f>
        <v>433.92960000000022</v>
      </c>
      <c r="CA132" s="13">
        <f t="shared" si="93"/>
        <v>98.622438646536395</v>
      </c>
      <c r="CB132" s="20">
        <f t="shared" ref="CB132:CB153" si="118">(BZ132+CA132)*0.475*44/12</f>
        <v>927.52813397605132</v>
      </c>
      <c r="CC132" s="59">
        <f t="shared" ref="CC132:CC195" si="119">CB132+(BT132+BU132)*44/12</f>
        <v>1220.8614673093846</v>
      </c>
      <c r="CD132" s="59">
        <f ca="1">AVERAGE(OFFSET($CC$3,0,0,'Données projet'!$E$12+1,1))-AVERAGE(OFFSET($H$3,0,0,'Données projet'!$E$12+1,1))</f>
        <v>609.40025883662452</v>
      </c>
      <c r="CE132" s="59">
        <f t="shared" si="94"/>
        <v>294.48909834404577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0.25332958483333579</v>
      </c>
      <c r="CM132" s="21">
        <f>EXP(-LN(2)/2)*CM131+(1-EXP(-LN(2)/2))/(LN(2)/2)*CG132*CJ132*VLOOKUP('Données projet'!$B$12,Paramètres!$A$1:$I$89,3,0)*0.475*44/12</f>
        <v>9.8680648340179238E-15</v>
      </c>
      <c r="CN132" s="22">
        <f t="shared" ref="CN132:CN153" si="120">SUM(CK132:CM132)</f>
        <v>0.25332958483334567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-1.1368683772161603E-13</v>
      </c>
      <c r="CU132" s="17">
        <f>CT132*VLOOKUP('Données projet'!$B$13,Paramètres!$A$1:$I$89,3,0)*VLOOKUP('Données projet'!$B$13,Paramètres!$A$1:$I$89,5,0)</f>
        <v>-5.3205440053716299E-14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346.16623654404509</v>
      </c>
      <c r="CZ132" s="59">
        <f t="shared" si="96"/>
        <v>281.80933156559087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0.44126017747885826</v>
      </c>
      <c r="DG132" s="21">
        <f>EXP(-LN(2)/25)*DG131+(1-EXP(-LN(2)/25))/(LN(2)/25)*Calculateur!DB132*Calculateur!DD132*VLOOKUP('Données projet'!$B$13,Paramètres!$A$1:$I$89,3,0)*0.475*44/12</f>
        <v>0.50476946982151893</v>
      </c>
      <c r="DH132" s="21">
        <f>EXP(-LN(2)/2)*DH131+(1-EXP(-LN(2)/2))/(LN(2)/2)*DB132*DE132*VLOOKUP('Données projet'!$B$13,Paramètres!$A$1:$I$89,3,0)*0.475*44/12</f>
        <v>1.2349940915328576E-14</v>
      </c>
      <c r="DI132" s="22">
        <f t="shared" ref="DI132:DI153" si="123">SUM(DF132:DH132)</f>
        <v>0.94602964730038952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6.2527760746888816E-13</v>
      </c>
      <c r="DP132" s="17">
        <f>DO132*VLOOKUP('Données projet'!$B$14,Paramètres!$A$1:$I$89,3,0)*VLOOKUP('Données projet'!$B$14,Paramètres!$A$1:$I$89,5,0)</f>
        <v>3.9017322706058616E-13</v>
      </c>
      <c r="DQ132" s="13">
        <f t="shared" si="97"/>
        <v>5.0025007393608908E-12</v>
      </c>
      <c r="DR132" s="20">
        <f t="shared" ref="DR132:DR153" si="124">(DP132+DQ132)*0.475*44/12</f>
        <v>9.3922404915174053E-12</v>
      </c>
      <c r="DS132" s="59">
        <f t="shared" ref="DS132:DS195" si="125">DR132+(DJ132+DK132)*44/12</f>
        <v>293.33333333334269</v>
      </c>
      <c r="DT132" s="59">
        <f ca="1">AVERAGE(OFFSET($DS$3,0,0,'Données projet'!$E$14+1,1))-AVERAGE(OFFSET($H$3,0,0,'Données projet'!$E$14+1,1))</f>
        <v>319.97171762304686</v>
      </c>
      <c r="DU132" s="59">
        <f t="shared" si="98"/>
        <v>337.89345858359621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0.97883026099489179</v>
      </c>
      <c r="EB132" s="21">
        <f>EXP(-LN(2)/25)*EB131+(1-EXP(-LN(2)/25))/(LN(2)/25)*Calculateur!DW132*Calculateur!DY132*VLOOKUP('Données projet'!$B$14,Paramètres!$A$1:$I$89,3,0)*0.475*44/12</f>
        <v>1.3357710070479261</v>
      </c>
      <c r="EC132" s="21">
        <f>EXP(-LN(2)/2)*EC131+(1-EXP(-LN(2)/2))/(LN(2)/2)*DW132*DZ132*VLOOKUP('Données projet'!$B$14,Paramètres!$A$1:$I$89,3,0)*0.475*44/12</f>
        <v>2.5361157725646826E-14</v>
      </c>
      <c r="ED132" s="22">
        <f t="shared" ref="ED132:ED153" si="126">SUM(EA132:EC132)</f>
        <v>2.3146012680428432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>
        <f>EJ132*VLOOKUP('Données projet'!$B$15,Paramètres!$A$1:$I$89,3,0)*VLOOKUP('Données projet'!$B$15,Paramètres!$A$1:$I$89,5,0)</f>
        <v>0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258.46015871559956</v>
      </c>
      <c r="EP132" s="59">
        <f t="shared" si="100"/>
        <v>280.26155987300996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0.87451059020262067</v>
      </c>
      <c r="EW132" s="21">
        <f>EXP(-LN(2)/25)*EW131+(1-EXP(-LN(2)/25))/(LN(2)/25)*Calculateur!ER132*Calculateur!ET132*VLOOKUP('Données projet'!$B$15,Paramètres!$A$1:$I$89,3,0)*0.475*44/12</f>
        <v>0.79234690863147927</v>
      </c>
      <c r="EX132" s="21">
        <f>EXP(-LN(2)/2)*EX131+(1-EXP(-LN(2)/2))/(LN(2)/2)*ER132*EU132*VLOOKUP('Données projet'!$B$15,Paramètres!$A$1:$I$89,3,0)*0.475*44/12</f>
        <v>6.8401924230764794E-15</v>
      </c>
      <c r="EY132" s="22">
        <f t="shared" ref="EY132:EY153" si="129">SUM(EV132:EX132)</f>
        <v>1.6668574988341069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243.00000000000017</v>
      </c>
      <c r="O133" s="13">
        <f>N133*VLOOKUP('Données projet'!$B$9,Paramètres!$A$1:$I$89,3,0)*VLOOKUP('Données projet'!$B$9,Paramètres!$A$1:$I$89,5,0)</f>
        <v>212.28480000000016</v>
      </c>
      <c r="P133" s="13">
        <f t="shared" ref="P133:P196" si="141">EXP(-1.0587+0.8836*LN(O133)+0.284)</f>
        <v>52.434557099704236</v>
      </c>
      <c r="Q133" s="20">
        <f t="shared" si="108"/>
        <v>461.0528802819851</v>
      </c>
      <c r="R133" s="59">
        <f t="shared" si="109"/>
        <v>754.38621361531841</v>
      </c>
      <c r="S133" s="59">
        <f ca="1">AVERAGE(OFFSET($R$3,0,0,'Données projet'!$E$9+1,1))-AVERAGE(OFFSET($H$3,0,0,'Données projet'!$E$9+1,1))</f>
        <v>368.41876532159154</v>
      </c>
      <c r="T133" s="59">
        <f t="shared" ref="T133:T196" si="142">$T$3</f>
        <v>369.39570124551125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0.84992010626726866</v>
      </c>
      <c r="AA133" s="21">
        <f>EXP(-LN(2)/25)*AA132+(1-EXP(-LN(2)/25))/(LN(2)/25)*Calculateur!V133*Calculateur!X133*VLOOKUP('Données projet'!$B$9,Paramètres!$A$1:$I$89,3,0)*0.475*44/12</f>
        <v>1.0138125435584544</v>
      </c>
      <c r="AB133" s="21">
        <f>EXP(-LN(2)/2)*AB132+(1-EXP(-LN(2)/2))/(LN(2)/2)*V133*Y133*VLOOKUP('Données projet'!$B$9,Paramètres!$A$1:$I$89,3,0)*0.475*44/12</f>
        <v>1.5783499540184951E-14</v>
      </c>
      <c r="AC133" s="22">
        <f t="shared" si="111"/>
        <v>1.8637326498257389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-5.1159076974727213E-13</v>
      </c>
      <c r="AJ133" s="13">
        <f>AI133*VLOOKUP('Données projet'!$B$10,Paramètres!$A$1:$I$89,3,0)*VLOOKUP('Données projet'!$B$10,Paramètres!$A$1:$I$89,5,0)</f>
        <v>-4.4692569645121704E-13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402.82278346470082</v>
      </c>
      <c r="AO133" s="59">
        <f t="shared" ref="AO133:AO196" si="144">$AO$3</f>
        <v>440.17787299198977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0.49447910380582188</v>
      </c>
      <c r="AV133" s="21">
        <f>EXP(-LN(2)/25)*AV132+(1-EXP(-LN(2)/25))/(LN(2)/25)*Calculateur!AQ133*Calculateur!AS133*VLOOKUP('Données projet'!$B$10,Paramètres!$A$1:$I$89,3,0)*0.475*44/12</f>
        <v>1.4082080301331288</v>
      </c>
      <c r="AW133" s="21">
        <f>EXP(-LN(2)/2)*AW132+(1-EXP(-LN(2)/2))/(LN(2)/2)*AQ133*AT133*VLOOKUP('Données projet'!$B$10,Paramètres!$A$1:$I$89,3,0)*0.475*44/12</f>
        <v>2.3444181988410696E-14</v>
      </c>
      <c r="AX133" s="21">
        <f t="shared" si="114"/>
        <v>1.9026871339389742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-3.4106051316484809E-13</v>
      </c>
      <c r="BE133" s="13">
        <f>BD133*VLOOKUP('Données projet'!$B$11,Paramètres!$A$1:$I$89,3,0)*VLOOKUP('Données projet'!$B$11,Paramètres!$A$1:$I$89,5,0)</f>
        <v>-3.0859155231155454E-13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469.68830256438338</v>
      </c>
      <c r="BJ133" s="59">
        <f t="shared" ref="BJ133:BJ196" si="146">$BJ$3</f>
        <v>332.61387922152159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0.33240724660154147</v>
      </c>
      <c r="BQ133" s="21">
        <f>EXP(-LN(2)/25)*BQ132+(1-EXP(-LN(2)/25))/(LN(2)/25)*Calculateur!BL133*Calculateur!BN133*VLOOKUP('Données projet'!$B$11,Paramètres!$A$1:$I$89,3,0)*0.475*44/12</f>
        <v>0.70517615003185996</v>
      </c>
      <c r="BR133" s="21">
        <f>EXP(-LN(2)/2)*BR132+(1-EXP(-LN(2)/2))/(LN(2)/2)*BL133*BO133*VLOOKUP('Données projet'!$B$11,Paramètres!$A$1:$I$89,3,0)*0.475*44/12</f>
        <v>1.9143208595290668E-14</v>
      </c>
      <c r="BS133" s="22">
        <f t="shared" si="117"/>
        <v>1.0375833966334205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461</v>
      </c>
      <c r="BW133" s="12">
        <f>VLOOKUP(A133,'Données projet'!$A$113:$I$133,9,0)</f>
        <v>5</v>
      </c>
      <c r="BX133" s="12">
        <f t="array" ref="BX133">INDEX(BW:BW,MIN(IF(ISNUMBER(BW133:BW329),ROW(BW133:BW329),"")))</f>
        <v>5</v>
      </c>
      <c r="BY133" s="12">
        <f>IF('Données projet'!$A$114&gt;35,BY132+BX133-CG132,IF(A133&lt;'Données projet'!$A$114,$BV$205^A133,IF(A133='Données projet'!$A$114,'Données projet'!$B$114,BY132+BX133-CG132)))</f>
        <v>461.00000000000023</v>
      </c>
      <c r="BZ133" s="13">
        <f>BY133*VLOOKUP('Données projet'!$B$12,Paramètres!$A$1:$I$89,3,0)*VLOOKUP('Données projet'!$B$12,Paramètres!$A$1:$I$89,5,0)</f>
        <v>438.68760000000026</v>
      </c>
      <c r="CA133" s="13">
        <f t="shared" ref="CA133:CA153" si="147">EXP(-1.0587+0.8836*LN(BZ133)+0.284)</f>
        <v>99.5773443651576</v>
      </c>
      <c r="CB133" s="20">
        <f t="shared" si="118"/>
        <v>937.47811143598312</v>
      </c>
      <c r="CC133" s="59">
        <f t="shared" si="119"/>
        <v>1230.8114447693165</v>
      </c>
      <c r="CD133" s="59">
        <f ca="1">AVERAGE(OFFSET($CC$3,0,0,'Données projet'!$E$12+1,1))-AVERAGE(OFFSET($H$3,0,0,'Données projet'!$E$12+1,1))</f>
        <v>609.40025883662452</v>
      </c>
      <c r="CE133" s="59">
        <f t="shared" ref="CE133:CE196" si="148">$CE$3</f>
        <v>294.48909834404577</v>
      </c>
      <c r="CF133" s="15">
        <f>IF(ISNA(VLOOKUP(A133,'Données projet'!$A$113:$I$133,3,0)),0,VLOOKUP(A133,'Données projet'!$A$113:$I$133,3,0))</f>
        <v>11</v>
      </c>
      <c r="CG133" s="15">
        <f>IF(ISNA(VLOOKUP(A133,'Données projet'!$A$113:$I$133,4,0)),0,VLOOKUP(A133,'Données projet'!$A$113:$I$133,4,0))</f>
        <v>41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0.24640227401404435</v>
      </c>
      <c r="CM133" s="21">
        <f>EXP(-LN(2)/2)*CM132+(1-EXP(-LN(2)/2))/(LN(2)/2)*CG133*CJ133*VLOOKUP('Données projet'!$B$12,Paramètres!$A$1:$I$89,3,0)*0.475*44/12</f>
        <v>6.9777755613225769E-15</v>
      </c>
      <c r="CN133" s="22">
        <f t="shared" si="120"/>
        <v>0.24640227401405132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-1.1368683772161603E-13</v>
      </c>
      <c r="CU133" s="17">
        <f>CT133*VLOOKUP('Données projet'!$B$13,Paramètres!$A$1:$I$89,3,0)*VLOOKUP('Données projet'!$B$13,Paramètres!$A$1:$I$89,5,0)</f>
        <v>-5.3205440053716299E-14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346.16623654404509</v>
      </c>
      <c r="CZ133" s="59">
        <f t="shared" ref="CZ133:CZ196" si="150">$CZ$3</f>
        <v>281.80933156559087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0.43260733454063055</v>
      </c>
      <c r="DG133" s="21">
        <f>EXP(-LN(2)/25)*DG132+(1-EXP(-LN(2)/25))/(LN(2)/25)*Calculateur!DB133*Calculateur!DD133*VLOOKUP('Données projet'!$B$13,Paramètres!$A$1:$I$89,3,0)*0.475*44/12</f>
        <v>0.49096652212457675</v>
      </c>
      <c r="DH133" s="21">
        <f>EXP(-LN(2)/2)*DH132+(1-EXP(-LN(2)/2))/(LN(2)/2)*DB133*DE133*VLOOKUP('Données projet'!$B$13,Paramètres!$A$1:$I$89,3,0)*0.475*44/12</f>
        <v>8.7327269684820336E-15</v>
      </c>
      <c r="DI133" s="22">
        <f t="shared" si="123"/>
        <v>0.92357385666521608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6.2527760746888816E-13</v>
      </c>
      <c r="DP133" s="17">
        <f>DO133*VLOOKUP('Données projet'!$B$14,Paramètres!$A$1:$I$89,3,0)*VLOOKUP('Données projet'!$B$14,Paramètres!$A$1:$I$89,5,0)</f>
        <v>3.9017322706058616E-13</v>
      </c>
      <c r="DQ133" s="13">
        <f t="shared" ref="DQ133:DQ153" si="151">EXP(-1.0587+0.8836*LN(DP133)+0.284)</f>
        <v>5.0025007393608908E-12</v>
      </c>
      <c r="DR133" s="20">
        <f t="shared" si="124"/>
        <v>9.3922404915174053E-12</v>
      </c>
      <c r="DS133" s="59">
        <f t="shared" si="125"/>
        <v>293.33333333334269</v>
      </c>
      <c r="DT133" s="59">
        <f ca="1">AVERAGE(OFFSET($DS$3,0,0,'Données projet'!$E$14+1,1))-AVERAGE(OFFSET($H$3,0,0,'Données projet'!$E$14+1,1))</f>
        <v>319.97171762304686</v>
      </c>
      <c r="DU133" s="59">
        <f t="shared" ref="DU133:DU196" si="152">$DU$3</f>
        <v>337.89345858359621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0.95963599660428955</v>
      </c>
      <c r="EB133" s="21">
        <f>EXP(-LN(2)/25)*EB132+(1-EXP(-LN(2)/25))/(LN(2)/25)*Calculateur!DW133*Calculateur!DY133*VLOOKUP('Données projet'!$B$14,Paramètres!$A$1:$I$89,3,0)*0.475*44/12</f>
        <v>1.2992442786150562</v>
      </c>
      <c r="EC133" s="21">
        <f>EXP(-LN(2)/2)*EC132+(1-EXP(-LN(2)/2))/(LN(2)/2)*DW133*DZ133*VLOOKUP('Données projet'!$B$14,Paramètres!$A$1:$I$89,3,0)*0.475*44/12</f>
        <v>1.7933046606546469E-14</v>
      </c>
      <c r="ED133" s="22">
        <f t="shared" si="126"/>
        <v>2.2588802752193633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>
        <f>EJ133*VLOOKUP('Données projet'!$B$15,Paramètres!$A$1:$I$89,3,0)*VLOOKUP('Données projet'!$B$15,Paramètres!$A$1:$I$89,5,0)</f>
        <v>0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258.46015871559956</v>
      </c>
      <c r="EP133" s="59">
        <f t="shared" ref="EP133:EP196" si="154">$EP$3</f>
        <v>280.26155987300996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0.85736197092753852</v>
      </c>
      <c r="EW133" s="21">
        <f>EXP(-LN(2)/25)*EW132+(1-EXP(-LN(2)/25))/(LN(2)/25)*Calculateur!ER133*Calculateur!ET133*VLOOKUP('Données projet'!$B$15,Paramètres!$A$1:$I$89,3,0)*0.475*44/12</f>
        <v>0.77068014074723845</v>
      </c>
      <c r="EX133" s="21">
        <f>EXP(-LN(2)/2)*EX132+(1-EXP(-LN(2)/2))/(LN(2)/2)*ER133*EU133*VLOOKUP('Données projet'!$B$15,Paramètres!$A$1:$I$89,3,0)*0.475*44/12</f>
        <v>4.8367464469782204E-15</v>
      </c>
      <c r="EY133" s="22">
        <f t="shared" si="129"/>
        <v>1.6280421116747819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243.00000000000017</v>
      </c>
      <c r="O134" s="13">
        <f>N134*VLOOKUP('Données projet'!$B$9,Paramètres!$A$1:$I$89,3,0)*VLOOKUP('Données projet'!$B$9,Paramètres!$A$1:$I$89,5,0)</f>
        <v>212.28480000000016</v>
      </c>
      <c r="P134" s="13">
        <f t="shared" si="141"/>
        <v>52.434557099704236</v>
      </c>
      <c r="Q134" s="20">
        <f t="shared" si="108"/>
        <v>461.0528802819851</v>
      </c>
      <c r="R134" s="59">
        <f t="shared" si="109"/>
        <v>754.38621361531841</v>
      </c>
      <c r="S134" s="59">
        <f ca="1">AVERAGE(OFFSET($R$3,0,0,'Données projet'!$E$9+1,1))-AVERAGE(OFFSET($H$3,0,0,'Données projet'!$E$9+1,1))</f>
        <v>368.41876532159154</v>
      </c>
      <c r="T134" s="59">
        <f t="shared" si="142"/>
        <v>369.39570124551125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0.83325369138344463</v>
      </c>
      <c r="AA134" s="21">
        <f>EXP(-LN(2)/25)*AA133+(1-EXP(-LN(2)/25))/(LN(2)/25)*Calculateur!V134*Calculateur!X134*VLOOKUP('Données projet'!$B$9,Paramètres!$A$1:$I$89,3,0)*0.475*44/12</f>
        <v>0.98608978624076393</v>
      </c>
      <c r="AB134" s="21">
        <f>EXP(-LN(2)/2)*AB133+(1-EXP(-LN(2)/2))/(LN(2)/2)*V134*Y134*VLOOKUP('Données projet'!$B$9,Paramètres!$A$1:$I$89,3,0)*0.475*44/12</f>
        <v>1.1160619555719534E-14</v>
      </c>
      <c r="AC134" s="22">
        <f t="shared" si="111"/>
        <v>1.8193434776242197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-5.1159076974727213E-13</v>
      </c>
      <c r="AJ134" s="13">
        <f>AI134*VLOOKUP('Données projet'!$B$10,Paramètres!$A$1:$I$89,3,0)*VLOOKUP('Données projet'!$B$10,Paramètres!$A$1:$I$89,5,0)</f>
        <v>-4.4692569645121704E-13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402.82278346470082</v>
      </c>
      <c r="AO134" s="59">
        <f t="shared" si="144"/>
        <v>440.17787299198977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0.48478267018266225</v>
      </c>
      <c r="AV134" s="21">
        <f>EXP(-LN(2)/25)*AV133+(1-EXP(-LN(2)/25))/(LN(2)/25)*Calculateur!AQ134*Calculateur!AS134*VLOOKUP('Données projet'!$B$10,Paramètres!$A$1:$I$89,3,0)*0.475*44/12</f>
        <v>1.3697005074946966</v>
      </c>
      <c r="AW134" s="21">
        <f>EXP(-LN(2)/2)*AW133+(1-EXP(-LN(2)/2))/(LN(2)/2)*AQ134*AT134*VLOOKUP('Données projet'!$B$10,Paramètres!$A$1:$I$89,3,0)*0.475*44/12</f>
        <v>1.6577540063376721E-14</v>
      </c>
      <c r="AX134" s="21">
        <f t="shared" si="114"/>
        <v>1.8544831776773756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-3.4106051316484809E-13</v>
      </c>
      <c r="BE134" s="13">
        <f>BD134*VLOOKUP('Données projet'!$B$11,Paramètres!$A$1:$I$89,3,0)*VLOOKUP('Données projet'!$B$11,Paramètres!$A$1:$I$89,5,0)</f>
        <v>-3.0859155231155454E-13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469.68830256438338</v>
      </c>
      <c r="BJ134" s="59">
        <f t="shared" si="146"/>
        <v>332.61387922152159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0.3258889432440859</v>
      </c>
      <c r="BQ134" s="21">
        <f>EXP(-LN(2)/25)*BQ133+(1-EXP(-LN(2)/25))/(LN(2)/25)*Calculateur!BL134*Calculateur!BN134*VLOOKUP('Données projet'!$B$11,Paramètres!$A$1:$I$89,3,0)*0.475*44/12</f>
        <v>0.68589307112563669</v>
      </c>
      <c r="BR134" s="21">
        <f>EXP(-LN(2)/2)*BR133+(1-EXP(-LN(2)/2))/(LN(2)/2)*BL134*BO134*VLOOKUP('Données projet'!$B$11,Paramètres!$A$1:$I$89,3,0)*0.475*44/12</f>
        <v>1.3536292611398635E-14</v>
      </c>
      <c r="BS134" s="22">
        <f t="shared" si="117"/>
        <v>1.011782014369736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3.7</v>
      </c>
      <c r="BY134" s="12">
        <f>IF('Données projet'!$A$114&gt;35,BY133+BX134-CG133,IF(A134&lt;'Données projet'!$A$114,$BV$205^A134,IF(A134='Données projet'!$A$114,'Données projet'!$B$114,BY133+BX134-CG133)))</f>
        <v>423.70000000000022</v>
      </c>
      <c r="BZ134" s="13">
        <f>BY134*VLOOKUP('Données projet'!$B$12,Paramètres!$A$1:$I$89,3,0)*VLOOKUP('Données projet'!$B$12,Paramètres!$A$1:$I$89,5,0)</f>
        <v>403.19292000000019</v>
      </c>
      <c r="CA134" s="13">
        <f t="shared" si="147"/>
        <v>92.423680917268371</v>
      </c>
      <c r="CB134" s="20">
        <f t="shared" si="118"/>
        <v>863.19891326424261</v>
      </c>
      <c r="CC134" s="59">
        <f t="shared" si="119"/>
        <v>1156.532246597576</v>
      </c>
      <c r="CD134" s="59">
        <f ca="1">AVERAGE(OFFSET($CC$3,0,0,'Données projet'!$E$12+1,1))-AVERAGE(OFFSET($H$3,0,0,'Données projet'!$E$12+1,1))</f>
        <v>609.40025883662452</v>
      </c>
      <c r="CE134" s="59">
        <f t="shared" si="148"/>
        <v>294.48909834404577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0.23966439087339789</v>
      </c>
      <c r="CM134" s="21">
        <f>EXP(-LN(2)/2)*CM133+(1-EXP(-LN(2)/2))/(LN(2)/2)*CG134*CJ134*VLOOKUP('Données projet'!$B$12,Paramètres!$A$1:$I$89,3,0)*0.475*44/12</f>
        <v>4.9340324170089627E-15</v>
      </c>
      <c r="CN134" s="22">
        <f t="shared" si="120"/>
        <v>0.23966439087340283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-1.1368683772161603E-13</v>
      </c>
      <c r="CU134" s="17">
        <f>CT134*VLOOKUP('Données projet'!$B$13,Paramètres!$A$1:$I$89,3,0)*VLOOKUP('Données projet'!$B$13,Paramètres!$A$1:$I$89,5,0)</f>
        <v>-5.3205440053716299E-14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346.16623654404509</v>
      </c>
      <c r="CZ134" s="59">
        <f t="shared" si="150"/>
        <v>281.80933156559087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0.42412416857470842</v>
      </c>
      <c r="DG134" s="21">
        <f>EXP(-LN(2)/25)*DG133+(1-EXP(-LN(2)/25))/(LN(2)/25)*Calculateur!DB134*Calculateur!DD134*VLOOKUP('Données projet'!$B$13,Paramètres!$A$1:$I$89,3,0)*0.475*44/12</f>
        <v>0.47754101675827293</v>
      </c>
      <c r="DH134" s="21">
        <f>EXP(-LN(2)/2)*DH133+(1-EXP(-LN(2)/2))/(LN(2)/2)*DB134*DE134*VLOOKUP('Données projet'!$B$13,Paramètres!$A$1:$I$89,3,0)*0.475*44/12</f>
        <v>6.1749704576642879E-15</v>
      </c>
      <c r="DI134" s="22">
        <f t="shared" si="123"/>
        <v>0.90166518533298756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6.2527760746888816E-13</v>
      </c>
      <c r="DP134" s="17">
        <f>DO134*VLOOKUP('Données projet'!$B$14,Paramètres!$A$1:$I$89,3,0)*VLOOKUP('Données projet'!$B$14,Paramètres!$A$1:$I$89,5,0)</f>
        <v>3.9017322706058616E-13</v>
      </c>
      <c r="DQ134" s="13">
        <f t="shared" si="151"/>
        <v>5.0025007393608908E-12</v>
      </c>
      <c r="DR134" s="20">
        <f t="shared" si="124"/>
        <v>9.3922404915174053E-12</v>
      </c>
      <c r="DS134" s="59">
        <f t="shared" si="125"/>
        <v>293.33333333334269</v>
      </c>
      <c r="DT134" s="59">
        <f ca="1">AVERAGE(OFFSET($DS$3,0,0,'Données projet'!$E$14+1,1))-AVERAGE(OFFSET($H$3,0,0,'Données projet'!$E$14+1,1))</f>
        <v>319.97171762304686</v>
      </c>
      <c r="DU134" s="59">
        <f t="shared" si="152"/>
        <v>337.89345858359621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0.94081812003104182</v>
      </c>
      <c r="EB134" s="21">
        <f>EXP(-LN(2)/25)*EB133+(1-EXP(-LN(2)/25))/(LN(2)/25)*Calculateur!DW134*Calculateur!DY134*VLOOKUP('Données projet'!$B$14,Paramètres!$A$1:$I$89,3,0)*0.475*44/12</f>
        <v>1.2637163754920404</v>
      </c>
      <c r="EC134" s="21">
        <f>EXP(-LN(2)/2)*EC133+(1-EXP(-LN(2)/2))/(LN(2)/2)*DW134*DZ134*VLOOKUP('Données projet'!$B$14,Paramètres!$A$1:$I$89,3,0)*0.475*44/12</f>
        <v>1.2680578862823413E-14</v>
      </c>
      <c r="ED134" s="22">
        <f t="shared" si="126"/>
        <v>2.2045344955230952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>
        <f>EJ134*VLOOKUP('Données projet'!$B$15,Paramètres!$A$1:$I$89,3,0)*VLOOKUP('Données projet'!$B$15,Paramètres!$A$1:$I$89,5,0)</f>
        <v>0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258.46015871559956</v>
      </c>
      <c r="EP134" s="59">
        <f t="shared" si="154"/>
        <v>280.26155987300996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0.84054962561681579</v>
      </c>
      <c r="EW134" s="21">
        <f>EXP(-LN(2)/25)*EW133+(1-EXP(-LN(2)/25))/(LN(2)/25)*Calculateur!ER134*Calculateur!ET134*VLOOKUP('Données projet'!$B$15,Paramètres!$A$1:$I$89,3,0)*0.475*44/12</f>
        <v>0.74960585177019801</v>
      </c>
      <c r="EX134" s="21">
        <f>EXP(-LN(2)/2)*EX133+(1-EXP(-LN(2)/2))/(LN(2)/2)*ER134*EU134*VLOOKUP('Données projet'!$B$15,Paramètres!$A$1:$I$89,3,0)*0.475*44/12</f>
        <v>3.4200962115382397E-15</v>
      </c>
      <c r="EY134" s="22">
        <f t="shared" si="129"/>
        <v>1.590155477387017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243.00000000000017</v>
      </c>
      <c r="O135" s="13">
        <f>N135*VLOOKUP('Données projet'!$B$9,Paramètres!$A$1:$I$89,3,0)*VLOOKUP('Données projet'!$B$9,Paramètres!$A$1:$I$89,5,0)</f>
        <v>212.28480000000016</v>
      </c>
      <c r="P135" s="13">
        <f t="shared" si="141"/>
        <v>52.434557099704236</v>
      </c>
      <c r="Q135" s="20">
        <f t="shared" si="108"/>
        <v>461.0528802819851</v>
      </c>
      <c r="R135" s="59">
        <f t="shared" si="109"/>
        <v>754.38621361531841</v>
      </c>
      <c r="S135" s="59">
        <f ca="1">AVERAGE(OFFSET($R$3,0,0,'Données projet'!$E$9+1,1))-AVERAGE(OFFSET($H$3,0,0,'Données projet'!$E$9+1,1))</f>
        <v>368.41876532159154</v>
      </c>
      <c r="T135" s="59">
        <f t="shared" si="142"/>
        <v>369.39570124551125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0.816914094729983</v>
      </c>
      <c r="AA135" s="21">
        <f>EXP(-LN(2)/25)*AA134+(1-EXP(-LN(2)/25))/(LN(2)/25)*Calculateur!V135*Calculateur!X135*VLOOKUP('Données projet'!$B$9,Paramètres!$A$1:$I$89,3,0)*0.475*44/12</f>
        <v>0.95912510917980209</v>
      </c>
      <c r="AB135" s="21">
        <f>EXP(-LN(2)/2)*AB134+(1-EXP(-LN(2)/2))/(LN(2)/2)*V135*Y135*VLOOKUP('Données projet'!$B$9,Paramètres!$A$1:$I$89,3,0)*0.475*44/12</f>
        <v>7.8917497700924755E-15</v>
      </c>
      <c r="AC135" s="22">
        <f t="shared" si="111"/>
        <v>1.776039203909793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-5.1159076974727213E-13</v>
      </c>
      <c r="AJ135" s="13">
        <f>AI135*VLOOKUP('Données projet'!$B$10,Paramètres!$A$1:$I$89,3,0)*VLOOKUP('Données projet'!$B$10,Paramètres!$A$1:$I$89,5,0)</f>
        <v>-4.4692569645121704E-13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402.82278346470082</v>
      </c>
      <c r="AO135" s="59">
        <f t="shared" si="144"/>
        <v>440.17787299198977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0.47527637770861225</v>
      </c>
      <c r="AV135" s="21">
        <f>EXP(-LN(2)/25)*AV134+(1-EXP(-LN(2)/25))/(LN(2)/25)*Calculateur!AQ135*Calculateur!AS135*VLOOKUP('Données projet'!$B$10,Paramètres!$A$1:$I$89,3,0)*0.475*44/12</f>
        <v>1.332245975087835</v>
      </c>
      <c r="AW135" s="21">
        <f>EXP(-LN(2)/2)*AW134+(1-EXP(-LN(2)/2))/(LN(2)/2)*AQ135*AT135*VLOOKUP('Données projet'!$B$10,Paramètres!$A$1:$I$89,3,0)*0.475*44/12</f>
        <v>1.1722090994205348E-14</v>
      </c>
      <c r="AX135" s="21">
        <f t="shared" si="114"/>
        <v>1.807522352796459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-3.4106051316484809E-13</v>
      </c>
      <c r="BE135" s="13">
        <f>BD135*VLOOKUP('Données projet'!$B$11,Paramètres!$A$1:$I$89,3,0)*VLOOKUP('Données projet'!$B$11,Paramètres!$A$1:$I$89,5,0)</f>
        <v>-3.0859155231155454E-13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469.68830256438338</v>
      </c>
      <c r="BJ135" s="59">
        <f t="shared" si="146"/>
        <v>332.61387922152159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0.3194984598396976</v>
      </c>
      <c r="BQ135" s="21">
        <f>EXP(-LN(2)/25)*BQ134+(1-EXP(-LN(2)/25))/(LN(2)/25)*Calculateur!BL135*Calculateur!BN135*VLOOKUP('Données projet'!$B$11,Paramètres!$A$1:$I$89,3,0)*0.475*44/12</f>
        <v>0.66713728902615721</v>
      </c>
      <c r="BR135" s="21">
        <f>EXP(-LN(2)/2)*BR134+(1-EXP(-LN(2)/2))/(LN(2)/2)*BL135*BO135*VLOOKUP('Données projet'!$B$11,Paramètres!$A$1:$I$89,3,0)*0.475*44/12</f>
        <v>9.5716042976453342E-15</v>
      </c>
      <c r="BS135" s="22">
        <f t="shared" si="117"/>
        <v>0.98663574886586436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3.7</v>
      </c>
      <c r="BY135" s="12">
        <f>IF('Données projet'!$A$114&gt;35,BY134+BX135-CG134,IF(A135&lt;'Données projet'!$A$114,$BV$205^A135,IF(A135='Données projet'!$A$114,'Données projet'!$B$114,BY134+BX135-CG134)))</f>
        <v>427.4000000000002</v>
      </c>
      <c r="BZ135" s="13">
        <f>BY135*VLOOKUP('Données projet'!$B$12,Paramètres!$A$1:$I$89,3,0)*VLOOKUP('Données projet'!$B$12,Paramètres!$A$1:$I$89,5,0)</f>
        <v>406.71384000000018</v>
      </c>
      <c r="CA135" s="13">
        <f t="shared" si="147"/>
        <v>93.136471842599988</v>
      </c>
      <c r="CB135" s="20">
        <f t="shared" si="118"/>
        <v>870.57262645919525</v>
      </c>
      <c r="CC135" s="59">
        <f t="shared" si="119"/>
        <v>1163.9059597925286</v>
      </c>
      <c r="CD135" s="59">
        <f ca="1">AVERAGE(OFFSET($CC$3,0,0,'Données projet'!$E$12+1,1))-AVERAGE(OFFSET($H$3,0,0,'Données projet'!$E$12+1,1))</f>
        <v>609.40025883662452</v>
      </c>
      <c r="CE135" s="59">
        <f t="shared" si="148"/>
        <v>294.48909834404577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0.23311075550156227</v>
      </c>
      <c r="CM135" s="21">
        <f>EXP(-LN(2)/2)*CM134+(1-EXP(-LN(2)/2))/(LN(2)/2)*CG135*CJ135*VLOOKUP('Données projet'!$B$12,Paramètres!$A$1:$I$89,3,0)*0.475*44/12</f>
        <v>3.4888877806612889E-15</v>
      </c>
      <c r="CN135" s="22">
        <f t="shared" si="120"/>
        <v>0.23311075550156576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-1.1368683772161603E-13</v>
      </c>
      <c r="CU135" s="17">
        <f>CT135*VLOOKUP('Données projet'!$B$13,Paramètres!$A$1:$I$89,3,0)*VLOOKUP('Données projet'!$B$13,Paramètres!$A$1:$I$89,5,0)</f>
        <v>-5.3205440053716299E-14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346.16623654404509</v>
      </c>
      <c r="CZ135" s="59">
        <f t="shared" si="150"/>
        <v>281.80933156559087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0.41580735231915766</v>
      </c>
      <c r="DG135" s="21">
        <f>EXP(-LN(2)/25)*DG134+(1-EXP(-LN(2)/25))/(LN(2)/25)*Calculateur!DB135*Calculateur!DD135*VLOOKUP('Données projet'!$B$13,Paramètres!$A$1:$I$89,3,0)*0.475*44/12</f>
        <v>0.46448263254222732</v>
      </c>
      <c r="DH135" s="21">
        <f>EXP(-LN(2)/2)*DH134+(1-EXP(-LN(2)/2))/(LN(2)/2)*DB135*DE135*VLOOKUP('Données projet'!$B$13,Paramètres!$A$1:$I$89,3,0)*0.475*44/12</f>
        <v>4.3663634842410168E-15</v>
      </c>
      <c r="DI135" s="22">
        <f t="shared" si="123"/>
        <v>0.88028998486138932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6.2527760746888816E-13</v>
      </c>
      <c r="DP135" s="17">
        <f>DO135*VLOOKUP('Données projet'!$B$14,Paramètres!$A$1:$I$89,3,0)*VLOOKUP('Données projet'!$B$14,Paramètres!$A$1:$I$89,5,0)</f>
        <v>3.9017322706058616E-13</v>
      </c>
      <c r="DQ135" s="13">
        <f t="shared" si="151"/>
        <v>5.0025007393608908E-12</v>
      </c>
      <c r="DR135" s="20">
        <f t="shared" si="124"/>
        <v>9.3922404915174053E-12</v>
      </c>
      <c r="DS135" s="59">
        <f t="shared" si="125"/>
        <v>293.33333333334269</v>
      </c>
      <c r="DT135" s="59">
        <f ca="1">AVERAGE(OFFSET($DS$3,0,0,'Données projet'!$E$14+1,1))-AVERAGE(OFFSET($H$3,0,0,'Données projet'!$E$14+1,1))</f>
        <v>319.97171762304686</v>
      </c>
      <c r="DU135" s="59">
        <f t="shared" si="152"/>
        <v>337.89345858359621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0.92236925053962404</v>
      </c>
      <c r="EB135" s="21">
        <f>EXP(-LN(2)/25)*EB134+(1-EXP(-LN(2)/25))/(LN(2)/25)*Calculateur!DW135*Calculateur!DY135*VLOOKUP('Données projet'!$B$14,Paramètres!$A$1:$I$89,3,0)*0.475*44/12</f>
        <v>1.2291599847482546</v>
      </c>
      <c r="EC135" s="21">
        <f>EXP(-LN(2)/2)*EC134+(1-EXP(-LN(2)/2))/(LN(2)/2)*DW135*DZ135*VLOOKUP('Données projet'!$B$14,Paramètres!$A$1:$I$89,3,0)*0.475*44/12</f>
        <v>8.9665233032732346E-15</v>
      </c>
      <c r="ED135" s="22">
        <f t="shared" si="126"/>
        <v>2.1515292352878874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>
        <f>EJ135*VLOOKUP('Données projet'!$B$15,Paramètres!$A$1:$I$89,3,0)*VLOOKUP('Données projet'!$B$15,Paramètres!$A$1:$I$89,5,0)</f>
        <v>0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258.46015871559956</v>
      </c>
      <c r="EP135" s="59">
        <f t="shared" si="154"/>
        <v>280.26155987300996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0.8240669601431182</v>
      </c>
      <c r="EW135" s="21">
        <f>EXP(-LN(2)/25)*EW134+(1-EXP(-LN(2)/25))/(LN(2)/25)*Calculateur!ER135*Calculateur!ET135*VLOOKUP('Données projet'!$B$15,Paramètres!$A$1:$I$89,3,0)*0.475*44/12</f>
        <v>0.72910784033348341</v>
      </c>
      <c r="EX135" s="21">
        <f>EXP(-LN(2)/2)*EX134+(1-EXP(-LN(2)/2))/(LN(2)/2)*ER135*EU135*VLOOKUP('Données projet'!$B$15,Paramètres!$A$1:$I$89,3,0)*0.475*44/12</f>
        <v>2.4183732234891102E-15</v>
      </c>
      <c r="EY135" s="22">
        <f t="shared" si="129"/>
        <v>1.5531748004766042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243.00000000000017</v>
      </c>
      <c r="O136" s="13">
        <f>N136*VLOOKUP('Données projet'!$B$9,Paramètres!$A$1:$I$89,3,0)*VLOOKUP('Données projet'!$B$9,Paramètres!$A$1:$I$89,5,0)</f>
        <v>212.28480000000016</v>
      </c>
      <c r="P136" s="13">
        <f t="shared" si="141"/>
        <v>52.434557099704236</v>
      </c>
      <c r="Q136" s="20">
        <f t="shared" si="108"/>
        <v>461.0528802819851</v>
      </c>
      <c r="R136" s="59">
        <f t="shared" si="109"/>
        <v>754.38621361531841</v>
      </c>
      <c r="S136" s="59">
        <f ca="1">AVERAGE(OFFSET($R$3,0,0,'Données projet'!$E$9+1,1))-AVERAGE(OFFSET($H$3,0,0,'Données projet'!$E$9+1,1))</f>
        <v>368.41876532159154</v>
      </c>
      <c r="T136" s="59">
        <f t="shared" si="142"/>
        <v>369.39570124551125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0.8008949076007259</v>
      </c>
      <c r="AA136" s="21">
        <f>EXP(-LN(2)/25)*AA135+(1-EXP(-LN(2)/25))/(LN(2)/25)*Calculateur!V136*Calculateur!X136*VLOOKUP('Données projet'!$B$9,Paramètres!$A$1:$I$89,3,0)*0.475*44/12</f>
        <v>0.93289778263108303</v>
      </c>
      <c r="AB136" s="21">
        <f>EXP(-LN(2)/2)*AB135+(1-EXP(-LN(2)/2))/(LN(2)/2)*V136*Y136*VLOOKUP('Données projet'!$B$9,Paramètres!$A$1:$I$89,3,0)*0.475*44/12</f>
        <v>5.5803097778597669E-15</v>
      </c>
      <c r="AC136" s="22">
        <f t="shared" si="111"/>
        <v>1.7337926902318144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-5.1159076974727213E-13</v>
      </c>
      <c r="AJ136" s="13">
        <f>AI136*VLOOKUP('Données projet'!$B$10,Paramètres!$A$1:$I$89,3,0)*VLOOKUP('Données projet'!$B$10,Paramètres!$A$1:$I$89,5,0)</f>
        <v>-4.4692569645121704E-13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402.82278346470082</v>
      </c>
      <c r="AO136" s="59">
        <f t="shared" si="144"/>
        <v>440.17787299198977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0.4659564978317125</v>
      </c>
      <c r="AV136" s="21">
        <f>EXP(-LN(2)/25)*AV135+(1-EXP(-LN(2)/25))/(LN(2)/25)*Calculateur!AQ136*Calculateur!AS136*VLOOKUP('Données projet'!$B$10,Paramètres!$A$1:$I$89,3,0)*0.475*44/12</f>
        <v>1.2958156388392872</v>
      </c>
      <c r="AW136" s="21">
        <f>EXP(-LN(2)/2)*AW135+(1-EXP(-LN(2)/2))/(LN(2)/2)*AQ136*AT136*VLOOKUP('Données projet'!$B$10,Paramètres!$A$1:$I$89,3,0)*0.475*44/12</f>
        <v>8.2887700316883603E-15</v>
      </c>
      <c r="AX136" s="21">
        <f t="shared" si="114"/>
        <v>1.761772136671008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-3.4106051316484809E-13</v>
      </c>
      <c r="BE136" s="13">
        <f>BD136*VLOOKUP('Données projet'!$B$11,Paramètres!$A$1:$I$89,3,0)*VLOOKUP('Données projet'!$B$11,Paramètres!$A$1:$I$89,5,0)</f>
        <v>-3.0859155231155454E-13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469.68830256438338</v>
      </c>
      <c r="BJ136" s="59">
        <f t="shared" si="146"/>
        <v>332.61387922152159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0.31323328991705934</v>
      </c>
      <c r="BQ136" s="21">
        <f>EXP(-LN(2)/25)*BQ135+(1-EXP(-LN(2)/25))/(LN(2)/25)*Calculateur!BL136*Calculateur!BN136*VLOOKUP('Données projet'!$B$11,Paramètres!$A$1:$I$89,3,0)*0.475*44/12</f>
        <v>0.64889438477451167</v>
      </c>
      <c r="BR136" s="21">
        <f>EXP(-LN(2)/2)*BR135+(1-EXP(-LN(2)/2))/(LN(2)/2)*BL136*BO136*VLOOKUP('Données projet'!$B$11,Paramètres!$A$1:$I$89,3,0)*0.475*44/12</f>
        <v>6.7681463056993173E-15</v>
      </c>
      <c r="BS136" s="22">
        <f t="shared" si="117"/>
        <v>0.96212767469157778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3.7</v>
      </c>
      <c r="BY136" s="12">
        <f>IF('Données projet'!$A$114&gt;35,BY135+BX136-CG135,IF(A136&lt;'Données projet'!$A$114,$BV$205^A136,IF(A136='Données projet'!$A$114,'Données projet'!$B$114,BY135+BX136-CG135)))</f>
        <v>431.10000000000019</v>
      </c>
      <c r="BZ136" s="13">
        <f>BY136*VLOOKUP('Données projet'!$B$12,Paramètres!$A$1:$I$89,3,0)*VLOOKUP('Données projet'!$B$12,Paramètres!$A$1:$I$89,5,0)</f>
        <v>410.23476000000022</v>
      </c>
      <c r="CA136" s="13">
        <f t="shared" si="147"/>
        <v>93.848544859108785</v>
      </c>
      <c r="CB136" s="20">
        <f t="shared" si="118"/>
        <v>877.94508929628148</v>
      </c>
      <c r="CC136" s="59">
        <f t="shared" si="119"/>
        <v>1171.2784226296149</v>
      </c>
      <c r="CD136" s="59">
        <f ca="1">AVERAGE(OFFSET($CC$3,0,0,'Données projet'!$E$12+1,1))-AVERAGE(OFFSET($H$3,0,0,'Données projet'!$E$12+1,1))</f>
        <v>609.40025883662452</v>
      </c>
      <c r="CE136" s="59">
        <f t="shared" si="148"/>
        <v>294.48909834404577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0.22673632963361021</v>
      </c>
      <c r="CM136" s="21">
        <f>EXP(-LN(2)/2)*CM135+(1-EXP(-LN(2)/2))/(LN(2)/2)*CG136*CJ136*VLOOKUP('Données projet'!$B$12,Paramètres!$A$1:$I$89,3,0)*0.475*44/12</f>
        <v>2.4670162085044817E-15</v>
      </c>
      <c r="CN136" s="22">
        <f t="shared" si="120"/>
        <v>0.22673632963361268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-1.1368683772161603E-13</v>
      </c>
      <c r="CU136" s="17">
        <f>CT136*VLOOKUP('Données projet'!$B$13,Paramètres!$A$1:$I$89,3,0)*VLOOKUP('Données projet'!$B$13,Paramètres!$A$1:$I$89,5,0)</f>
        <v>-5.3205440053716299E-14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346.16623654404509</v>
      </c>
      <c r="CZ136" s="59">
        <f t="shared" si="150"/>
        <v>281.80933156559087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0.40765362375762126</v>
      </c>
      <c r="DG136" s="21">
        <f>EXP(-LN(2)/25)*DG135+(1-EXP(-LN(2)/25))/(LN(2)/25)*Calculateur!DB136*Calculateur!DD136*VLOOKUP('Données projet'!$B$13,Paramètres!$A$1:$I$89,3,0)*0.475*44/12</f>
        <v>0.45178133052928005</v>
      </c>
      <c r="DH136" s="21">
        <f>EXP(-LN(2)/2)*DH135+(1-EXP(-LN(2)/2))/(LN(2)/2)*DB136*DE136*VLOOKUP('Données projet'!$B$13,Paramètres!$A$1:$I$89,3,0)*0.475*44/12</f>
        <v>3.087485228832144E-15</v>
      </c>
      <c r="DI136" s="22">
        <f t="shared" si="123"/>
        <v>0.85943495428690442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6.2527760746888816E-13</v>
      </c>
      <c r="DP136" s="17">
        <f>DO136*VLOOKUP('Données projet'!$B$14,Paramètres!$A$1:$I$89,3,0)*VLOOKUP('Données projet'!$B$14,Paramètres!$A$1:$I$89,5,0)</f>
        <v>3.9017322706058616E-13</v>
      </c>
      <c r="DQ136" s="13">
        <f t="shared" si="151"/>
        <v>5.0025007393608908E-12</v>
      </c>
      <c r="DR136" s="20">
        <f t="shared" si="124"/>
        <v>9.3922404915174053E-12</v>
      </c>
      <c r="DS136" s="59">
        <f t="shared" si="125"/>
        <v>293.33333333334269</v>
      </c>
      <c r="DT136" s="59">
        <f ca="1">AVERAGE(OFFSET($DS$3,0,0,'Données projet'!$E$14+1,1))-AVERAGE(OFFSET($H$3,0,0,'Données projet'!$E$14+1,1))</f>
        <v>319.97171762304686</v>
      </c>
      <c r="DU136" s="59">
        <f t="shared" si="152"/>
        <v>337.89345858359621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0.90428215212623375</v>
      </c>
      <c r="EB136" s="21">
        <f>EXP(-LN(2)/25)*EB135+(1-EXP(-LN(2)/25))/(LN(2)/25)*Calculateur!DW136*Calculateur!DY136*VLOOKUP('Données projet'!$B$14,Paramètres!$A$1:$I$89,3,0)*0.475*44/12</f>
        <v>1.1955485403265993</v>
      </c>
      <c r="EC136" s="21">
        <f>EXP(-LN(2)/2)*EC135+(1-EXP(-LN(2)/2))/(LN(2)/2)*DW136*DZ136*VLOOKUP('Données projet'!$B$14,Paramètres!$A$1:$I$89,3,0)*0.475*44/12</f>
        <v>6.3402894314117065E-15</v>
      </c>
      <c r="ED136" s="22">
        <f t="shared" si="126"/>
        <v>2.0998306924528394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>
        <f>EJ136*VLOOKUP('Données projet'!$B$15,Paramètres!$A$1:$I$89,3,0)*VLOOKUP('Données projet'!$B$15,Paramètres!$A$1:$I$89,5,0)</f>
        <v>0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258.46015871559956</v>
      </c>
      <c r="EP136" s="59">
        <f t="shared" si="154"/>
        <v>280.26155987300996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0.80790750968592662</v>
      </c>
      <c r="EW136" s="21">
        <f>EXP(-LN(2)/25)*EW135+(1-EXP(-LN(2)/25))/(LN(2)/25)*Calculateur!ER136*Calculateur!ET136*VLOOKUP('Données projet'!$B$15,Paramètres!$A$1:$I$89,3,0)*0.475*44/12</f>
        <v>0.70917034809744939</v>
      </c>
      <c r="EX136" s="21">
        <f>EXP(-LN(2)/2)*EX135+(1-EXP(-LN(2)/2))/(LN(2)/2)*ER136*EU136*VLOOKUP('Données projet'!$B$15,Paramètres!$A$1:$I$89,3,0)*0.475*44/12</f>
        <v>1.7100481057691199E-15</v>
      </c>
      <c r="EY136" s="22">
        <f t="shared" si="129"/>
        <v>1.5170778577833777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243.00000000000017</v>
      </c>
      <c r="O137" s="13">
        <f>N137*VLOOKUP('Données projet'!$B$9,Paramètres!$A$1:$I$89,3,0)*VLOOKUP('Données projet'!$B$9,Paramètres!$A$1:$I$89,5,0)</f>
        <v>212.28480000000016</v>
      </c>
      <c r="P137" s="13">
        <f t="shared" si="141"/>
        <v>52.434557099704236</v>
      </c>
      <c r="Q137" s="20">
        <f t="shared" si="108"/>
        <v>461.0528802819851</v>
      </c>
      <c r="R137" s="59">
        <f t="shared" si="109"/>
        <v>754.38621361531841</v>
      </c>
      <c r="S137" s="59">
        <f ca="1">AVERAGE(OFFSET($R$3,0,0,'Données projet'!$E$9+1,1))-AVERAGE(OFFSET($H$3,0,0,'Données projet'!$E$9+1,1))</f>
        <v>368.41876532159154</v>
      </c>
      <c r="T137" s="59">
        <f t="shared" si="142"/>
        <v>369.39570124551125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0.78518984696033411</v>
      </c>
      <c r="AA137" s="21">
        <f>EXP(-LN(2)/25)*AA136+(1-EXP(-LN(2)/25))/(LN(2)/25)*Calculateur!V137*Calculateur!X137*VLOOKUP('Données projet'!$B$9,Paramètres!$A$1:$I$89,3,0)*0.475*44/12</f>
        <v>0.90738764370607383</v>
      </c>
      <c r="AB137" s="21">
        <f>EXP(-LN(2)/2)*AB136+(1-EXP(-LN(2)/2))/(LN(2)/2)*V137*Y137*VLOOKUP('Données projet'!$B$9,Paramètres!$A$1:$I$89,3,0)*0.475*44/12</f>
        <v>3.9458748850462378E-15</v>
      </c>
      <c r="AC137" s="22">
        <f t="shared" si="111"/>
        <v>1.6925774906664119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-5.1159076974727213E-13</v>
      </c>
      <c r="AJ137" s="13">
        <f>AI137*VLOOKUP('Données projet'!$B$10,Paramètres!$A$1:$I$89,3,0)*VLOOKUP('Données projet'!$B$10,Paramètres!$A$1:$I$89,5,0)</f>
        <v>-4.4692569645121704E-13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402.82278346470082</v>
      </c>
      <c r="AO137" s="59">
        <f t="shared" si="144"/>
        <v>440.17787299198977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0.45681937511463333</v>
      </c>
      <c r="AV137" s="21">
        <f>EXP(-LN(2)/25)*AV136+(1-EXP(-LN(2)/25))/(LN(2)/25)*Calculateur!AQ137*Calculateur!AS137*VLOOKUP('Données projet'!$B$10,Paramètres!$A$1:$I$89,3,0)*0.475*44/12</f>
        <v>1.2603814920512442</v>
      </c>
      <c r="AW137" s="21">
        <f>EXP(-LN(2)/2)*AW136+(1-EXP(-LN(2)/2))/(LN(2)/2)*AQ137*AT137*VLOOKUP('Données projet'!$B$10,Paramètres!$A$1:$I$89,3,0)*0.475*44/12</f>
        <v>5.8610454971026741E-15</v>
      </c>
      <c r="AX137" s="21">
        <f t="shared" si="114"/>
        <v>1.7172008671658832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-3.4106051316484809E-13</v>
      </c>
      <c r="BE137" s="13">
        <f>BD137*VLOOKUP('Données projet'!$B$11,Paramètres!$A$1:$I$89,3,0)*VLOOKUP('Données projet'!$B$11,Paramètres!$A$1:$I$89,5,0)</f>
        <v>-3.0859155231155454E-13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469.68830256438338</v>
      </c>
      <c r="BJ137" s="59">
        <f t="shared" si="146"/>
        <v>332.61387922152159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0.30709097615522768</v>
      </c>
      <c r="BQ137" s="21">
        <f>EXP(-LN(2)/25)*BQ136+(1-EXP(-LN(2)/25))/(LN(2)/25)*Calculateur!BL137*Calculateur!BN137*VLOOKUP('Données projet'!$B$11,Paramètres!$A$1:$I$89,3,0)*0.475*44/12</f>
        <v>0.63115033369897999</v>
      </c>
      <c r="BR137" s="21">
        <f>EXP(-LN(2)/2)*BR136+(1-EXP(-LN(2)/2))/(LN(2)/2)*BL137*BO137*VLOOKUP('Données projet'!$B$11,Paramètres!$A$1:$I$89,3,0)*0.475*44/12</f>
        <v>4.7858021488226671E-15</v>
      </c>
      <c r="BS137" s="22">
        <f t="shared" si="117"/>
        <v>0.9382413098542125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3.7</v>
      </c>
      <c r="BY137" s="12">
        <f>IF('Données projet'!$A$114&gt;35,BY136+BX137-CG136,IF(A137&lt;'Données projet'!$A$114,$BV$205^A137,IF(A137='Données projet'!$A$114,'Données projet'!$B$114,BY136+BX137-CG136)))</f>
        <v>434.80000000000018</v>
      </c>
      <c r="BZ137" s="13">
        <f>BY137*VLOOKUP('Données projet'!$B$12,Paramètres!$A$1:$I$89,3,0)*VLOOKUP('Données projet'!$B$12,Paramètres!$A$1:$I$89,5,0)</f>
        <v>413.75568000000021</v>
      </c>
      <c r="CA137" s="13">
        <f t="shared" si="147"/>
        <v>94.559906842331259</v>
      </c>
      <c r="CB137" s="20">
        <f t="shared" si="118"/>
        <v>885.31631375039387</v>
      </c>
      <c r="CC137" s="59">
        <f t="shared" si="119"/>
        <v>1178.6496470837271</v>
      </c>
      <c r="CD137" s="59">
        <f ca="1">AVERAGE(OFFSET($CC$3,0,0,'Données projet'!$E$12+1,1))-AVERAGE(OFFSET($H$3,0,0,'Données projet'!$E$12+1,1))</f>
        <v>609.40025883662452</v>
      </c>
      <c r="CE137" s="59">
        <f t="shared" si="148"/>
        <v>294.48909834404577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0.22053621277623378</v>
      </c>
      <c r="CM137" s="21">
        <f>EXP(-LN(2)/2)*CM136+(1-EXP(-LN(2)/2))/(LN(2)/2)*CG137*CJ137*VLOOKUP('Données projet'!$B$12,Paramètres!$A$1:$I$89,3,0)*0.475*44/12</f>
        <v>1.7444438903306448E-15</v>
      </c>
      <c r="CN137" s="22">
        <f t="shared" si="120"/>
        <v>0.22053621277623553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-1.1368683772161603E-13</v>
      </c>
      <c r="CU137" s="17">
        <f>CT137*VLOOKUP('Données projet'!$B$13,Paramètres!$A$1:$I$89,3,0)*VLOOKUP('Données projet'!$B$13,Paramètres!$A$1:$I$89,5,0)</f>
        <v>-5.3205440053716299E-14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346.16623654404509</v>
      </c>
      <c r="CZ137" s="59">
        <f t="shared" si="150"/>
        <v>281.80933156559087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0.39965978483989323</v>
      </c>
      <c r="DG137" s="21">
        <f>EXP(-LN(2)/25)*DG136+(1-EXP(-LN(2)/25))/(LN(2)/25)*Calculateur!DB137*Calculateur!DD137*VLOOKUP('Données projet'!$B$13,Paramètres!$A$1:$I$89,3,0)*0.475*44/12</f>
        <v>0.43942734628780927</v>
      </c>
      <c r="DH137" s="21">
        <f>EXP(-LN(2)/2)*DH136+(1-EXP(-LN(2)/2))/(LN(2)/2)*DB137*DE137*VLOOKUP('Données projet'!$B$13,Paramètres!$A$1:$I$89,3,0)*0.475*44/12</f>
        <v>2.1831817421205084E-15</v>
      </c>
      <c r="DI137" s="22">
        <f t="shared" si="123"/>
        <v>0.83908713112770472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6.2527760746888816E-13</v>
      </c>
      <c r="DP137" s="17">
        <f>DO137*VLOOKUP('Données projet'!$B$14,Paramètres!$A$1:$I$89,3,0)*VLOOKUP('Données projet'!$B$14,Paramètres!$A$1:$I$89,5,0)</f>
        <v>3.9017322706058616E-13</v>
      </c>
      <c r="DQ137" s="13">
        <f t="shared" si="151"/>
        <v>5.0025007393608908E-12</v>
      </c>
      <c r="DR137" s="20">
        <f t="shared" si="124"/>
        <v>9.3922404915174053E-12</v>
      </c>
      <c r="DS137" s="59">
        <f t="shared" si="125"/>
        <v>293.33333333334269</v>
      </c>
      <c r="DT137" s="59">
        <f ca="1">AVERAGE(OFFSET($DS$3,0,0,'Données projet'!$E$14+1,1))-AVERAGE(OFFSET($H$3,0,0,'Données projet'!$E$14+1,1))</f>
        <v>319.97171762304686</v>
      </c>
      <c r="DU137" s="59">
        <f t="shared" si="152"/>
        <v>337.89345858359621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0.88654973068068932</v>
      </c>
      <c r="EB137" s="21">
        <f>EXP(-LN(2)/25)*EB136+(1-EXP(-LN(2)/25))/(LN(2)/25)*Calculateur!DW137*Calculateur!DY137*VLOOKUP('Données projet'!$B$14,Paramètres!$A$1:$I$89,3,0)*0.475*44/12</f>
        <v>1.1628562026202032</v>
      </c>
      <c r="EC137" s="21">
        <f>EXP(-LN(2)/2)*EC136+(1-EXP(-LN(2)/2))/(LN(2)/2)*DW137*DZ137*VLOOKUP('Données projet'!$B$14,Paramètres!$A$1:$I$89,3,0)*0.475*44/12</f>
        <v>4.4832616516366173E-15</v>
      </c>
      <c r="ED137" s="22">
        <f t="shared" si="126"/>
        <v>2.0494059333008972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>
        <f>EJ137*VLOOKUP('Données projet'!$B$15,Paramètres!$A$1:$I$89,3,0)*VLOOKUP('Données projet'!$B$15,Paramètres!$A$1:$I$89,5,0)</f>
        <v>0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258.46015871559956</v>
      </c>
      <c r="EP137" s="59">
        <f t="shared" si="154"/>
        <v>280.26155987300996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0.79206493619590901</v>
      </c>
      <c r="EW137" s="21">
        <f>EXP(-LN(2)/25)*EW136+(1-EXP(-LN(2)/25))/(LN(2)/25)*Calculateur!ER137*Calculateur!ET137*VLOOKUP('Données projet'!$B$15,Paramètres!$A$1:$I$89,3,0)*0.475*44/12</f>
        <v>0.68977804763507689</v>
      </c>
      <c r="EX137" s="21">
        <f>EXP(-LN(2)/2)*EX136+(1-EXP(-LN(2)/2))/(LN(2)/2)*ER137*EU137*VLOOKUP('Données projet'!$B$15,Paramètres!$A$1:$I$89,3,0)*0.475*44/12</f>
        <v>1.2091866117445551E-15</v>
      </c>
      <c r="EY137" s="22">
        <f t="shared" si="129"/>
        <v>1.481842983830987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243.00000000000017</v>
      </c>
      <c r="O138" s="13">
        <f>N138*VLOOKUP('Données projet'!$B$9,Paramètres!$A$1:$I$89,3,0)*VLOOKUP('Données projet'!$B$9,Paramètres!$A$1:$I$89,5,0)</f>
        <v>212.28480000000016</v>
      </c>
      <c r="P138" s="13">
        <f t="shared" si="141"/>
        <v>52.434557099704236</v>
      </c>
      <c r="Q138" s="20">
        <f t="shared" si="108"/>
        <v>461.0528802819851</v>
      </c>
      <c r="R138" s="59">
        <f t="shared" si="109"/>
        <v>754.38621361531841</v>
      </c>
      <c r="S138" s="59">
        <f ca="1">AVERAGE(OFFSET($R$3,0,0,'Données projet'!$E$9+1,1))-AVERAGE(OFFSET($H$3,0,0,'Données projet'!$E$9+1,1))</f>
        <v>368.41876532159154</v>
      </c>
      <c r="T138" s="59">
        <f t="shared" si="142"/>
        <v>369.39570124551125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0.7697927529799593</v>
      </c>
      <c r="AA138" s="21">
        <f>EXP(-LN(2)/25)*AA137+(1-EXP(-LN(2)/25))/(LN(2)/25)*Calculateur!V138*Calculateur!X138*VLOOKUP('Données projet'!$B$9,Paramètres!$A$1:$I$89,3,0)*0.475*44/12</f>
        <v>0.88257508087148895</v>
      </c>
      <c r="AB138" s="21">
        <f>EXP(-LN(2)/2)*AB137+(1-EXP(-LN(2)/2))/(LN(2)/2)*V138*Y138*VLOOKUP('Données projet'!$B$9,Paramètres!$A$1:$I$89,3,0)*0.475*44/12</f>
        <v>2.7901548889298835E-15</v>
      </c>
      <c r="AC138" s="22">
        <f t="shared" si="111"/>
        <v>1.6523678338514511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-5.1159076974727213E-13</v>
      </c>
      <c r="AJ138" s="13">
        <f>AI138*VLOOKUP('Données projet'!$B$10,Paramètres!$A$1:$I$89,3,0)*VLOOKUP('Données projet'!$B$10,Paramètres!$A$1:$I$89,5,0)</f>
        <v>-4.4692569645121704E-13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402.82278346470082</v>
      </c>
      <c r="AO138" s="59">
        <f t="shared" si="144"/>
        <v>440.17787299198977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0.44786142580094151</v>
      </c>
      <c r="AV138" s="21">
        <f>EXP(-LN(2)/25)*AV137+(1-EXP(-LN(2)/25))/(LN(2)/25)*Calculateur!AQ138*Calculateur!AS138*VLOOKUP('Données projet'!$B$10,Paramètres!$A$1:$I$89,3,0)*0.475*44/12</f>
        <v>1.2259162938705208</v>
      </c>
      <c r="AW138" s="21">
        <f>EXP(-LN(2)/2)*AW137+(1-EXP(-LN(2)/2))/(LN(2)/2)*AQ138*AT138*VLOOKUP('Données projet'!$B$10,Paramètres!$A$1:$I$89,3,0)*0.475*44/12</f>
        <v>4.1443850158441802E-15</v>
      </c>
      <c r="AX138" s="21">
        <f t="shared" si="114"/>
        <v>1.6737777196714665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-3.4106051316484809E-13</v>
      </c>
      <c r="BE138" s="13">
        <f>BD138*VLOOKUP('Données projet'!$B$11,Paramètres!$A$1:$I$89,3,0)*VLOOKUP('Données projet'!$B$11,Paramètres!$A$1:$I$89,5,0)</f>
        <v>-3.0859155231155454E-13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469.68830256438338</v>
      </c>
      <c r="BJ138" s="59">
        <f t="shared" si="146"/>
        <v>332.61387922152159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0.30106910941982407</v>
      </c>
      <c r="BQ138" s="21">
        <f>EXP(-LN(2)/25)*BQ137+(1-EXP(-LN(2)/25))/(LN(2)/25)*Calculateur!BL138*Calculateur!BN138*VLOOKUP('Données projet'!$B$11,Paramètres!$A$1:$I$89,3,0)*0.475*44/12</f>
        <v>0.6138914946332279</v>
      </c>
      <c r="BR138" s="21">
        <f>EXP(-LN(2)/2)*BR137+(1-EXP(-LN(2)/2))/(LN(2)/2)*BL138*BO138*VLOOKUP('Données projet'!$B$11,Paramètres!$A$1:$I$89,3,0)*0.475*44/12</f>
        <v>3.3840731528496587E-15</v>
      </c>
      <c r="BS138" s="22">
        <f t="shared" si="117"/>
        <v>0.91496060405305535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3.7</v>
      </c>
      <c r="BY138" s="12">
        <f>IF('Données projet'!$A$114&gt;35,BY137+BX138-CG137,IF(A138&lt;'Données projet'!$A$114,$BV$205^A138,IF(A138='Données projet'!$A$114,'Données projet'!$B$114,BY137+BX138-CG137)))</f>
        <v>438.50000000000017</v>
      </c>
      <c r="BZ138" s="13">
        <f>BY138*VLOOKUP('Données projet'!$B$12,Paramètres!$A$1:$I$89,3,0)*VLOOKUP('Données projet'!$B$12,Paramètres!$A$1:$I$89,5,0)</f>
        <v>417.27660000000014</v>
      </c>
      <c r="CA138" s="13">
        <f t="shared" si="147"/>
        <v>95.270564544033775</v>
      </c>
      <c r="CB138" s="20">
        <f t="shared" si="118"/>
        <v>892.68631158085884</v>
      </c>
      <c r="CC138" s="59">
        <f t="shared" si="119"/>
        <v>1186.0196449141922</v>
      </c>
      <c r="CD138" s="59">
        <f ca="1">AVERAGE(OFFSET($CC$3,0,0,'Données projet'!$E$12+1,1))-AVERAGE(OFFSET($H$3,0,0,'Données projet'!$E$12+1,1))</f>
        <v>609.40025883662452</v>
      </c>
      <c r="CE138" s="59">
        <f t="shared" si="148"/>
        <v>294.48909834404577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0.21450563844037229</v>
      </c>
      <c r="CM138" s="21">
        <f>EXP(-LN(2)/2)*CM137+(1-EXP(-LN(2)/2))/(LN(2)/2)*CG138*CJ138*VLOOKUP('Données projet'!$B$12,Paramètres!$A$1:$I$89,3,0)*0.475*44/12</f>
        <v>1.2335081042522411E-15</v>
      </c>
      <c r="CN138" s="22">
        <f t="shared" si="120"/>
        <v>0.21450563844037351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-1.1368683772161603E-13</v>
      </c>
      <c r="CU138" s="17">
        <f>CT138*VLOOKUP('Données projet'!$B$13,Paramètres!$A$1:$I$89,3,0)*VLOOKUP('Données projet'!$B$13,Paramètres!$A$1:$I$89,5,0)</f>
        <v>-5.3205440053716299E-14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346.16623654404509</v>
      </c>
      <c r="CZ138" s="59">
        <f t="shared" si="150"/>
        <v>281.80933156559087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0.39182270022758153</v>
      </c>
      <c r="DG138" s="21">
        <f>EXP(-LN(2)/25)*DG137+(1-EXP(-LN(2)/25))/(LN(2)/25)*Calculateur!DB138*Calculateur!DD138*VLOOKUP('Données projet'!$B$13,Paramètres!$A$1:$I$89,3,0)*0.475*44/12</f>
        <v>0.4274111823950893</v>
      </c>
      <c r="DH138" s="21">
        <f>EXP(-LN(2)/2)*DH137+(1-EXP(-LN(2)/2))/(LN(2)/2)*DB138*DE138*VLOOKUP('Données projet'!$B$13,Paramètres!$A$1:$I$89,3,0)*0.475*44/12</f>
        <v>1.543742614416072E-15</v>
      </c>
      <c r="DI138" s="22">
        <f t="shared" si="123"/>
        <v>0.81923388262267238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6.2527760746888816E-13</v>
      </c>
      <c r="DP138" s="17">
        <f>DO138*VLOOKUP('Données projet'!$B$14,Paramètres!$A$1:$I$89,3,0)*VLOOKUP('Données projet'!$B$14,Paramètres!$A$1:$I$89,5,0)</f>
        <v>3.9017322706058616E-13</v>
      </c>
      <c r="DQ138" s="13">
        <f t="shared" si="151"/>
        <v>5.0025007393608908E-12</v>
      </c>
      <c r="DR138" s="20">
        <f t="shared" si="124"/>
        <v>9.3922404915174053E-12</v>
      </c>
      <c r="DS138" s="59">
        <f t="shared" si="125"/>
        <v>293.33333333334269</v>
      </c>
      <c r="DT138" s="59">
        <f ca="1">AVERAGE(OFFSET($DS$3,0,0,'Données projet'!$E$14+1,1))-AVERAGE(OFFSET($H$3,0,0,'Données projet'!$E$14+1,1))</f>
        <v>319.97171762304686</v>
      </c>
      <c r="DU138" s="59">
        <f t="shared" si="152"/>
        <v>337.89345858359621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0.86916503120398292</v>
      </c>
      <c r="EB138" s="21">
        <f>EXP(-LN(2)/25)*EB137+(1-EXP(-LN(2)/25))/(LN(2)/25)*Calculateur!DW138*Calculateur!DY138*VLOOKUP('Données projet'!$B$14,Paramètres!$A$1:$I$89,3,0)*0.475*44/12</f>
        <v>1.1310578386076038</v>
      </c>
      <c r="EC138" s="21">
        <f>EXP(-LN(2)/2)*EC137+(1-EXP(-LN(2)/2))/(LN(2)/2)*DW138*DZ138*VLOOKUP('Données projet'!$B$14,Paramètres!$A$1:$I$89,3,0)*0.475*44/12</f>
        <v>3.1701447157058532E-15</v>
      </c>
      <c r="ED138" s="22">
        <f t="shared" si="126"/>
        <v>2.0002228698115898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>
        <f>EJ138*VLOOKUP('Données projet'!$B$15,Paramètres!$A$1:$I$89,3,0)*VLOOKUP('Données projet'!$B$15,Paramètres!$A$1:$I$89,5,0)</f>
        <v>0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258.46015871559956</v>
      </c>
      <c r="EP138" s="59">
        <f t="shared" si="154"/>
        <v>280.26155987300996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0.77653302590901496</v>
      </c>
      <c r="EW138" s="21">
        <f>EXP(-LN(2)/25)*EW137+(1-EXP(-LN(2)/25))/(LN(2)/25)*Calculateur!ER138*Calculateur!ET138*VLOOKUP('Données projet'!$B$15,Paramètres!$A$1:$I$89,3,0)*0.475*44/12</f>
        <v>0.67091603064864469</v>
      </c>
      <c r="EX138" s="21">
        <f>EXP(-LN(2)/2)*EX137+(1-EXP(-LN(2)/2))/(LN(2)/2)*ER138*EU138*VLOOKUP('Données projet'!$B$15,Paramètres!$A$1:$I$89,3,0)*0.475*44/12</f>
        <v>8.5502405288455993E-16</v>
      </c>
      <c r="EY138" s="22">
        <f t="shared" si="129"/>
        <v>1.4474490565576605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243.00000000000017</v>
      </c>
      <c r="O139" s="13">
        <f>N139*VLOOKUP('Données projet'!$B$9,Paramètres!$A$1:$I$89,3,0)*VLOOKUP('Données projet'!$B$9,Paramètres!$A$1:$I$89,5,0)</f>
        <v>212.28480000000016</v>
      </c>
      <c r="P139" s="13">
        <f t="shared" si="141"/>
        <v>52.434557099704236</v>
      </c>
      <c r="Q139" s="20">
        <f t="shared" si="108"/>
        <v>461.0528802819851</v>
      </c>
      <c r="R139" s="59">
        <f t="shared" si="109"/>
        <v>754.38621361531841</v>
      </c>
      <c r="S139" s="59">
        <f ca="1">AVERAGE(OFFSET($R$3,0,0,'Données projet'!$E$9+1,1))-AVERAGE(OFFSET($H$3,0,0,'Données projet'!$E$9+1,1))</f>
        <v>368.41876532159154</v>
      </c>
      <c r="T139" s="59">
        <f t="shared" si="142"/>
        <v>369.39570124551125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0.75469758662123965</v>
      </c>
      <c r="AA139" s="21">
        <f>EXP(-LN(2)/25)*AA138+(1-EXP(-LN(2)/25))/(LN(2)/25)*Calculateur!V139*Calculateur!X139*VLOOKUP('Données projet'!$B$9,Paramètres!$A$1:$I$89,3,0)*0.475*44/12</f>
        <v>0.85844101887245172</v>
      </c>
      <c r="AB139" s="21">
        <f>EXP(-LN(2)/2)*AB138+(1-EXP(-LN(2)/2))/(LN(2)/2)*V139*Y139*VLOOKUP('Données projet'!$B$9,Paramètres!$A$1:$I$89,3,0)*0.475*44/12</f>
        <v>1.9729374425231189E-15</v>
      </c>
      <c r="AC139" s="22">
        <f t="shared" si="111"/>
        <v>1.6131386054936934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-5.1159076974727213E-13</v>
      </c>
      <c r="AJ139" s="13">
        <f>AI139*VLOOKUP('Données projet'!$B$10,Paramètres!$A$1:$I$89,3,0)*VLOOKUP('Données projet'!$B$10,Paramètres!$A$1:$I$89,5,0)</f>
        <v>-4.4692569645121704E-13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402.82278346470082</v>
      </c>
      <c r="AO139" s="59">
        <f t="shared" si="144"/>
        <v>440.17787299198977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0.43907913640948165</v>
      </c>
      <c r="AV139" s="21">
        <f>EXP(-LN(2)/25)*AV138+(1-EXP(-LN(2)/25))/(LN(2)/25)*Calculateur!AQ139*Calculateur!AS139*VLOOKUP('Données projet'!$B$10,Paramètres!$A$1:$I$89,3,0)*0.475*44/12</f>
        <v>1.1923935483464954</v>
      </c>
      <c r="AW139" s="21">
        <f>EXP(-LN(2)/2)*AW138+(1-EXP(-LN(2)/2))/(LN(2)/2)*AQ139*AT139*VLOOKUP('Données projet'!$B$10,Paramètres!$A$1:$I$89,3,0)*0.475*44/12</f>
        <v>2.9305227485513371E-15</v>
      </c>
      <c r="AX139" s="21">
        <f t="shared" si="114"/>
        <v>1.63147268475598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-3.4106051316484809E-13</v>
      </c>
      <c r="BE139" s="13">
        <f>BD139*VLOOKUP('Données projet'!$B$11,Paramètres!$A$1:$I$89,3,0)*VLOOKUP('Données projet'!$B$11,Paramètres!$A$1:$I$89,5,0)</f>
        <v>-3.0859155231155454E-13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469.68830256438338</v>
      </c>
      <c r="BJ139" s="59">
        <f t="shared" si="146"/>
        <v>332.61387922152159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0.29516532781812571</v>
      </c>
      <c r="BQ139" s="21">
        <f>EXP(-LN(2)/25)*BQ138+(1-EXP(-LN(2)/25))/(LN(2)/25)*Calculateur!BL139*Calculateur!BN139*VLOOKUP('Données projet'!$B$11,Paramètres!$A$1:$I$89,3,0)*0.475*44/12</f>
        <v>0.59710459942933169</v>
      </c>
      <c r="BR139" s="21">
        <f>EXP(-LN(2)/2)*BR138+(1-EXP(-LN(2)/2))/(LN(2)/2)*BL139*BO139*VLOOKUP('Données projet'!$B$11,Paramètres!$A$1:$I$89,3,0)*0.475*44/12</f>
        <v>2.3929010744113335E-15</v>
      </c>
      <c r="BS139" s="22">
        <f t="shared" si="117"/>
        <v>0.8922699272474599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3.7</v>
      </c>
      <c r="BY139" s="12">
        <f>IF('Données projet'!$A$114&gt;35,BY138+BX139-CG138,IF(A139&lt;'Données projet'!$A$114,$BV$205^A139,IF(A139='Données projet'!$A$114,'Données projet'!$B$114,BY138+BX139-CG138)))</f>
        <v>442.20000000000016</v>
      </c>
      <c r="BZ139" s="13">
        <f>BY139*VLOOKUP('Données projet'!$B$12,Paramètres!$A$1:$I$89,3,0)*VLOOKUP('Données projet'!$B$12,Paramètres!$A$1:$I$89,5,0)</f>
        <v>420.79752000000013</v>
      </c>
      <c r="CA139" s="13">
        <f t="shared" si="147"/>
        <v>95.98052459546534</v>
      </c>
      <c r="CB139" s="20">
        <f t="shared" si="118"/>
        <v>900.05509433710222</v>
      </c>
      <c r="CC139" s="59">
        <f t="shared" si="119"/>
        <v>1193.3884276704355</v>
      </c>
      <c r="CD139" s="59">
        <f ca="1">AVERAGE(OFFSET($CC$3,0,0,'Données projet'!$E$12+1,1))-AVERAGE(OFFSET($H$3,0,0,'Données projet'!$E$12+1,1))</f>
        <v>609.40025883662452</v>
      </c>
      <c r="CE139" s="59">
        <f t="shared" si="148"/>
        <v>294.48909834404577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0.20863997047685903</v>
      </c>
      <c r="CM139" s="21">
        <f>EXP(-LN(2)/2)*CM138+(1-EXP(-LN(2)/2))/(LN(2)/2)*CG139*CJ139*VLOOKUP('Données projet'!$B$12,Paramètres!$A$1:$I$89,3,0)*0.475*44/12</f>
        <v>8.7222194516532251E-16</v>
      </c>
      <c r="CN139" s="22">
        <f t="shared" si="120"/>
        <v>0.20863997047685989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-1.1368683772161603E-13</v>
      </c>
      <c r="CU139" s="17">
        <f>CT139*VLOOKUP('Données projet'!$B$13,Paramètres!$A$1:$I$89,3,0)*VLOOKUP('Données projet'!$B$13,Paramètres!$A$1:$I$89,5,0)</f>
        <v>-5.3205440053716299E-14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346.16623654404509</v>
      </c>
      <c r="CZ139" s="59">
        <f t="shared" si="150"/>
        <v>281.80933156559087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0.38413929606436764</v>
      </c>
      <c r="DG139" s="21">
        <f>EXP(-LN(2)/25)*DG138+(1-EXP(-LN(2)/25))/(LN(2)/25)*Calculateur!DB139*Calculateur!DD139*VLOOKUP('Données projet'!$B$13,Paramètres!$A$1:$I$89,3,0)*0.475*44/12</f>
        <v>0.41572360113591833</v>
      </c>
      <c r="DH139" s="21">
        <f>EXP(-LN(2)/2)*DH138+(1-EXP(-LN(2)/2))/(LN(2)/2)*DB139*DE139*VLOOKUP('Données projet'!$B$13,Paramètres!$A$1:$I$89,3,0)*0.475*44/12</f>
        <v>1.0915908710602542E-15</v>
      </c>
      <c r="DI139" s="22">
        <f t="shared" si="123"/>
        <v>0.79986289720028703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6.2527760746888816E-13</v>
      </c>
      <c r="DP139" s="17">
        <f>DO139*VLOOKUP('Données projet'!$B$14,Paramètres!$A$1:$I$89,3,0)*VLOOKUP('Données projet'!$B$14,Paramètres!$A$1:$I$89,5,0)</f>
        <v>3.9017322706058616E-13</v>
      </c>
      <c r="DQ139" s="13">
        <f t="shared" si="151"/>
        <v>5.0025007393608908E-12</v>
      </c>
      <c r="DR139" s="20">
        <f t="shared" si="124"/>
        <v>9.3922404915174053E-12</v>
      </c>
      <c r="DS139" s="59">
        <f t="shared" si="125"/>
        <v>293.33333333334269</v>
      </c>
      <c r="DT139" s="59">
        <f ca="1">AVERAGE(OFFSET($DS$3,0,0,'Données projet'!$E$14+1,1))-AVERAGE(OFFSET($H$3,0,0,'Données projet'!$E$14+1,1))</f>
        <v>319.97171762304686</v>
      </c>
      <c r="DU139" s="59">
        <f t="shared" si="152"/>
        <v>337.89345858359621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0.85212123508039506</v>
      </c>
      <c r="EB139" s="21">
        <f>EXP(-LN(2)/25)*EB138+(1-EXP(-LN(2)/25))/(LN(2)/25)*Calculateur!DW139*Calculateur!DY139*VLOOKUP('Données projet'!$B$14,Paramètres!$A$1:$I$89,3,0)*0.475*44/12</f>
        <v>1.1001290025311321</v>
      </c>
      <c r="EC139" s="21">
        <f>EXP(-LN(2)/2)*EC138+(1-EXP(-LN(2)/2))/(LN(2)/2)*DW139*DZ139*VLOOKUP('Données projet'!$B$14,Paramètres!$A$1:$I$89,3,0)*0.475*44/12</f>
        <v>2.2416308258183086E-15</v>
      </c>
      <c r="ED139" s="22">
        <f t="shared" si="126"/>
        <v>1.9522502376115294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>
        <f>EJ139*VLOOKUP('Données projet'!$B$15,Paramètres!$A$1:$I$89,3,0)*VLOOKUP('Données projet'!$B$15,Paramètres!$A$1:$I$89,5,0)</f>
        <v>0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258.46015871559956</v>
      </c>
      <c r="EP139" s="59">
        <f t="shared" si="154"/>
        <v>280.26155987300996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0.7613056869093171</v>
      </c>
      <c r="EW139" s="21">
        <f>EXP(-LN(2)/25)*EW138+(1-EXP(-LN(2)/25))/(LN(2)/25)*Calculateur!ER139*Calculateur!ET139*VLOOKUP('Données projet'!$B$15,Paramètres!$A$1:$I$89,3,0)*0.475*44/12</f>
        <v>0.6525697965086168</v>
      </c>
      <c r="EX139" s="21">
        <f>EXP(-LN(2)/2)*EX138+(1-EXP(-LN(2)/2))/(LN(2)/2)*ER139*EU139*VLOOKUP('Données projet'!$B$15,Paramètres!$A$1:$I$89,3,0)*0.475*44/12</f>
        <v>6.0459330587227755E-16</v>
      </c>
      <c r="EY139" s="22">
        <f t="shared" si="129"/>
        <v>1.4138754834179346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243.00000000000017</v>
      </c>
      <c r="O140" s="13">
        <f>N140*VLOOKUP('Données projet'!$B$9,Paramètres!$A$1:$I$89,3,0)*VLOOKUP('Données projet'!$B$9,Paramètres!$A$1:$I$89,5,0)</f>
        <v>212.28480000000016</v>
      </c>
      <c r="P140" s="13">
        <f t="shared" si="141"/>
        <v>52.434557099704236</v>
      </c>
      <c r="Q140" s="20">
        <f t="shared" si="108"/>
        <v>461.0528802819851</v>
      </c>
      <c r="R140" s="59">
        <f t="shared" si="109"/>
        <v>754.38621361531841</v>
      </c>
      <c r="S140" s="59">
        <f ca="1">AVERAGE(OFFSET($R$3,0,0,'Données projet'!$E$9+1,1))-AVERAGE(OFFSET($H$3,0,0,'Données projet'!$E$9+1,1))</f>
        <v>368.41876532159154</v>
      </c>
      <c r="T140" s="59">
        <f t="shared" si="142"/>
        <v>369.39570124551125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0.73989842726767219</v>
      </c>
      <c r="AA140" s="21">
        <f>EXP(-LN(2)/25)*AA139+(1-EXP(-LN(2)/25))/(LN(2)/25)*Calculateur!V140*Calculateur!X140*VLOOKUP('Données projet'!$B$9,Paramètres!$A$1:$I$89,3,0)*0.475*44/12</f>
        <v>0.83496690406793339</v>
      </c>
      <c r="AB140" s="21">
        <f>EXP(-LN(2)/2)*AB139+(1-EXP(-LN(2)/2))/(LN(2)/2)*V140*Y140*VLOOKUP('Données projet'!$B$9,Paramètres!$A$1:$I$89,3,0)*0.475*44/12</f>
        <v>1.3950774444649417E-15</v>
      </c>
      <c r="AC140" s="22">
        <f t="shared" si="111"/>
        <v>1.5748653313356069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-5.1159076974727213E-13</v>
      </c>
      <c r="AJ140" s="13">
        <f>AI140*VLOOKUP('Données projet'!$B$10,Paramètres!$A$1:$I$89,3,0)*VLOOKUP('Données projet'!$B$10,Paramètres!$A$1:$I$89,5,0)</f>
        <v>-4.4692569645121704E-13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402.82278346470082</v>
      </c>
      <c r="AO140" s="59">
        <f t="shared" si="144"/>
        <v>440.17787299198977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0.43046906235632071</v>
      </c>
      <c r="AV140" s="21">
        <f>EXP(-LN(2)/25)*AV139+(1-EXP(-LN(2)/25))/(LN(2)/25)*Calculateur!AQ140*Calculateur!AS140*VLOOKUP('Données projet'!$B$10,Paramètres!$A$1:$I$89,3,0)*0.475*44/12</f>
        <v>1.1597874840617091</v>
      </c>
      <c r="AW140" s="21">
        <f>EXP(-LN(2)/2)*AW139+(1-EXP(-LN(2)/2))/(LN(2)/2)*AQ140*AT140*VLOOKUP('Données projet'!$B$10,Paramètres!$A$1:$I$89,3,0)*0.475*44/12</f>
        <v>2.0721925079220901E-15</v>
      </c>
      <c r="AX140" s="21">
        <f t="shared" si="114"/>
        <v>1.5902565464180318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-3.4106051316484809E-13</v>
      </c>
      <c r="BE140" s="13">
        <f>BD140*VLOOKUP('Données projet'!$B$11,Paramètres!$A$1:$I$89,3,0)*VLOOKUP('Données projet'!$B$11,Paramètres!$A$1:$I$89,5,0)</f>
        <v>-3.0859155231155454E-13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469.68830256438338</v>
      </c>
      <c r="BJ140" s="59">
        <f t="shared" si="146"/>
        <v>332.61387922152159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0.28937731577268544</v>
      </c>
      <c r="BQ140" s="21">
        <f>EXP(-LN(2)/25)*BQ139+(1-EXP(-LN(2)/25))/(LN(2)/25)*Calculateur!BL140*Calculateur!BN140*VLOOKUP('Données projet'!$B$11,Paramètres!$A$1:$I$89,3,0)*0.475*44/12</f>
        <v>0.58077674275757041</v>
      </c>
      <c r="BR140" s="21">
        <f>EXP(-LN(2)/2)*BR139+(1-EXP(-LN(2)/2))/(LN(2)/2)*BL140*BO140*VLOOKUP('Données projet'!$B$11,Paramètres!$A$1:$I$89,3,0)*0.475*44/12</f>
        <v>1.6920365764248293E-15</v>
      </c>
      <c r="BS140" s="22">
        <f t="shared" si="117"/>
        <v>0.87015405853025751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3.7</v>
      </c>
      <c r="BY140" s="12">
        <f>IF('Données projet'!$A$114&gt;35,BY139+BX140-CG139,IF(A140&lt;'Données projet'!$A$114,$BV$205^A140,IF(A140='Données projet'!$A$114,'Données projet'!$B$114,BY139+BX140-CG139)))</f>
        <v>445.90000000000015</v>
      </c>
      <c r="BZ140" s="13">
        <f>BY140*VLOOKUP('Données projet'!$B$12,Paramètres!$A$1:$I$89,3,0)*VLOOKUP('Données projet'!$B$12,Paramètres!$A$1:$I$89,5,0)</f>
        <v>424.31844000000012</v>
      </c>
      <c r="CA140" s="13">
        <f t="shared" si="147"/>
        <v>96.689793510498845</v>
      </c>
      <c r="CB140" s="20">
        <f t="shared" si="118"/>
        <v>907.42267336411896</v>
      </c>
      <c r="CC140" s="59">
        <f t="shared" si="119"/>
        <v>1200.7560066974522</v>
      </c>
      <c r="CD140" s="59">
        <f ca="1">AVERAGE(OFFSET($CC$3,0,0,'Données projet'!$E$12+1,1))-AVERAGE(OFFSET($H$3,0,0,'Données projet'!$E$12+1,1))</f>
        <v>609.40025883662452</v>
      </c>
      <c r="CE140" s="59">
        <f t="shared" si="148"/>
        <v>294.48909834404577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0.20293469951227014</v>
      </c>
      <c r="CM140" s="21">
        <f>EXP(-LN(2)/2)*CM139+(1-EXP(-LN(2)/2))/(LN(2)/2)*CG140*CJ140*VLOOKUP('Données projet'!$B$12,Paramètres!$A$1:$I$89,3,0)*0.475*44/12</f>
        <v>6.1675405212612063E-16</v>
      </c>
      <c r="CN140" s="22">
        <f t="shared" si="120"/>
        <v>0.20293469951227075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-1.1368683772161603E-13</v>
      </c>
      <c r="CU140" s="17">
        <f>CT140*VLOOKUP('Données projet'!$B$13,Paramètres!$A$1:$I$89,3,0)*VLOOKUP('Données projet'!$B$13,Paramètres!$A$1:$I$89,5,0)</f>
        <v>-5.3205440053716299E-14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346.16623654404509</v>
      </c>
      <c r="CZ140" s="59">
        <f t="shared" si="150"/>
        <v>281.80933156559087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0.37660655877038063</v>
      </c>
      <c r="DG140" s="21">
        <f>EXP(-LN(2)/25)*DG139+(1-EXP(-LN(2)/25))/(LN(2)/25)*Calculateur!DB140*Calculateur!DD140*VLOOKUP('Données projet'!$B$13,Paramètres!$A$1:$I$89,3,0)*0.475*44/12</f>
        <v>0.40435561740090259</v>
      </c>
      <c r="DH140" s="21">
        <f>EXP(-LN(2)/2)*DH139+(1-EXP(-LN(2)/2))/(LN(2)/2)*DB140*DE140*VLOOKUP('Données projet'!$B$13,Paramètres!$A$1:$I$89,3,0)*0.475*44/12</f>
        <v>7.7187130720803599E-16</v>
      </c>
      <c r="DI140" s="22">
        <f t="shared" si="123"/>
        <v>0.78096217617128405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6.2527760746888816E-13</v>
      </c>
      <c r="DP140" s="17">
        <f>DO140*VLOOKUP('Données projet'!$B$14,Paramètres!$A$1:$I$89,3,0)*VLOOKUP('Données projet'!$B$14,Paramètres!$A$1:$I$89,5,0)</f>
        <v>3.9017322706058616E-13</v>
      </c>
      <c r="DQ140" s="13">
        <f t="shared" si="151"/>
        <v>5.0025007393608908E-12</v>
      </c>
      <c r="DR140" s="20">
        <f t="shared" si="124"/>
        <v>9.3922404915174053E-12</v>
      </c>
      <c r="DS140" s="59">
        <f t="shared" si="125"/>
        <v>293.33333333334269</v>
      </c>
      <c r="DT140" s="59">
        <f ca="1">AVERAGE(OFFSET($DS$3,0,0,'Données projet'!$E$14+1,1))-AVERAGE(OFFSET($H$3,0,0,'Données projet'!$E$14+1,1))</f>
        <v>319.97171762304686</v>
      </c>
      <c r="DU140" s="59">
        <f t="shared" si="152"/>
        <v>337.89345858359621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0.83541165740310164</v>
      </c>
      <c r="EB140" s="21">
        <f>EXP(-LN(2)/25)*EB139+(1-EXP(-LN(2)/25))/(LN(2)/25)*Calculateur!DW140*Calculateur!DY140*VLOOKUP('Données projet'!$B$14,Paramètres!$A$1:$I$89,3,0)*0.475*44/12</f>
        <v>1.0700459171036485</v>
      </c>
      <c r="EC140" s="21">
        <f>EXP(-LN(2)/2)*EC139+(1-EXP(-LN(2)/2))/(LN(2)/2)*DW140*DZ140*VLOOKUP('Données projet'!$B$14,Paramètres!$A$1:$I$89,3,0)*0.475*44/12</f>
        <v>1.5850723578529266E-15</v>
      </c>
      <c r="ED140" s="22">
        <f t="shared" si="126"/>
        <v>1.9054575745067517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>
        <f>EJ140*VLOOKUP('Données projet'!$B$15,Paramètres!$A$1:$I$89,3,0)*VLOOKUP('Données projet'!$B$15,Paramètres!$A$1:$I$89,5,0)</f>
        <v>0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258.46015871559956</v>
      </c>
      <c r="EP140" s="59">
        <f t="shared" si="154"/>
        <v>280.26155987300996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0.74637694673964361</v>
      </c>
      <c r="EW140" s="21">
        <f>EXP(-LN(2)/25)*EW139+(1-EXP(-LN(2)/25))/(LN(2)/25)*Calculateur!ER140*Calculateur!ET140*VLOOKUP('Données projet'!$B$15,Paramètres!$A$1:$I$89,3,0)*0.475*44/12</f>
        <v>0.63472524110593453</v>
      </c>
      <c r="EX140" s="21">
        <f>EXP(-LN(2)/2)*EX139+(1-EXP(-LN(2)/2))/(LN(2)/2)*ER140*EU140*VLOOKUP('Données projet'!$B$15,Paramètres!$A$1:$I$89,3,0)*0.475*44/12</f>
        <v>4.2751202644227996E-16</v>
      </c>
      <c r="EY140" s="22">
        <f t="shared" si="129"/>
        <v>1.3811021878455785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243.00000000000017</v>
      </c>
      <c r="O141" s="13">
        <f>N141*VLOOKUP('Données projet'!$B$9,Paramètres!$A$1:$I$89,3,0)*VLOOKUP('Données projet'!$B$9,Paramètres!$A$1:$I$89,5,0)</f>
        <v>212.28480000000016</v>
      </c>
      <c r="P141" s="13">
        <f t="shared" si="141"/>
        <v>52.434557099704236</v>
      </c>
      <c r="Q141" s="20">
        <f t="shared" si="108"/>
        <v>461.0528802819851</v>
      </c>
      <c r="R141" s="59">
        <f t="shared" si="109"/>
        <v>754.38621361531841</v>
      </c>
      <c r="S141" s="59">
        <f ca="1">AVERAGE(OFFSET($R$3,0,0,'Données projet'!$E$9+1,1))-AVERAGE(OFFSET($H$3,0,0,'Données projet'!$E$9+1,1))</f>
        <v>368.41876532159154</v>
      </c>
      <c r="T141" s="59">
        <f t="shared" si="142"/>
        <v>369.39570124551125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0.72538947040243229</v>
      </c>
      <c r="AA141" s="21">
        <f>EXP(-LN(2)/25)*AA140+(1-EXP(-LN(2)/25))/(LN(2)/25)*Calculateur!V141*Calculateur!X141*VLOOKUP('Données projet'!$B$9,Paramètres!$A$1:$I$89,3,0)*0.475*44/12</f>
        <v>0.81213469016719464</v>
      </c>
      <c r="AB141" s="21">
        <f>EXP(-LN(2)/2)*AB140+(1-EXP(-LN(2)/2))/(LN(2)/2)*V141*Y141*VLOOKUP('Données projet'!$B$9,Paramètres!$A$1:$I$89,3,0)*0.475*44/12</f>
        <v>9.8646872126155944E-16</v>
      </c>
      <c r="AC141" s="22">
        <f t="shared" si="111"/>
        <v>1.5375241605696277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-5.1159076974727213E-13</v>
      </c>
      <c r="AJ141" s="13">
        <f>AI141*VLOOKUP('Données projet'!$B$10,Paramètres!$A$1:$I$89,3,0)*VLOOKUP('Données projet'!$B$10,Paramètres!$A$1:$I$89,5,0)</f>
        <v>-4.4692569645121704E-13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402.82278346470082</v>
      </c>
      <c r="AO141" s="59">
        <f t="shared" si="144"/>
        <v>440.17787299198977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0.42202782660371563</v>
      </c>
      <c r="AV141" s="21">
        <f>EXP(-LN(2)/25)*AV140+(1-EXP(-LN(2)/25))/(LN(2)/25)*Calculateur!AQ141*Calculateur!AS141*VLOOKUP('Données projet'!$B$10,Paramètres!$A$1:$I$89,3,0)*0.475*44/12</f>
        <v>1.1280730343194685</v>
      </c>
      <c r="AW141" s="21">
        <f>EXP(-LN(2)/2)*AW140+(1-EXP(-LN(2)/2))/(LN(2)/2)*AQ141*AT141*VLOOKUP('Données projet'!$B$10,Paramètres!$A$1:$I$89,3,0)*0.475*44/12</f>
        <v>1.4652613742756685E-15</v>
      </c>
      <c r="AX141" s="21">
        <f t="shared" si="114"/>
        <v>1.5501008609231857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-3.4106051316484809E-13</v>
      </c>
      <c r="BE141" s="13">
        <f>BD141*VLOOKUP('Données projet'!$B$11,Paramètres!$A$1:$I$89,3,0)*VLOOKUP('Données projet'!$B$11,Paramètres!$A$1:$I$89,5,0)</f>
        <v>-3.0859155231155454E-13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469.68830256438338</v>
      </c>
      <c r="BJ141" s="59">
        <f t="shared" si="146"/>
        <v>332.61387922152159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0.28370280311311752</v>
      </c>
      <c r="BQ141" s="21">
        <f>EXP(-LN(2)/25)*BQ140+(1-EXP(-LN(2)/25))/(LN(2)/25)*Calculateur!BL141*Calculateur!BN141*VLOOKUP('Données projet'!$B$11,Paramètres!$A$1:$I$89,3,0)*0.475*44/12</f>
        <v>0.56489537218514307</v>
      </c>
      <c r="BR141" s="21">
        <f>EXP(-LN(2)/2)*BR140+(1-EXP(-LN(2)/2))/(LN(2)/2)*BL141*BO141*VLOOKUP('Données projet'!$B$11,Paramètres!$A$1:$I$89,3,0)*0.475*44/12</f>
        <v>1.1964505372056668E-15</v>
      </c>
      <c r="BS141" s="22">
        <f t="shared" si="117"/>
        <v>0.84859817529826176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3.7</v>
      </c>
      <c r="BY141" s="12">
        <f>IF('Données projet'!$A$114&gt;35,BY140+BX141-CG140,IF(A141&lt;'Données projet'!$A$114,$BV$205^A141,IF(A141='Données projet'!$A$114,'Données projet'!$B$114,BY140+BX141-CG140)))</f>
        <v>449.60000000000014</v>
      </c>
      <c r="BZ141" s="13">
        <f>BY141*VLOOKUP('Données projet'!$B$12,Paramètres!$A$1:$I$89,3,0)*VLOOKUP('Données projet'!$B$12,Paramètres!$A$1:$I$89,5,0)</f>
        <v>427.83936000000017</v>
      </c>
      <c r="CA141" s="13">
        <f t="shared" si="147"/>
        <v>97.398377688665079</v>
      </c>
      <c r="CB141" s="20">
        <f t="shared" si="118"/>
        <v>914.78905980775846</v>
      </c>
      <c r="CC141" s="59">
        <f t="shared" si="119"/>
        <v>1208.1223931410918</v>
      </c>
      <c r="CD141" s="59">
        <f ca="1">AVERAGE(OFFSET($CC$3,0,0,'Données projet'!$E$12+1,1))-AVERAGE(OFFSET($H$3,0,0,'Données projet'!$E$12+1,1))</f>
        <v>609.40025883662452</v>
      </c>
      <c r="CE141" s="59">
        <f t="shared" si="148"/>
        <v>294.48909834404577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0.19738543948223508</v>
      </c>
      <c r="CM141" s="21">
        <f>EXP(-LN(2)/2)*CM140+(1-EXP(-LN(2)/2))/(LN(2)/2)*CG141*CJ141*VLOOKUP('Données projet'!$B$12,Paramètres!$A$1:$I$89,3,0)*0.475*44/12</f>
        <v>4.3611097258266135E-16</v>
      </c>
      <c r="CN141" s="22">
        <f t="shared" si="120"/>
        <v>0.19738543948223553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-1.1368683772161603E-13</v>
      </c>
      <c r="CU141" s="17">
        <f>CT141*VLOOKUP('Données projet'!$B$13,Paramètres!$A$1:$I$89,3,0)*VLOOKUP('Données projet'!$B$13,Paramètres!$A$1:$I$89,5,0)</f>
        <v>-5.3205440053716299E-14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346.16623654404509</v>
      </c>
      <c r="CZ141" s="59">
        <f t="shared" si="150"/>
        <v>281.80933156559087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0.36922153386021261</v>
      </c>
      <c r="DG141" s="21">
        <f>EXP(-LN(2)/25)*DG140+(1-EXP(-LN(2)/25))/(LN(2)/25)*Calculateur!DB141*Calculateur!DD141*VLOOKUP('Données projet'!$B$13,Paramètres!$A$1:$I$89,3,0)*0.475*44/12</f>
        <v>0.39329849177893716</v>
      </c>
      <c r="DH141" s="21">
        <f>EXP(-LN(2)/2)*DH140+(1-EXP(-LN(2)/2))/(LN(2)/2)*DB141*DE141*VLOOKUP('Données projet'!$B$13,Paramètres!$A$1:$I$89,3,0)*0.475*44/12</f>
        <v>5.457954355301271E-16</v>
      </c>
      <c r="DI141" s="22">
        <f t="shared" si="123"/>
        <v>0.76252002563915033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6.2527760746888816E-13</v>
      </c>
      <c r="DP141" s="17">
        <f>DO141*VLOOKUP('Données projet'!$B$14,Paramètres!$A$1:$I$89,3,0)*VLOOKUP('Données projet'!$B$14,Paramètres!$A$1:$I$89,5,0)</f>
        <v>3.9017322706058616E-13</v>
      </c>
      <c r="DQ141" s="13">
        <f t="shared" si="151"/>
        <v>5.0025007393608908E-12</v>
      </c>
      <c r="DR141" s="20">
        <f t="shared" si="124"/>
        <v>9.3922404915174053E-12</v>
      </c>
      <c r="DS141" s="59">
        <f t="shared" si="125"/>
        <v>293.33333333334269</v>
      </c>
      <c r="DT141" s="59">
        <f ca="1">AVERAGE(OFFSET($DS$3,0,0,'Données projet'!$E$14+1,1))-AVERAGE(OFFSET($H$3,0,0,'Données projet'!$E$14+1,1))</f>
        <v>319.97171762304686</v>
      </c>
      <c r="DU141" s="59">
        <f t="shared" si="152"/>
        <v>337.89345858359621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0.81902974435222387</v>
      </c>
      <c r="EB141" s="21">
        <f>EXP(-LN(2)/25)*EB140+(1-EXP(-LN(2)/25))/(LN(2)/25)*Calculateur!DW141*Calculateur!DY141*VLOOKUP('Données projet'!$B$14,Paramètres!$A$1:$I$89,3,0)*0.475*44/12</f>
        <v>1.04078545522918</v>
      </c>
      <c r="EC141" s="21">
        <f>EXP(-LN(2)/2)*EC140+(1-EXP(-LN(2)/2))/(LN(2)/2)*DW141*DZ141*VLOOKUP('Données projet'!$B$14,Paramètres!$A$1:$I$89,3,0)*0.475*44/12</f>
        <v>1.1208154129091543E-15</v>
      </c>
      <c r="ED141" s="22">
        <f t="shared" si="126"/>
        <v>1.859815199581405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>
        <f>EJ141*VLOOKUP('Données projet'!$B$15,Paramètres!$A$1:$I$89,3,0)*VLOOKUP('Données projet'!$B$15,Paramètres!$A$1:$I$89,5,0)</f>
        <v>0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258.46015871559956</v>
      </c>
      <c r="EP141" s="59">
        <f t="shared" si="154"/>
        <v>280.26155987300996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0.73174095005906503</v>
      </c>
      <c r="EW141" s="21">
        <f>EXP(-LN(2)/25)*EW140+(1-EXP(-LN(2)/25))/(LN(2)/25)*Calculateur!ER141*Calculateur!ET141*VLOOKUP('Données projet'!$B$15,Paramètres!$A$1:$I$89,3,0)*0.475*44/12</f>
        <v>0.61736864600914299</v>
      </c>
      <c r="EX141" s="21">
        <f>EXP(-LN(2)/2)*EX140+(1-EXP(-LN(2)/2))/(LN(2)/2)*ER141*EU141*VLOOKUP('Données projet'!$B$15,Paramètres!$A$1:$I$89,3,0)*0.475*44/12</f>
        <v>3.0229665293613877E-16</v>
      </c>
      <c r="EY141" s="22">
        <f t="shared" si="129"/>
        <v>1.3491095960682082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243.00000000000017</v>
      </c>
      <c r="O142" s="13">
        <f>N142*VLOOKUP('Données projet'!$B$9,Paramètres!$A$1:$I$89,3,0)*VLOOKUP('Données projet'!$B$9,Paramètres!$A$1:$I$89,5,0)</f>
        <v>212.28480000000016</v>
      </c>
      <c r="P142" s="13">
        <f t="shared" si="141"/>
        <v>52.434557099704236</v>
      </c>
      <c r="Q142" s="20">
        <f t="shared" si="108"/>
        <v>461.0528802819851</v>
      </c>
      <c r="R142" s="59">
        <f t="shared" si="109"/>
        <v>754.38621361531841</v>
      </c>
      <c r="S142" s="59">
        <f ca="1">AVERAGE(OFFSET($R$3,0,0,'Données projet'!$E$9+1,1))-AVERAGE(OFFSET($H$3,0,0,'Données projet'!$E$9+1,1))</f>
        <v>368.41876532159154</v>
      </c>
      <c r="T142" s="59">
        <f t="shared" si="142"/>
        <v>369.39570124551125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0.71116502533172987</v>
      </c>
      <c r="AA142" s="21">
        <f>EXP(-LN(2)/25)*AA141+(1-EXP(-LN(2)/25))/(LN(2)/25)*Calculateur!V142*Calculateur!X142*VLOOKUP('Données projet'!$B$9,Paramètres!$A$1:$I$89,3,0)*0.475*44/12</f>
        <v>0.78992682435626549</v>
      </c>
      <c r="AB142" s="21">
        <f>EXP(-LN(2)/2)*AB141+(1-EXP(-LN(2)/2))/(LN(2)/2)*V142*Y142*VLOOKUP('Données projet'!$B$9,Paramètres!$A$1:$I$89,3,0)*0.475*44/12</f>
        <v>6.9753872223247086E-16</v>
      </c>
      <c r="AC142" s="22">
        <f t="shared" si="111"/>
        <v>1.5010918496879959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-5.1159076974727213E-13</v>
      </c>
      <c r="AJ142" s="13">
        <f>AI142*VLOOKUP('Données projet'!$B$10,Paramètres!$A$1:$I$89,3,0)*VLOOKUP('Données projet'!$B$10,Paramètres!$A$1:$I$89,5,0)</f>
        <v>-4.4692569645121704E-13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402.82278346470082</v>
      </c>
      <c r="AO142" s="59">
        <f t="shared" si="144"/>
        <v>440.17787299198977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0.41375211833557374</v>
      </c>
      <c r="AV142" s="21">
        <f>EXP(-LN(2)/25)*AV141+(1-EXP(-LN(2)/25))/(LN(2)/25)*Calculateur!AQ142*Calculateur!AS142*VLOOKUP('Données projet'!$B$10,Paramètres!$A$1:$I$89,3,0)*0.475*44/12</f>
        <v>1.0972258178732199</v>
      </c>
      <c r="AW142" s="21">
        <f>EXP(-LN(2)/2)*AW141+(1-EXP(-LN(2)/2))/(LN(2)/2)*AQ142*AT142*VLOOKUP('Données projet'!$B$10,Paramètres!$A$1:$I$89,3,0)*0.475*44/12</f>
        <v>1.036096253961045E-15</v>
      </c>
      <c r="AX142" s="21">
        <f t="shared" si="114"/>
        <v>1.5109779362087947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-3.4106051316484809E-13</v>
      </c>
      <c r="BE142" s="13">
        <f>BD142*VLOOKUP('Données projet'!$B$11,Paramètres!$A$1:$I$89,3,0)*VLOOKUP('Données projet'!$B$11,Paramètres!$A$1:$I$89,5,0)</f>
        <v>-3.0859155231155454E-13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469.68830256438338</v>
      </c>
      <c r="BJ142" s="59">
        <f t="shared" si="146"/>
        <v>332.61387922152159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0.27813956418569274</v>
      </c>
      <c r="BQ142" s="21">
        <f>EXP(-LN(2)/25)*BQ141+(1-EXP(-LN(2)/25))/(LN(2)/25)*Calculateur!BL142*Calculateur!BN142*VLOOKUP('Données projet'!$B$11,Paramètres!$A$1:$I$89,3,0)*0.475*44/12</f>
        <v>0.54944827852618383</v>
      </c>
      <c r="BR142" s="21">
        <f>EXP(-LN(2)/2)*BR141+(1-EXP(-LN(2)/2))/(LN(2)/2)*BL142*BO142*VLOOKUP('Données projet'!$B$11,Paramètres!$A$1:$I$89,3,0)*0.475*44/12</f>
        <v>8.4601828821241466E-16</v>
      </c>
      <c r="BS142" s="22">
        <f t="shared" si="117"/>
        <v>0.82758784271187746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3.7</v>
      </c>
      <c r="BY142" s="12">
        <f>IF('Données projet'!$A$114&gt;35,BY141+BX142-CG141,IF(A142&lt;'Données projet'!$A$114,$BV$205^A142,IF(A142='Données projet'!$A$114,'Données projet'!$B$114,BY141+BX142-CG141)))</f>
        <v>453.30000000000013</v>
      </c>
      <c r="BZ142" s="13">
        <f>BY142*VLOOKUP('Données projet'!$B$12,Paramètres!$A$1:$I$89,3,0)*VLOOKUP('Données projet'!$B$12,Paramètres!$A$1:$I$89,5,0)</f>
        <v>431.36028000000016</v>
      </c>
      <c r="CA142" s="13">
        <f t="shared" si="147"/>
        <v>98.106283418083777</v>
      </c>
      <c r="CB142" s="20">
        <f t="shared" si="118"/>
        <v>922.15426461982952</v>
      </c>
      <c r="CC142" s="59">
        <f t="shared" si="119"/>
        <v>1215.4875979531628</v>
      </c>
      <c r="CD142" s="59">
        <f ca="1">AVERAGE(OFFSET($CC$3,0,0,'Données projet'!$E$12+1,1))-AVERAGE(OFFSET($H$3,0,0,'Données projet'!$E$12+1,1))</f>
        <v>609.40025883662452</v>
      </c>
      <c r="CE142" s="59">
        <f t="shared" si="148"/>
        <v>294.48909834404577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0.19198792425954422</v>
      </c>
      <c r="CM142" s="21">
        <f>EXP(-LN(2)/2)*CM141+(1-EXP(-LN(2)/2))/(LN(2)/2)*CG142*CJ142*VLOOKUP('Données projet'!$B$12,Paramètres!$A$1:$I$89,3,0)*0.475*44/12</f>
        <v>3.0837702606306036E-16</v>
      </c>
      <c r="CN142" s="22">
        <f t="shared" si="120"/>
        <v>0.19198792425954453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-1.1368683772161603E-13</v>
      </c>
      <c r="CU142" s="17">
        <f>CT142*VLOOKUP('Données projet'!$B$13,Paramètres!$A$1:$I$89,3,0)*VLOOKUP('Données projet'!$B$13,Paramètres!$A$1:$I$89,5,0)</f>
        <v>-5.3205440053716299E-14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346.16623654404509</v>
      </c>
      <c r="CZ142" s="59">
        <f t="shared" si="150"/>
        <v>281.80933156559087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0.36198132478411255</v>
      </c>
      <c r="DG142" s="21">
        <f>EXP(-LN(2)/25)*DG141+(1-EXP(-LN(2)/25))/(LN(2)/25)*Calculateur!DB142*Calculateur!DD142*VLOOKUP('Données projet'!$B$13,Paramètres!$A$1:$I$89,3,0)*0.475*44/12</f>
        <v>0.38254372383857332</v>
      </c>
      <c r="DH142" s="21">
        <f>EXP(-LN(2)/2)*DH141+(1-EXP(-LN(2)/2))/(LN(2)/2)*DB142*DE142*VLOOKUP('Données projet'!$B$13,Paramètres!$A$1:$I$89,3,0)*0.475*44/12</f>
        <v>3.85935653604018E-16</v>
      </c>
      <c r="DI142" s="22">
        <f t="shared" si="123"/>
        <v>0.7445250486226862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6.2527760746888816E-13</v>
      </c>
      <c r="DP142" s="17">
        <f>DO142*VLOOKUP('Données projet'!$B$14,Paramètres!$A$1:$I$89,3,0)*VLOOKUP('Données projet'!$B$14,Paramètres!$A$1:$I$89,5,0)</f>
        <v>3.9017322706058616E-13</v>
      </c>
      <c r="DQ142" s="13">
        <f t="shared" si="151"/>
        <v>5.0025007393608908E-12</v>
      </c>
      <c r="DR142" s="20">
        <f t="shared" si="124"/>
        <v>9.3922404915174053E-12</v>
      </c>
      <c r="DS142" s="59">
        <f t="shared" si="125"/>
        <v>293.33333333334269</v>
      </c>
      <c r="DT142" s="59">
        <f ca="1">AVERAGE(OFFSET($DS$3,0,0,'Données projet'!$E$14+1,1))-AVERAGE(OFFSET($H$3,0,0,'Données projet'!$E$14+1,1))</f>
        <v>319.97171762304686</v>
      </c>
      <c r="DU142" s="59">
        <f t="shared" si="152"/>
        <v>337.89345858359621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0.80296907062429346</v>
      </c>
      <c r="EB142" s="21">
        <f>EXP(-LN(2)/25)*EB141+(1-EXP(-LN(2)/25))/(LN(2)/25)*Calculateur!DW142*Calculateur!DY142*VLOOKUP('Données projet'!$B$14,Paramètres!$A$1:$I$89,3,0)*0.475*44/12</f>
        <v>1.0123251222234098</v>
      </c>
      <c r="EC142" s="21">
        <f>EXP(-LN(2)/2)*EC141+(1-EXP(-LN(2)/2))/(LN(2)/2)*DW142*DZ142*VLOOKUP('Données projet'!$B$14,Paramètres!$A$1:$I$89,3,0)*0.475*44/12</f>
        <v>7.9253617892646331E-16</v>
      </c>
      <c r="ED142" s="22">
        <f t="shared" si="126"/>
        <v>1.8152941928477042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>
        <f>EJ142*VLOOKUP('Données projet'!$B$15,Paramètres!$A$1:$I$89,3,0)*VLOOKUP('Données projet'!$B$15,Paramètres!$A$1:$I$89,5,0)</f>
        <v>0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258.46015871559956</v>
      </c>
      <c r="EP142" s="59">
        <f t="shared" si="154"/>
        <v>280.26155987300996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0.71739195634631603</v>
      </c>
      <c r="EW142" s="21">
        <f>EXP(-LN(2)/25)*EW141+(1-EXP(-LN(2)/25))/(LN(2)/25)*Calculateur!ER142*Calculateur!ET142*VLOOKUP('Données projet'!$B$15,Paramètres!$A$1:$I$89,3,0)*0.475*44/12</f>
        <v>0.60048666791801686</v>
      </c>
      <c r="EX142" s="21">
        <f>EXP(-LN(2)/2)*EX141+(1-EXP(-LN(2)/2))/(LN(2)/2)*ER142*EU142*VLOOKUP('Données projet'!$B$15,Paramètres!$A$1:$I$89,3,0)*0.475*44/12</f>
        <v>2.1375601322113998E-16</v>
      </c>
      <c r="EY142" s="22">
        <f t="shared" si="129"/>
        <v>1.3178786242643332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243.00000000000017</v>
      </c>
      <c r="O143" s="13">
        <f>N143*VLOOKUP('Données projet'!$B$9,Paramètres!$A$1:$I$89,3,0)*VLOOKUP('Données projet'!$B$9,Paramètres!$A$1:$I$89,5,0)</f>
        <v>212.28480000000016</v>
      </c>
      <c r="P143" s="13">
        <f t="shared" si="141"/>
        <v>52.434557099704236</v>
      </c>
      <c r="Q143" s="20">
        <f t="shared" si="108"/>
        <v>461.0528802819851</v>
      </c>
      <c r="R143" s="59">
        <f t="shared" si="109"/>
        <v>754.38621361531841</v>
      </c>
      <c r="S143" s="59">
        <f ca="1">AVERAGE(OFFSET($R$3,0,0,'Données projet'!$E$9+1,1))-AVERAGE(OFFSET($H$3,0,0,'Données projet'!$E$9+1,1))</f>
        <v>368.41876532159154</v>
      </c>
      <c r="T143" s="59">
        <f t="shared" si="142"/>
        <v>369.39570124551125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0.69721951295280904</v>
      </c>
      <c r="AA143" s="21">
        <f>EXP(-LN(2)/25)*AA142+(1-EXP(-LN(2)/25))/(LN(2)/25)*Calculateur!V143*Calculateur!X143*VLOOKUP('Données projet'!$B$9,Paramètres!$A$1:$I$89,3,0)*0.475*44/12</f>
        <v>0.76832623380379717</v>
      </c>
      <c r="AB143" s="21">
        <f>EXP(-LN(2)/2)*AB142+(1-EXP(-LN(2)/2))/(LN(2)/2)*V143*Y143*VLOOKUP('Données projet'!$B$9,Paramètres!$A$1:$I$89,3,0)*0.475*44/12</f>
        <v>4.9323436063077972E-16</v>
      </c>
      <c r="AC143" s="22">
        <f t="shared" si="111"/>
        <v>1.4655457467566066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-5.1159076974727213E-13</v>
      </c>
      <c r="AJ143" s="13">
        <f>AI143*VLOOKUP('Données projet'!$B$10,Paramètres!$A$1:$I$89,3,0)*VLOOKUP('Données projet'!$B$10,Paramètres!$A$1:$I$89,5,0)</f>
        <v>-4.4692569645121704E-13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402.82278346470082</v>
      </c>
      <c r="AO143" s="59">
        <f t="shared" si="144"/>
        <v>440.17787299198977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0.40563869165888644</v>
      </c>
      <c r="AV143" s="21">
        <f>EXP(-LN(2)/25)*AV142+(1-EXP(-LN(2)/25))/(LN(2)/25)*Calculateur!AQ143*Calculateur!AS143*VLOOKUP('Données projet'!$B$10,Paramètres!$A$1:$I$89,3,0)*0.475*44/12</f>
        <v>1.0672221201828787</v>
      </c>
      <c r="AW143" s="21">
        <f>EXP(-LN(2)/2)*AW142+(1-EXP(-LN(2)/2))/(LN(2)/2)*AQ143*AT143*VLOOKUP('Données projet'!$B$10,Paramètres!$A$1:$I$89,3,0)*0.475*44/12</f>
        <v>7.3263068713783426E-16</v>
      </c>
      <c r="AX143" s="21">
        <f t="shared" si="114"/>
        <v>1.4728608118417659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-3.4106051316484809E-13</v>
      </c>
      <c r="BE143" s="13">
        <f>BD143*VLOOKUP('Données projet'!$B$11,Paramètres!$A$1:$I$89,3,0)*VLOOKUP('Données projet'!$B$11,Paramètres!$A$1:$I$89,5,0)</f>
        <v>-3.0859155231155454E-13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469.68830256438338</v>
      </c>
      <c r="BJ143" s="59">
        <f t="shared" si="146"/>
        <v>332.61387922152159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0.27268541698039406</v>
      </c>
      <c r="BQ143" s="21">
        <f>EXP(-LN(2)/25)*BQ142+(1-EXP(-LN(2)/25))/(LN(2)/25)*Calculateur!BL143*Calculateur!BN143*VLOOKUP('Données projet'!$B$11,Paramètres!$A$1:$I$89,3,0)*0.475*44/12</f>
        <v>0.53442358645565613</v>
      </c>
      <c r="BR143" s="21">
        <f>EXP(-LN(2)/2)*BR142+(1-EXP(-LN(2)/2))/(LN(2)/2)*BL143*BO143*VLOOKUP('Données projet'!$B$11,Paramètres!$A$1:$I$89,3,0)*0.475*44/12</f>
        <v>5.9822526860283339E-16</v>
      </c>
      <c r="BS143" s="22">
        <f t="shared" si="117"/>
        <v>0.80710900343605074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>
        <f>VLOOKUP(A143,'Données projet'!$A$113:$I$133,2,0)</f>
        <v>457</v>
      </c>
      <c r="BW143" s="12">
        <f>VLOOKUP(A143,'Données projet'!$A$113:$I$133,9,0)</f>
        <v>3.7</v>
      </c>
      <c r="BX143" s="12">
        <f t="array" ref="BX143">INDEX(BW:BW,MIN(IF(ISNUMBER(BW143:BW339),ROW(BW143:BW339),"")))</f>
        <v>3.7</v>
      </c>
      <c r="BY143" s="12">
        <f>IF('Données projet'!$A$114&gt;35,BY142+BX143-CG142,IF(A143&lt;'Données projet'!$A$114,$BV$205^A143,IF(A143='Données projet'!$A$114,'Données projet'!$B$114,BY142+BX143-CG142)))</f>
        <v>457.00000000000011</v>
      </c>
      <c r="BZ143" s="13">
        <f>BY143*VLOOKUP('Données projet'!$B$12,Paramètres!$A$1:$I$89,3,0)*VLOOKUP('Données projet'!$B$12,Paramètres!$A$1:$I$89,5,0)</f>
        <v>434.88120000000009</v>
      </c>
      <c r="CA143" s="13">
        <f t="shared" si="147"/>
        <v>98.813516878296696</v>
      </c>
      <c r="CB143" s="20">
        <f t="shared" si="118"/>
        <v>929.51829856303345</v>
      </c>
      <c r="CC143" s="59">
        <f t="shared" si="119"/>
        <v>1222.8516318963668</v>
      </c>
      <c r="CD143" s="59">
        <f ca="1">AVERAGE(OFFSET($CC$3,0,0,'Données projet'!$E$12+1,1))-AVERAGE(OFFSET($H$3,0,0,'Données projet'!$E$12+1,1))</f>
        <v>609.40025883662452</v>
      </c>
      <c r="CE143" s="59">
        <f t="shared" si="148"/>
        <v>294.48909834404577</v>
      </c>
      <c r="CF143" s="15">
        <f>IF(ISNA(VLOOKUP(A143,'Données projet'!$A$113:$I$133,3,0)),0,VLOOKUP(A143,'Données projet'!$A$113:$I$133,3,0))</f>
        <v>12</v>
      </c>
      <c r="CG143" s="15">
        <f>IF(ISNA(VLOOKUP(A143,'Données projet'!$A$113:$I$133,4,0)),0,VLOOKUP(A143,'Données projet'!$A$113:$I$133,4,0))</f>
        <v>30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0.18673800437446084</v>
      </c>
      <c r="CM143" s="21">
        <f>EXP(-LN(2)/2)*CM142+(1-EXP(-LN(2)/2))/(LN(2)/2)*CG143*CJ143*VLOOKUP('Données projet'!$B$12,Paramètres!$A$1:$I$89,3,0)*0.475*44/12</f>
        <v>2.180554862913307E-16</v>
      </c>
      <c r="CN143" s="22">
        <f t="shared" si="120"/>
        <v>0.18673800437446106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-1.1368683772161603E-13</v>
      </c>
      <c r="CU143" s="17">
        <f>CT143*VLOOKUP('Données projet'!$B$13,Paramètres!$A$1:$I$89,3,0)*VLOOKUP('Données projet'!$B$13,Paramètres!$A$1:$I$89,5,0)</f>
        <v>-5.3205440053716299E-14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346.16623654404509</v>
      </c>
      <c r="CZ143" s="59">
        <f t="shared" si="150"/>
        <v>281.80933156559087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0.3548830917919033</v>
      </c>
      <c r="DG143" s="21">
        <f>EXP(-LN(2)/25)*DG142+(1-EXP(-LN(2)/25))/(LN(2)/25)*Calculateur!DB143*Calculateur!DD143*VLOOKUP('Données projet'!$B$13,Paramètres!$A$1:$I$89,3,0)*0.475*44/12</f>
        <v>0.3720830455931074</v>
      </c>
      <c r="DH143" s="21">
        <f>EXP(-LN(2)/2)*DH142+(1-EXP(-LN(2)/2))/(LN(2)/2)*DB143*DE143*VLOOKUP('Données projet'!$B$13,Paramètres!$A$1:$I$89,3,0)*0.475*44/12</f>
        <v>2.7289771776506355E-16</v>
      </c>
      <c r="DI143" s="22">
        <f t="shared" si="123"/>
        <v>0.72696613738501092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6.2527760746888816E-13</v>
      </c>
      <c r="DP143" s="17">
        <f>DO143*VLOOKUP('Données projet'!$B$14,Paramètres!$A$1:$I$89,3,0)*VLOOKUP('Données projet'!$B$14,Paramètres!$A$1:$I$89,5,0)</f>
        <v>3.9017322706058616E-13</v>
      </c>
      <c r="DQ143" s="13">
        <f t="shared" si="151"/>
        <v>5.0025007393608908E-12</v>
      </c>
      <c r="DR143" s="20">
        <f t="shared" si="124"/>
        <v>9.3922404915174053E-12</v>
      </c>
      <c r="DS143" s="59">
        <f t="shared" si="125"/>
        <v>293.33333333334269</v>
      </c>
      <c r="DT143" s="59">
        <f ca="1">AVERAGE(OFFSET($DS$3,0,0,'Données projet'!$E$14+1,1))-AVERAGE(OFFSET($H$3,0,0,'Données projet'!$E$14+1,1))</f>
        <v>319.97171762304686</v>
      </c>
      <c r="DU143" s="59">
        <f t="shared" si="152"/>
        <v>337.89345858359621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0.78722333691212409</v>
      </c>
      <c r="EB143" s="21">
        <f>EXP(-LN(2)/25)*EB142+(1-EXP(-LN(2)/25))/(LN(2)/25)*Calculateur!DW143*Calculateur!DY143*VLOOKUP('Données projet'!$B$14,Paramètres!$A$1:$I$89,3,0)*0.475*44/12</f>
        <v>0.98464303852034618</v>
      </c>
      <c r="EC143" s="21">
        <f>EXP(-LN(2)/2)*EC142+(1-EXP(-LN(2)/2))/(LN(2)/2)*DW143*DZ143*VLOOKUP('Données projet'!$B$14,Paramètres!$A$1:$I$89,3,0)*0.475*44/12</f>
        <v>5.6040770645457716E-16</v>
      </c>
      <c r="ED143" s="22">
        <f t="shared" si="126"/>
        <v>1.7718663754324708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>
        <f>EJ143*VLOOKUP('Données projet'!$B$15,Paramètres!$A$1:$I$89,3,0)*VLOOKUP('Données projet'!$B$15,Paramètres!$A$1:$I$89,5,0)</f>
        <v>0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258.46015871559956</v>
      </c>
      <c r="EP143" s="59">
        <f t="shared" si="154"/>
        <v>280.26155987300996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0.70332433764825208</v>
      </c>
      <c r="EW143" s="21">
        <f>EXP(-LN(2)/25)*EW142+(1-EXP(-LN(2)/25))/(LN(2)/25)*Calculateur!ER143*Calculateur!ET143*VLOOKUP('Données projet'!$B$15,Paramètres!$A$1:$I$89,3,0)*0.475*44/12</f>
        <v>0.58406632840557726</v>
      </c>
      <c r="EX143" s="21">
        <f>EXP(-LN(2)/2)*EX142+(1-EXP(-LN(2)/2))/(LN(2)/2)*ER143*EU143*VLOOKUP('Données projet'!$B$15,Paramètres!$A$1:$I$89,3,0)*0.475*44/12</f>
        <v>1.5114832646806939E-16</v>
      </c>
      <c r="EY143" s="22">
        <f t="shared" si="129"/>
        <v>1.2873906660538295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243.00000000000017</v>
      </c>
      <c r="O144" s="13">
        <f>N144*VLOOKUP('Données projet'!$B$9,Paramètres!$A$1:$I$89,3,0)*VLOOKUP('Données projet'!$B$9,Paramètres!$A$1:$I$89,5,0)</f>
        <v>212.28480000000016</v>
      </c>
      <c r="P144" s="13">
        <f t="shared" si="141"/>
        <v>52.434557099704236</v>
      </c>
      <c r="Q144" s="20">
        <f t="shared" si="108"/>
        <v>461.0528802819851</v>
      </c>
      <c r="R144" s="59">
        <f t="shared" si="109"/>
        <v>754.38621361531841</v>
      </c>
      <c r="S144" s="59">
        <f ca="1">AVERAGE(OFFSET($R$3,0,0,'Données projet'!$E$9+1,1))-AVERAGE(OFFSET($H$3,0,0,'Données projet'!$E$9+1,1))</f>
        <v>368.41876532159154</v>
      </c>
      <c r="T144" s="59">
        <f t="shared" si="142"/>
        <v>369.39570124551125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0.68354746356571627</v>
      </c>
      <c r="AA144" s="21">
        <f>EXP(-LN(2)/25)*AA143+(1-EXP(-LN(2)/25))/(LN(2)/25)*Calculateur!V144*Calculateur!X144*VLOOKUP('Données projet'!$B$9,Paramètres!$A$1:$I$89,3,0)*0.475*44/12</f>
        <v>0.74731631253591169</v>
      </c>
      <c r="AB144" s="21">
        <f>EXP(-LN(2)/2)*AB143+(1-EXP(-LN(2)/2))/(LN(2)/2)*V144*Y144*VLOOKUP('Données projet'!$B$9,Paramètres!$A$1:$I$89,3,0)*0.475*44/12</f>
        <v>3.4876936111623543E-16</v>
      </c>
      <c r="AC144" s="22">
        <f t="shared" si="111"/>
        <v>1.4308637761016283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-5.1159076974727213E-13</v>
      </c>
      <c r="AJ144" s="13">
        <f>AI144*VLOOKUP('Données projet'!$B$10,Paramètres!$A$1:$I$89,3,0)*VLOOKUP('Données projet'!$B$10,Paramètres!$A$1:$I$89,5,0)</f>
        <v>-4.4692569645121704E-13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402.82278346470082</v>
      </c>
      <c r="AO144" s="59">
        <f t="shared" si="144"/>
        <v>440.17787299198977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0.39768436433062737</v>
      </c>
      <c r="AV144" s="21">
        <f>EXP(-LN(2)/25)*AV143+(1-EXP(-LN(2)/25))/(LN(2)/25)*Calculateur!AQ144*Calculateur!AS144*VLOOKUP('Données projet'!$B$10,Paramètres!$A$1:$I$89,3,0)*0.475*44/12</f>
        <v>1.0380388751837057</v>
      </c>
      <c r="AW144" s="21">
        <f>EXP(-LN(2)/2)*AW143+(1-EXP(-LN(2)/2))/(LN(2)/2)*AQ144*AT144*VLOOKUP('Données projet'!$B$10,Paramètres!$A$1:$I$89,3,0)*0.475*44/12</f>
        <v>5.1804812698052252E-16</v>
      </c>
      <c r="AX144" s="21">
        <f t="shared" si="114"/>
        <v>1.4357232395143336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-3.4106051316484809E-13</v>
      </c>
      <c r="BE144" s="13">
        <f>BD144*VLOOKUP('Données projet'!$B$11,Paramètres!$A$1:$I$89,3,0)*VLOOKUP('Données projet'!$B$11,Paramètres!$A$1:$I$89,5,0)</f>
        <v>-3.0859155231155454E-13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469.68830256438338</v>
      </c>
      <c r="BJ144" s="59">
        <f t="shared" si="146"/>
        <v>332.61387922152159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0.26733822227508997</v>
      </c>
      <c r="BQ144" s="21">
        <f>EXP(-LN(2)/25)*BQ143+(1-EXP(-LN(2)/25))/(LN(2)/25)*Calculateur!BL144*Calculateur!BN144*VLOOKUP('Données projet'!$B$11,Paramètres!$A$1:$I$89,3,0)*0.475*44/12</f>
        <v>0.5198097453799112</v>
      </c>
      <c r="BR144" s="21">
        <f>EXP(-LN(2)/2)*BR143+(1-EXP(-LN(2)/2))/(LN(2)/2)*BL144*BO144*VLOOKUP('Données projet'!$B$11,Paramètres!$A$1:$I$89,3,0)*0.475*44/12</f>
        <v>4.2300914410620733E-16</v>
      </c>
      <c r="BS144" s="22">
        <f t="shared" si="117"/>
        <v>0.78714796765500161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4</v>
      </c>
      <c r="BY144" s="12">
        <f>IF('Données projet'!$A$114&gt;35,BY143+BX144-CG143,IF(A144&lt;'Données projet'!$A$114,$BV$205^A144,IF(A144='Données projet'!$A$114,'Données projet'!$B$114,BY143+BX144-CG143)))</f>
        <v>431.00000000000011</v>
      </c>
      <c r="BZ144" s="13">
        <f>BY144*VLOOKUP('Données projet'!$B$12,Paramètres!$A$1:$I$89,3,0)*VLOOKUP('Données projet'!$B$12,Paramètres!$A$1:$I$89,5,0)</f>
        <v>410.13960000000014</v>
      </c>
      <c r="CA144" s="13">
        <f t="shared" si="147"/>
        <v>93.829309021984102</v>
      </c>
      <c r="CB144" s="20">
        <f t="shared" si="118"/>
        <v>877.74584987995593</v>
      </c>
      <c r="CC144" s="59">
        <f t="shared" si="119"/>
        <v>1171.0791832132893</v>
      </c>
      <c r="CD144" s="59">
        <f ca="1">AVERAGE(OFFSET($CC$3,0,0,'Données projet'!$E$12+1,1))-AVERAGE(OFFSET($H$3,0,0,'Données projet'!$E$12+1,1))</f>
        <v>609.40025883662452</v>
      </c>
      <c r="CE144" s="59">
        <f t="shared" si="148"/>
        <v>294.48909834404577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0.18163164382471636</v>
      </c>
      <c r="CM144" s="21">
        <f>EXP(-LN(2)/2)*CM143+(1-EXP(-LN(2)/2))/(LN(2)/2)*CG144*CJ144*VLOOKUP('Données projet'!$B$12,Paramètres!$A$1:$I$89,3,0)*0.475*44/12</f>
        <v>1.5418851303153021E-16</v>
      </c>
      <c r="CN144" s="22">
        <f t="shared" si="120"/>
        <v>0.18163164382471653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-1.1368683772161603E-13</v>
      </c>
      <c r="CU144" s="17">
        <f>CT144*VLOOKUP('Données projet'!$B$13,Paramètres!$A$1:$I$89,3,0)*VLOOKUP('Données projet'!$B$13,Paramètres!$A$1:$I$89,5,0)</f>
        <v>-5.3205440053716299E-14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346.16623654404509</v>
      </c>
      <c r="CZ144" s="59">
        <f t="shared" si="150"/>
        <v>281.80933156559087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0.34792405081917671</v>
      </c>
      <c r="DG144" s="21">
        <f>EXP(-LN(2)/25)*DG143+(1-EXP(-LN(2)/25))/(LN(2)/25)*Calculateur!DB144*Calculateur!DD144*VLOOKUP('Données projet'!$B$13,Paramètres!$A$1:$I$89,3,0)*0.475*44/12</f>
        <v>0.36190841514436689</v>
      </c>
      <c r="DH144" s="21">
        <f>EXP(-LN(2)/2)*DH143+(1-EXP(-LN(2)/2))/(LN(2)/2)*DB144*DE144*VLOOKUP('Données projet'!$B$13,Paramètres!$A$1:$I$89,3,0)*0.475*44/12</f>
        <v>1.92967826802009E-16</v>
      </c>
      <c r="DI144" s="22">
        <f t="shared" si="123"/>
        <v>0.70983246596354377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6.2527760746888816E-13</v>
      </c>
      <c r="DP144" s="17">
        <f>DO144*VLOOKUP('Données projet'!$B$14,Paramètres!$A$1:$I$89,3,0)*VLOOKUP('Données projet'!$B$14,Paramètres!$A$1:$I$89,5,0)</f>
        <v>3.9017322706058616E-13</v>
      </c>
      <c r="DQ144" s="13">
        <f t="shared" si="151"/>
        <v>5.0025007393608908E-12</v>
      </c>
      <c r="DR144" s="20">
        <f t="shared" si="124"/>
        <v>9.3922404915174053E-12</v>
      </c>
      <c r="DS144" s="59">
        <f t="shared" si="125"/>
        <v>293.33333333334269</v>
      </c>
      <c r="DT144" s="59">
        <f ca="1">AVERAGE(OFFSET($DS$3,0,0,'Données projet'!$E$14+1,1))-AVERAGE(OFFSET($H$3,0,0,'Données projet'!$E$14+1,1))</f>
        <v>319.97171762304686</v>
      </c>
      <c r="DU144" s="59">
        <f t="shared" si="152"/>
        <v>337.89345858359621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0.77178636743410112</v>
      </c>
      <c r="EB144" s="21">
        <f>EXP(-LN(2)/25)*EB143+(1-EXP(-LN(2)/25))/(LN(2)/25)*Calculateur!DW144*Calculateur!DY144*VLOOKUP('Données projet'!$B$14,Paramètres!$A$1:$I$89,3,0)*0.475*44/12</f>
        <v>0.9577179228518804</v>
      </c>
      <c r="EC144" s="21">
        <f>EXP(-LN(2)/2)*EC143+(1-EXP(-LN(2)/2))/(LN(2)/2)*DW144*DZ144*VLOOKUP('Données projet'!$B$14,Paramètres!$A$1:$I$89,3,0)*0.475*44/12</f>
        <v>3.9626808946323165E-16</v>
      </c>
      <c r="ED144" s="22">
        <f t="shared" si="126"/>
        <v>1.7295042902859818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>
        <f>EJ144*VLOOKUP('Données projet'!$B$15,Paramètres!$A$1:$I$89,3,0)*VLOOKUP('Données projet'!$B$15,Paramètres!$A$1:$I$89,5,0)</f>
        <v>0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258.46015871559956</v>
      </c>
      <c r="EP144" s="59">
        <f t="shared" si="154"/>
        <v>280.26155987300996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0.68953257637245702</v>
      </c>
      <c r="EW144" s="21">
        <f>EXP(-LN(2)/25)*EW143+(1-EXP(-LN(2)/25))/(LN(2)/25)*Calculateur!ER144*Calculateur!ET144*VLOOKUP('Données projet'!$B$15,Paramètres!$A$1:$I$89,3,0)*0.475*44/12</f>
        <v>0.56809500394061341</v>
      </c>
      <c r="EX144" s="21">
        <f>EXP(-LN(2)/2)*EX143+(1-EXP(-LN(2)/2))/(LN(2)/2)*ER144*EU144*VLOOKUP('Données projet'!$B$15,Paramètres!$A$1:$I$89,3,0)*0.475*44/12</f>
        <v>1.0687800661056999E-16</v>
      </c>
      <c r="EY144" s="22">
        <f t="shared" si="129"/>
        <v>1.2576275803130703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243.00000000000017</v>
      </c>
      <c r="O145" s="13">
        <f>N145*VLOOKUP('Données projet'!$B$9,Paramètres!$A$1:$I$89,3,0)*VLOOKUP('Données projet'!$B$9,Paramètres!$A$1:$I$89,5,0)</f>
        <v>212.28480000000016</v>
      </c>
      <c r="P145" s="13">
        <f t="shared" si="141"/>
        <v>52.434557099704236</v>
      </c>
      <c r="Q145" s="20">
        <f t="shared" si="108"/>
        <v>461.0528802819851</v>
      </c>
      <c r="R145" s="59">
        <f t="shared" si="109"/>
        <v>754.38621361531841</v>
      </c>
      <c r="S145" s="59">
        <f ca="1">AVERAGE(OFFSET($R$3,0,0,'Données projet'!$E$9+1,1))-AVERAGE(OFFSET($H$3,0,0,'Données projet'!$E$9+1,1))</f>
        <v>368.41876532159154</v>
      </c>
      <c r="T145" s="59">
        <f t="shared" si="142"/>
        <v>369.39570124551125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0.67014351472797762</v>
      </c>
      <c r="AA145" s="21">
        <f>EXP(-LN(2)/25)*AA144+(1-EXP(-LN(2)/25))/(LN(2)/25)*Calculateur!V145*Calculateur!X145*VLOOKUP('Données projet'!$B$9,Paramètres!$A$1:$I$89,3,0)*0.475*44/12</f>
        <v>0.72688090866996036</v>
      </c>
      <c r="AB145" s="21">
        <f>EXP(-LN(2)/2)*AB144+(1-EXP(-LN(2)/2))/(LN(2)/2)*V145*Y145*VLOOKUP('Données projet'!$B$9,Paramètres!$A$1:$I$89,3,0)*0.475*44/12</f>
        <v>2.4661718031538986E-16</v>
      </c>
      <c r="AC145" s="22">
        <f t="shared" si="111"/>
        <v>1.3970244233979383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-5.1159076974727213E-13</v>
      </c>
      <c r="AJ145" s="13">
        <f>AI145*VLOOKUP('Données projet'!$B$10,Paramètres!$A$1:$I$89,3,0)*VLOOKUP('Données projet'!$B$10,Paramètres!$A$1:$I$89,5,0)</f>
        <v>-4.4692569645121704E-13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402.82278346470082</v>
      </c>
      <c r="AO145" s="59">
        <f t="shared" si="144"/>
        <v>440.17787299198977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0.38988601650961485</v>
      </c>
      <c r="AV145" s="21">
        <f>EXP(-LN(2)/25)*AV144+(1-EXP(-LN(2)/25))/(LN(2)/25)*Calculateur!AQ145*Calculateur!AS145*VLOOKUP('Données projet'!$B$10,Paramètres!$A$1:$I$89,3,0)*0.475*44/12</f>
        <v>1.0096536475537152</v>
      </c>
      <c r="AW145" s="21">
        <f>EXP(-LN(2)/2)*AW144+(1-EXP(-LN(2)/2))/(LN(2)/2)*AQ145*AT145*VLOOKUP('Données projet'!$B$10,Paramètres!$A$1:$I$89,3,0)*0.475*44/12</f>
        <v>3.6631534356891713E-16</v>
      </c>
      <c r="AX145" s="21">
        <f t="shared" si="114"/>
        <v>1.3995396640633304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-3.4106051316484809E-13</v>
      </c>
      <c r="BE145" s="13">
        <f>BD145*VLOOKUP('Données projet'!$B$11,Paramètres!$A$1:$I$89,3,0)*VLOOKUP('Données projet'!$B$11,Paramètres!$A$1:$I$89,5,0)</f>
        <v>-3.0859155231155454E-13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469.68830256438338</v>
      </c>
      <c r="BJ145" s="59">
        <f t="shared" si="146"/>
        <v>332.61387922152159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0.26209588279649015</v>
      </c>
      <c r="BQ145" s="21">
        <f>EXP(-LN(2)/25)*BQ144+(1-EXP(-LN(2)/25))/(LN(2)/25)*Calculateur!BL145*Calculateur!BN145*VLOOKUP('Données projet'!$B$11,Paramètres!$A$1:$I$89,3,0)*0.475*44/12</f>
        <v>0.50559552055689105</v>
      </c>
      <c r="BR145" s="21">
        <f>EXP(-LN(2)/2)*BR144+(1-EXP(-LN(2)/2))/(LN(2)/2)*BL145*BO145*VLOOKUP('Données projet'!$B$11,Paramètres!$A$1:$I$89,3,0)*0.475*44/12</f>
        <v>2.9911263430141669E-16</v>
      </c>
      <c r="BS145" s="22">
        <f t="shared" si="117"/>
        <v>0.7676914033533816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4</v>
      </c>
      <c r="BY145" s="12">
        <f>IF('Données projet'!$A$114&gt;35,BY144+BX145-CG144,IF(A145&lt;'Données projet'!$A$114,$BV$205^A145,IF(A145='Données projet'!$A$114,'Données projet'!$B$114,BY144+BX145-CG144)))</f>
        <v>435.00000000000011</v>
      </c>
      <c r="BZ145" s="13">
        <f>BY145*VLOOKUP('Données projet'!$B$12,Paramètres!$A$1:$I$89,3,0)*VLOOKUP('Données projet'!$B$12,Paramètres!$A$1:$I$89,5,0)</f>
        <v>413.94600000000014</v>
      </c>
      <c r="CA145" s="13">
        <f t="shared" si="147"/>
        <v>94.598338717802093</v>
      </c>
      <c r="CB145" s="20">
        <f t="shared" si="118"/>
        <v>885.71472326683886</v>
      </c>
      <c r="CC145" s="59">
        <f t="shared" si="119"/>
        <v>1179.0480566001722</v>
      </c>
      <c r="CD145" s="59">
        <f ca="1">AVERAGE(OFFSET($CC$3,0,0,'Données projet'!$E$12+1,1))-AVERAGE(OFFSET($H$3,0,0,'Données projet'!$E$12+1,1))</f>
        <v>609.40025883662452</v>
      </c>
      <c r="CE145" s="59">
        <f t="shared" si="148"/>
        <v>294.48909834404577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0.17666491697273648</v>
      </c>
      <c r="CM145" s="21">
        <f>EXP(-LN(2)/2)*CM144+(1-EXP(-LN(2)/2))/(LN(2)/2)*CG145*CJ145*VLOOKUP('Données projet'!$B$12,Paramètres!$A$1:$I$89,3,0)*0.475*44/12</f>
        <v>1.0902774314566536E-16</v>
      </c>
      <c r="CN145" s="22">
        <f t="shared" si="120"/>
        <v>0.17666491697273659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-1.1368683772161603E-13</v>
      </c>
      <c r="CU145" s="17">
        <f>CT145*VLOOKUP('Données projet'!$B$13,Paramètres!$A$1:$I$89,3,0)*VLOOKUP('Données projet'!$B$13,Paramètres!$A$1:$I$89,5,0)</f>
        <v>-5.3205440053716299E-14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346.16623654404509</v>
      </c>
      <c r="CZ145" s="59">
        <f t="shared" si="150"/>
        <v>281.80933156559087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0.3411014723953294</v>
      </c>
      <c r="DG145" s="21">
        <f>EXP(-LN(2)/25)*DG144+(1-EXP(-LN(2)/25))/(LN(2)/25)*Calculateur!DB145*Calculateur!DD145*VLOOKUP('Données projet'!$B$13,Paramètres!$A$1:$I$89,3,0)*0.475*44/12</f>
        <v>0.35201201050030778</v>
      </c>
      <c r="DH145" s="21">
        <f>EXP(-LN(2)/2)*DH144+(1-EXP(-LN(2)/2))/(LN(2)/2)*DB145*DE145*VLOOKUP('Données projet'!$B$13,Paramètres!$A$1:$I$89,3,0)*0.475*44/12</f>
        <v>1.3644885888253177E-16</v>
      </c>
      <c r="DI145" s="22">
        <f t="shared" si="123"/>
        <v>0.69311348289563723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6.2527760746888816E-13</v>
      </c>
      <c r="DP145" s="17">
        <f>DO145*VLOOKUP('Données projet'!$B$14,Paramètres!$A$1:$I$89,3,0)*VLOOKUP('Données projet'!$B$14,Paramètres!$A$1:$I$89,5,0)</f>
        <v>3.9017322706058616E-13</v>
      </c>
      <c r="DQ145" s="13">
        <f t="shared" si="151"/>
        <v>5.0025007393608908E-12</v>
      </c>
      <c r="DR145" s="20">
        <f t="shared" si="124"/>
        <v>9.3922404915174053E-12</v>
      </c>
      <c r="DS145" s="59">
        <f t="shared" si="125"/>
        <v>293.33333333334269</v>
      </c>
      <c r="DT145" s="59">
        <f ca="1">AVERAGE(OFFSET($DS$3,0,0,'Données projet'!$E$14+1,1))-AVERAGE(OFFSET($H$3,0,0,'Données projet'!$E$14+1,1))</f>
        <v>319.97171762304686</v>
      </c>
      <c r="DU145" s="59">
        <f t="shared" si="152"/>
        <v>337.89345858359621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0.75665210751192047</v>
      </c>
      <c r="EB145" s="21">
        <f>EXP(-LN(2)/25)*EB144+(1-EXP(-LN(2)/25))/(LN(2)/25)*Calculateur!DW145*Calculateur!DY145*VLOOKUP('Données projet'!$B$14,Paramètres!$A$1:$I$89,3,0)*0.475*44/12</f>
        <v>0.93152907588729905</v>
      </c>
      <c r="EC145" s="21">
        <f>EXP(-LN(2)/2)*EC144+(1-EXP(-LN(2)/2))/(LN(2)/2)*DW145*DZ145*VLOOKUP('Données projet'!$B$14,Paramètres!$A$1:$I$89,3,0)*0.475*44/12</f>
        <v>2.8020385322728858E-16</v>
      </c>
      <c r="ED145" s="22">
        <f t="shared" si="126"/>
        <v>1.6881811833992197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>
        <f>EJ145*VLOOKUP('Données projet'!$B$15,Paramètres!$A$1:$I$89,3,0)*VLOOKUP('Données projet'!$B$15,Paramètres!$A$1:$I$89,5,0)</f>
        <v>0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258.46015871559956</v>
      </c>
      <c r="EP145" s="59">
        <f t="shared" si="154"/>
        <v>280.26155987300996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0.67601126312313653</v>
      </c>
      <c r="EW145" s="21">
        <f>EXP(-LN(2)/25)*EW144+(1-EXP(-LN(2)/25))/(LN(2)/25)*Calculateur!ER145*Calculateur!ET145*VLOOKUP('Données projet'!$B$15,Paramètres!$A$1:$I$89,3,0)*0.475*44/12</f>
        <v>0.55256041618303953</v>
      </c>
      <c r="EX145" s="21">
        <f>EXP(-LN(2)/2)*EX144+(1-EXP(-LN(2)/2))/(LN(2)/2)*ER145*EU145*VLOOKUP('Données projet'!$B$15,Paramètres!$A$1:$I$89,3,0)*0.475*44/12</f>
        <v>7.5574163234034693E-17</v>
      </c>
      <c r="EY145" s="22">
        <f t="shared" si="129"/>
        <v>1.2285716793061761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243.00000000000017</v>
      </c>
      <c r="O146" s="13">
        <f>N146*VLOOKUP('Données projet'!$B$9,Paramètres!$A$1:$I$89,3,0)*VLOOKUP('Données projet'!$B$9,Paramètres!$A$1:$I$89,5,0)</f>
        <v>212.28480000000016</v>
      </c>
      <c r="P146" s="13">
        <f t="shared" si="141"/>
        <v>52.434557099704236</v>
      </c>
      <c r="Q146" s="20">
        <f t="shared" si="108"/>
        <v>461.0528802819851</v>
      </c>
      <c r="R146" s="59">
        <f t="shared" si="109"/>
        <v>754.38621361531841</v>
      </c>
      <c r="S146" s="59">
        <f ca="1">AVERAGE(OFFSET($R$3,0,0,'Données projet'!$E$9+1,1))-AVERAGE(OFFSET($H$3,0,0,'Données projet'!$E$9+1,1))</f>
        <v>368.41876532159154</v>
      </c>
      <c r="T146" s="59">
        <f t="shared" si="142"/>
        <v>369.39570124551125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0.65700240915134556</v>
      </c>
      <c r="AA146" s="21">
        <f>EXP(-LN(2)/25)*AA145+(1-EXP(-LN(2)/25))/(LN(2)/25)*Calculateur!V146*Calculateur!X146*VLOOKUP('Données projet'!$B$9,Paramètres!$A$1:$I$89,3,0)*0.475*44/12</f>
        <v>0.70700431199737457</v>
      </c>
      <c r="AB146" s="21">
        <f>EXP(-LN(2)/2)*AB145+(1-EXP(-LN(2)/2))/(LN(2)/2)*V146*Y146*VLOOKUP('Données projet'!$B$9,Paramètres!$A$1:$I$89,3,0)*0.475*44/12</f>
        <v>1.7438468055811772E-16</v>
      </c>
      <c r="AC146" s="22">
        <f t="shared" si="111"/>
        <v>1.3640067211487203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-5.1159076974727213E-13</v>
      </c>
      <c r="AJ146" s="13">
        <f>AI146*VLOOKUP('Données projet'!$B$10,Paramètres!$A$1:$I$89,3,0)*VLOOKUP('Données projet'!$B$10,Paramètres!$A$1:$I$89,5,0)</f>
        <v>-4.4692569645121704E-13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402.82278346470082</v>
      </c>
      <c r="AO146" s="59">
        <f t="shared" si="144"/>
        <v>440.17787299198977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0.38224058953284989</v>
      </c>
      <c r="AV146" s="21">
        <f>EXP(-LN(2)/25)*AV145+(1-EXP(-LN(2)/25))/(LN(2)/25)*Calculateur!AQ146*Calculateur!AS146*VLOOKUP('Données projet'!$B$10,Paramètres!$A$1:$I$89,3,0)*0.475*44/12</f>
        <v>0.98204461546598121</v>
      </c>
      <c r="AW146" s="21">
        <f>EXP(-LN(2)/2)*AW145+(1-EXP(-LN(2)/2))/(LN(2)/2)*AQ146*AT146*VLOOKUP('Données projet'!$B$10,Paramètres!$A$1:$I$89,3,0)*0.475*44/12</f>
        <v>2.5902406349026126E-16</v>
      </c>
      <c r="AX146" s="21">
        <f t="shared" si="114"/>
        <v>1.3642852049988312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-3.4106051316484809E-13</v>
      </c>
      <c r="BE146" s="13">
        <f>BD146*VLOOKUP('Données projet'!$B$11,Paramètres!$A$1:$I$89,3,0)*VLOOKUP('Données projet'!$B$11,Paramètres!$A$1:$I$89,5,0)</f>
        <v>-3.0859155231155454E-13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469.68830256438338</v>
      </c>
      <c r="BJ146" s="59">
        <f t="shared" si="146"/>
        <v>332.61387922152159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0.25695634239755438</v>
      </c>
      <c r="BQ146" s="21">
        <f>EXP(-LN(2)/25)*BQ145+(1-EXP(-LN(2)/25))/(LN(2)/25)*Calculateur!BL146*Calculateur!BN146*VLOOKUP('Données projet'!$B$11,Paramètres!$A$1:$I$89,3,0)*0.475*44/12</f>
        <v>0.49176998445914999</v>
      </c>
      <c r="BR146" s="21">
        <f>EXP(-LN(2)/2)*BR145+(1-EXP(-LN(2)/2))/(LN(2)/2)*BL146*BO146*VLOOKUP('Données projet'!$B$11,Paramètres!$A$1:$I$89,3,0)*0.475*44/12</f>
        <v>2.1150457205310367E-16</v>
      </c>
      <c r="BS146" s="22">
        <f t="shared" si="117"/>
        <v>0.74872632685670459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4</v>
      </c>
      <c r="BY146" s="12">
        <f>IF('Données projet'!$A$114&gt;35,BY145+BX146-CG145,IF(A146&lt;'Données projet'!$A$114,$BV$205^A146,IF(A146='Données projet'!$A$114,'Données projet'!$B$114,BY145+BX146-CG145)))</f>
        <v>439.00000000000011</v>
      </c>
      <c r="BZ146" s="13">
        <f>BY146*VLOOKUP('Données projet'!$B$12,Paramètres!$A$1:$I$89,3,0)*VLOOKUP('Données projet'!$B$12,Paramètres!$A$1:$I$89,5,0)</f>
        <v>417.75240000000014</v>
      </c>
      <c r="CA146" s="13">
        <f t="shared" si="147"/>
        <v>95.366545714758388</v>
      </c>
      <c r="CB146" s="20">
        <f t="shared" si="118"/>
        <v>893.68216378653767</v>
      </c>
      <c r="CC146" s="59">
        <f t="shared" si="119"/>
        <v>1187.015497119871</v>
      </c>
      <c r="CD146" s="59">
        <f ca="1">AVERAGE(OFFSET($CC$3,0,0,'Données projet'!$E$12+1,1))-AVERAGE(OFFSET($H$3,0,0,'Données projet'!$E$12+1,1))</f>
        <v>609.40025883662452</v>
      </c>
      <c r="CE146" s="59">
        <f t="shared" si="148"/>
        <v>294.48909834404577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0.1718340055277128</v>
      </c>
      <c r="CM146" s="21">
        <f>EXP(-LN(2)/2)*CM145+(1-EXP(-LN(2)/2))/(LN(2)/2)*CG146*CJ146*VLOOKUP('Données projet'!$B$12,Paramètres!$A$1:$I$89,3,0)*0.475*44/12</f>
        <v>7.7094256515765116E-17</v>
      </c>
      <c r="CN146" s="22">
        <f t="shared" si="120"/>
        <v>0.17183400552771289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-1.1368683772161603E-13</v>
      </c>
      <c r="CU146" s="17">
        <f>CT146*VLOOKUP('Données projet'!$B$13,Paramètres!$A$1:$I$89,3,0)*VLOOKUP('Données projet'!$B$13,Paramètres!$A$1:$I$89,5,0)</f>
        <v>-5.3205440053716299E-14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346.16623654404509</v>
      </c>
      <c r="CZ146" s="59">
        <f t="shared" si="150"/>
        <v>281.80933156559087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0.33441268057301177</v>
      </c>
      <c r="DG146" s="21">
        <f>EXP(-LN(2)/25)*DG145+(1-EXP(-LN(2)/25))/(LN(2)/25)*Calculateur!DB146*Calculateur!DD146*VLOOKUP('Données projet'!$B$13,Paramètres!$A$1:$I$89,3,0)*0.475*44/12</f>
        <v>0.34238622356166976</v>
      </c>
      <c r="DH146" s="21">
        <f>EXP(-LN(2)/2)*DH145+(1-EXP(-LN(2)/2))/(LN(2)/2)*DB146*DE146*VLOOKUP('Données projet'!$B$13,Paramètres!$A$1:$I$89,3,0)*0.475*44/12</f>
        <v>9.6483913401004499E-17</v>
      </c>
      <c r="DI146" s="22">
        <f t="shared" si="123"/>
        <v>0.67679890413468169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6.2527760746888816E-13</v>
      </c>
      <c r="DP146" s="17">
        <f>DO146*VLOOKUP('Données projet'!$B$14,Paramètres!$A$1:$I$89,3,0)*VLOOKUP('Données projet'!$B$14,Paramètres!$A$1:$I$89,5,0)</f>
        <v>3.9017322706058616E-13</v>
      </c>
      <c r="DQ146" s="13">
        <f t="shared" si="151"/>
        <v>5.0025007393608908E-12</v>
      </c>
      <c r="DR146" s="20">
        <f t="shared" si="124"/>
        <v>9.3922404915174053E-12</v>
      </c>
      <c r="DS146" s="59">
        <f t="shared" si="125"/>
        <v>293.33333333334269</v>
      </c>
      <c r="DT146" s="59">
        <f ca="1">AVERAGE(OFFSET($DS$3,0,0,'Données projet'!$E$14+1,1))-AVERAGE(OFFSET($H$3,0,0,'Données projet'!$E$14+1,1))</f>
        <v>319.97171762304686</v>
      </c>
      <c r="DU146" s="59">
        <f t="shared" si="152"/>
        <v>337.89345858359621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0.74181462119582675</v>
      </c>
      <c r="EB146" s="21">
        <f>EXP(-LN(2)/25)*EB145+(1-EXP(-LN(2)/25))/(LN(2)/25)*Calculateur!DW146*Calculateur!DY146*VLOOKUP('Données projet'!$B$14,Paramètres!$A$1:$I$89,3,0)*0.475*44/12</f>
        <v>0.90605636432017578</v>
      </c>
      <c r="EC146" s="21">
        <f>EXP(-LN(2)/2)*EC145+(1-EXP(-LN(2)/2))/(LN(2)/2)*DW146*DZ146*VLOOKUP('Données projet'!$B$14,Paramètres!$A$1:$I$89,3,0)*0.475*44/12</f>
        <v>1.9813404473161583E-16</v>
      </c>
      <c r="ED146" s="22">
        <f t="shared" si="126"/>
        <v>1.6478709855160028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>
        <f>EJ146*VLOOKUP('Données projet'!$B$15,Paramètres!$A$1:$I$89,3,0)*VLOOKUP('Données projet'!$B$15,Paramètres!$A$1:$I$89,5,0)</f>
        <v>0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258.46015871559956</v>
      </c>
      <c r="EP146" s="59">
        <f t="shared" si="154"/>
        <v>280.26155987300996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0.66275509457944848</v>
      </c>
      <c r="EW146" s="21">
        <f>EXP(-LN(2)/25)*EW145+(1-EXP(-LN(2)/25))/(LN(2)/25)*Calculateur!ER146*Calculateur!ET146*VLOOKUP('Données projet'!$B$15,Paramètres!$A$1:$I$89,3,0)*0.475*44/12</f>
        <v>0.53745062254462495</v>
      </c>
      <c r="EX146" s="21">
        <f>EXP(-LN(2)/2)*EX145+(1-EXP(-LN(2)/2))/(LN(2)/2)*ER146*EU146*VLOOKUP('Données projet'!$B$15,Paramètres!$A$1:$I$89,3,0)*0.475*44/12</f>
        <v>5.3439003305284995E-17</v>
      </c>
      <c r="EY146" s="22">
        <f t="shared" si="129"/>
        <v>1.2002057171240734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243.00000000000017</v>
      </c>
      <c r="O147" s="13">
        <f>N147*VLOOKUP('Données projet'!$B$9,Paramètres!$A$1:$I$89,3,0)*VLOOKUP('Données projet'!$B$9,Paramètres!$A$1:$I$89,5,0)</f>
        <v>212.28480000000016</v>
      </c>
      <c r="P147" s="13">
        <f t="shared" si="141"/>
        <v>52.434557099704236</v>
      </c>
      <c r="Q147" s="20">
        <f t="shared" si="108"/>
        <v>461.0528802819851</v>
      </c>
      <c r="R147" s="59">
        <f t="shared" si="109"/>
        <v>754.38621361531841</v>
      </c>
      <c r="S147" s="59">
        <f ca="1">AVERAGE(OFFSET($R$3,0,0,'Données projet'!$E$9+1,1))-AVERAGE(OFFSET($H$3,0,0,'Données projet'!$E$9+1,1))</f>
        <v>368.41876532159154</v>
      </c>
      <c r="T147" s="59">
        <f t="shared" si="142"/>
        <v>369.39570124551125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0.64411899263978822</v>
      </c>
      <c r="AA147" s="21">
        <f>EXP(-LN(2)/25)*AA146+(1-EXP(-LN(2)/25))/(LN(2)/25)*Calculateur!V147*Calculateur!X147*VLOOKUP('Données projet'!$B$9,Paramètres!$A$1:$I$89,3,0)*0.475*44/12</f>
        <v>0.68767124190606543</v>
      </c>
      <c r="AB147" s="21">
        <f>EXP(-LN(2)/2)*AB146+(1-EXP(-LN(2)/2))/(LN(2)/2)*V147*Y147*VLOOKUP('Données projet'!$B$9,Paramètres!$A$1:$I$89,3,0)*0.475*44/12</f>
        <v>1.2330859015769493E-16</v>
      </c>
      <c r="AC147" s="22">
        <f t="shared" si="111"/>
        <v>1.3317902345458539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-5.1159076974727213E-13</v>
      </c>
      <c r="AJ147" s="13">
        <f>AI147*VLOOKUP('Données projet'!$B$10,Paramètres!$A$1:$I$89,3,0)*VLOOKUP('Données projet'!$B$10,Paramètres!$A$1:$I$89,5,0)</f>
        <v>-4.4692569645121704E-13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402.82278346470082</v>
      </c>
      <c r="AO147" s="59">
        <f t="shared" si="144"/>
        <v>440.17787299198977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0.37474508471584927</v>
      </c>
      <c r="AV147" s="21">
        <f>EXP(-LN(2)/25)*AV146+(1-EXP(-LN(2)/25))/(LN(2)/25)*Calculateur!AQ147*Calculateur!AS147*VLOOKUP('Données projet'!$B$10,Paramètres!$A$1:$I$89,3,0)*0.475*44/12</f>
        <v>0.95519055381258211</v>
      </c>
      <c r="AW147" s="21">
        <f>EXP(-LN(2)/2)*AW146+(1-EXP(-LN(2)/2))/(LN(2)/2)*AQ147*AT147*VLOOKUP('Données projet'!$B$10,Paramètres!$A$1:$I$89,3,0)*0.475*44/12</f>
        <v>1.8315767178445857E-16</v>
      </c>
      <c r="AX147" s="21">
        <f t="shared" si="114"/>
        <v>1.3299356385284316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-3.4106051316484809E-13</v>
      </c>
      <c r="BE147" s="13">
        <f>BD147*VLOOKUP('Données projet'!$B$11,Paramètres!$A$1:$I$89,3,0)*VLOOKUP('Données projet'!$B$11,Paramètres!$A$1:$I$89,5,0)</f>
        <v>-3.0859155231155454E-13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469.68830256438338</v>
      </c>
      <c r="BJ147" s="59">
        <f t="shared" si="146"/>
        <v>332.61387922152159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0.25191758525103158</v>
      </c>
      <c r="BQ147" s="21">
        <f>EXP(-LN(2)/25)*BQ146+(1-EXP(-LN(2)/25))/(LN(2)/25)*Calculateur!BL147*Calculateur!BN147*VLOOKUP('Données projet'!$B$11,Paramètres!$A$1:$I$89,3,0)*0.475*44/12</f>
        <v>0.47832250837305501</v>
      </c>
      <c r="BR147" s="21">
        <f>EXP(-LN(2)/2)*BR146+(1-EXP(-LN(2)/2))/(LN(2)/2)*BL147*BO147*VLOOKUP('Données projet'!$B$11,Paramètres!$A$1:$I$89,3,0)*0.475*44/12</f>
        <v>1.4955631715070835E-16</v>
      </c>
      <c r="BS147" s="22">
        <f t="shared" si="117"/>
        <v>0.73024009362408671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4</v>
      </c>
      <c r="BY147" s="12">
        <f>IF('Données projet'!$A$114&gt;35,BY146+BX147-CG146,IF(A147&lt;'Données projet'!$A$114,$BV$205^A147,IF(A147='Données projet'!$A$114,'Données projet'!$B$114,BY146+BX147-CG146)))</f>
        <v>443.00000000000011</v>
      </c>
      <c r="BZ147" s="13">
        <f>BY147*VLOOKUP('Données projet'!$B$12,Paramètres!$A$1:$I$89,3,0)*VLOOKUP('Données projet'!$B$12,Paramètres!$A$1:$I$89,5,0)</f>
        <v>421.55880000000013</v>
      </c>
      <c r="CA147" s="13">
        <f t="shared" si="147"/>
        <v>96.133938377314152</v>
      </c>
      <c r="CB147" s="20">
        <f t="shared" si="118"/>
        <v>901.64818600715569</v>
      </c>
      <c r="CC147" s="59">
        <f t="shared" si="119"/>
        <v>1194.9815193404891</v>
      </c>
      <c r="CD147" s="59">
        <f ca="1">AVERAGE(OFFSET($CC$3,0,0,'Données projet'!$E$12+1,1))-AVERAGE(OFFSET($H$3,0,0,'Données projet'!$E$12+1,1))</f>
        <v>609.40025883662452</v>
      </c>
      <c r="CE147" s="59">
        <f t="shared" si="148"/>
        <v>294.48909834404577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0.16713519561019988</v>
      </c>
      <c r="CM147" s="21">
        <f>EXP(-LN(2)/2)*CM146+(1-EXP(-LN(2)/2))/(LN(2)/2)*CG147*CJ147*VLOOKUP('Données projet'!$B$12,Paramètres!$A$1:$I$89,3,0)*0.475*44/12</f>
        <v>5.4513871572832694E-17</v>
      </c>
      <c r="CN147" s="22">
        <f t="shared" si="120"/>
        <v>0.16713519561019993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-1.1368683772161603E-13</v>
      </c>
      <c r="CU147" s="17">
        <f>CT147*VLOOKUP('Données projet'!$B$13,Paramètres!$A$1:$I$89,3,0)*VLOOKUP('Données projet'!$B$13,Paramètres!$A$1:$I$89,5,0)</f>
        <v>-5.3205440053716299E-14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346.16623654404509</v>
      </c>
      <c r="CZ147" s="59">
        <f t="shared" si="150"/>
        <v>281.80933156559087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0.32785505187856961</v>
      </c>
      <c r="DG147" s="21">
        <f>EXP(-LN(2)/25)*DG146+(1-EXP(-LN(2)/25))/(LN(2)/25)*Calculateur!DB147*Calculateur!DD147*VLOOKUP('Données projet'!$B$13,Paramètres!$A$1:$I$89,3,0)*0.475*44/12</f>
        <v>0.33302365427306696</v>
      </c>
      <c r="DH147" s="21">
        <f>EXP(-LN(2)/2)*DH146+(1-EXP(-LN(2)/2))/(LN(2)/2)*DB147*DE147*VLOOKUP('Données projet'!$B$13,Paramètres!$A$1:$I$89,3,0)*0.475*44/12</f>
        <v>6.8224429441265887E-17</v>
      </c>
      <c r="DI147" s="22">
        <f t="shared" si="123"/>
        <v>0.66087870615163669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6.2527760746888816E-13</v>
      </c>
      <c r="DP147" s="17">
        <f>DO147*VLOOKUP('Données projet'!$B$14,Paramètres!$A$1:$I$89,3,0)*VLOOKUP('Données projet'!$B$14,Paramètres!$A$1:$I$89,5,0)</f>
        <v>3.9017322706058616E-13</v>
      </c>
      <c r="DQ147" s="13">
        <f t="shared" si="151"/>
        <v>5.0025007393608908E-12</v>
      </c>
      <c r="DR147" s="20">
        <f t="shared" si="124"/>
        <v>9.3922404915174053E-12</v>
      </c>
      <c r="DS147" s="59">
        <f t="shared" si="125"/>
        <v>293.33333333334269</v>
      </c>
      <c r="DT147" s="59">
        <f ca="1">AVERAGE(OFFSET($DS$3,0,0,'Données projet'!$E$14+1,1))-AVERAGE(OFFSET($H$3,0,0,'Données projet'!$E$14+1,1))</f>
        <v>319.97171762304686</v>
      </c>
      <c r="DU147" s="59">
        <f t="shared" si="152"/>
        <v>337.89345858359621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0.72726808893641859</v>
      </c>
      <c r="EB147" s="21">
        <f>EXP(-LN(2)/25)*EB146+(1-EXP(-LN(2)/25))/(LN(2)/25)*Calculateur!DW147*Calculateur!DY147*VLOOKUP('Données projet'!$B$14,Paramètres!$A$1:$I$89,3,0)*0.475*44/12</f>
        <v>0.88128020539040719</v>
      </c>
      <c r="EC147" s="21">
        <f>EXP(-LN(2)/2)*EC146+(1-EXP(-LN(2)/2))/(LN(2)/2)*DW147*DZ147*VLOOKUP('Données projet'!$B$14,Paramètres!$A$1:$I$89,3,0)*0.475*44/12</f>
        <v>1.4010192661364429E-16</v>
      </c>
      <c r="ED147" s="22">
        <f t="shared" si="126"/>
        <v>1.6085482943268261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>
        <f>EJ147*VLOOKUP('Données projet'!$B$15,Paramètres!$A$1:$I$89,3,0)*VLOOKUP('Données projet'!$B$15,Paramètres!$A$1:$I$89,5,0)</f>
        <v>0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258.46015871559956</v>
      </c>
      <c r="EP147" s="59">
        <f t="shared" si="154"/>
        <v>280.26155987300996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0.64975887141543776</v>
      </c>
      <c r="EW147" s="21">
        <f>EXP(-LN(2)/25)*EW146+(1-EXP(-LN(2)/25))/(LN(2)/25)*Calculateur!ER147*Calculateur!ET147*VLOOKUP('Données projet'!$B$15,Paramètres!$A$1:$I$89,3,0)*0.475*44/12</f>
        <v>0.52275400700784225</v>
      </c>
      <c r="EX147" s="21">
        <f>EXP(-LN(2)/2)*EX146+(1-EXP(-LN(2)/2))/(LN(2)/2)*ER147*EU147*VLOOKUP('Données projet'!$B$15,Paramètres!$A$1:$I$89,3,0)*0.475*44/12</f>
        <v>3.7787081617017347E-17</v>
      </c>
      <c r="EY147" s="22">
        <f t="shared" si="129"/>
        <v>1.1725128784232801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243.00000000000017</v>
      </c>
      <c r="O148" s="13">
        <f>N148*VLOOKUP('Données projet'!$B$9,Paramètres!$A$1:$I$89,3,0)*VLOOKUP('Données projet'!$B$9,Paramètres!$A$1:$I$89,5,0)</f>
        <v>212.28480000000016</v>
      </c>
      <c r="P148" s="13">
        <f t="shared" si="141"/>
        <v>52.434557099704236</v>
      </c>
      <c r="Q148" s="20">
        <f t="shared" si="108"/>
        <v>461.0528802819851</v>
      </c>
      <c r="R148" s="59">
        <f t="shared" si="109"/>
        <v>754.38621361531841</v>
      </c>
      <c r="S148" s="59">
        <f ca="1">AVERAGE(OFFSET($R$3,0,0,'Données projet'!$E$9+1,1))-AVERAGE(OFFSET($H$3,0,0,'Données projet'!$E$9+1,1))</f>
        <v>368.41876532159154</v>
      </c>
      <c r="T148" s="59">
        <f t="shared" si="142"/>
        <v>369.39570124551125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0.63148821206791439</v>
      </c>
      <c r="AA148" s="21">
        <f>EXP(-LN(2)/25)*AA147+(1-EXP(-LN(2)/25))/(LN(2)/25)*Calculateur!V148*Calculateur!X148*VLOOKUP('Données projet'!$B$9,Paramètres!$A$1:$I$89,3,0)*0.475*44/12</f>
        <v>0.66886683563308513</v>
      </c>
      <c r="AB148" s="21">
        <f>EXP(-LN(2)/2)*AB147+(1-EXP(-LN(2)/2))/(LN(2)/2)*V148*Y148*VLOOKUP('Données projet'!$B$9,Paramètres!$A$1:$I$89,3,0)*0.475*44/12</f>
        <v>8.7192340279058858E-17</v>
      </c>
      <c r="AC148" s="22">
        <f t="shared" si="111"/>
        <v>1.3003550477009995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-5.1159076974727213E-13</v>
      </c>
      <c r="AJ148" s="13">
        <f>AI148*VLOOKUP('Données projet'!$B$10,Paramètres!$A$1:$I$89,3,0)*VLOOKUP('Données projet'!$B$10,Paramètres!$A$1:$I$89,5,0)</f>
        <v>-4.4692569645121704E-13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402.82278346470082</v>
      </c>
      <c r="AO148" s="59">
        <f t="shared" si="144"/>
        <v>440.17787299198977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0.36739656217650352</v>
      </c>
      <c r="AV148" s="21">
        <f>EXP(-LN(2)/25)*AV147+(1-EXP(-LN(2)/25))/(LN(2)/25)*Calculateur!AQ148*Calculateur!AS148*VLOOKUP('Données projet'!$B$10,Paramètres!$A$1:$I$89,3,0)*0.475*44/12</f>
        <v>0.92907081788728896</v>
      </c>
      <c r="AW148" s="21">
        <f>EXP(-LN(2)/2)*AW147+(1-EXP(-LN(2)/2))/(LN(2)/2)*AQ148*AT148*VLOOKUP('Données projet'!$B$10,Paramètres!$A$1:$I$89,3,0)*0.475*44/12</f>
        <v>1.2951203174513063E-16</v>
      </c>
      <c r="AX148" s="21">
        <f t="shared" si="114"/>
        <v>1.2964673800637927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-3.4106051316484809E-13</v>
      </c>
      <c r="BE148" s="13">
        <f>BD148*VLOOKUP('Données projet'!$B$11,Paramètres!$A$1:$I$89,3,0)*VLOOKUP('Données projet'!$B$11,Paramètres!$A$1:$I$89,5,0)</f>
        <v>-3.0859155231155454E-13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469.68830256438338</v>
      </c>
      <c r="BJ148" s="59">
        <f t="shared" si="146"/>
        <v>332.61387922152159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0.24697763505881373</v>
      </c>
      <c r="BQ148" s="21">
        <f>EXP(-LN(2)/25)*BQ147+(1-EXP(-LN(2)/25))/(LN(2)/25)*Calculateur!BL148*Calculateur!BN148*VLOOKUP('Données projet'!$B$11,Paramètres!$A$1:$I$89,3,0)*0.475*44/12</f>
        <v>0.46524275422770633</v>
      </c>
      <c r="BR148" s="21">
        <f>EXP(-LN(2)/2)*BR147+(1-EXP(-LN(2)/2))/(LN(2)/2)*BL148*BO148*VLOOKUP('Données projet'!$B$11,Paramètres!$A$1:$I$89,3,0)*0.475*44/12</f>
        <v>1.0575228602655183E-16</v>
      </c>
      <c r="BS148" s="22">
        <f t="shared" si="117"/>
        <v>0.71222038928652021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4</v>
      </c>
      <c r="BY148" s="12">
        <f>IF('Données projet'!$A$114&gt;35,BY147+BX148-CG147,IF(A148&lt;'Données projet'!$A$114,$BV$205^A148,IF(A148='Données projet'!$A$114,'Données projet'!$B$114,BY147+BX148-CG147)))</f>
        <v>447.00000000000011</v>
      </c>
      <c r="BZ148" s="13">
        <f>BY148*VLOOKUP('Données projet'!$B$12,Paramètres!$A$1:$I$89,3,0)*VLOOKUP('Données projet'!$B$12,Paramètres!$A$1:$I$89,5,0)</f>
        <v>425.36520000000013</v>
      </c>
      <c r="CA148" s="13">
        <f t="shared" si="147"/>
        <v>96.900524910165856</v>
      </c>
      <c r="CB148" s="20">
        <f t="shared" si="118"/>
        <v>909.61280421853905</v>
      </c>
      <c r="CC148" s="59">
        <f t="shared" si="119"/>
        <v>1202.9461375518724</v>
      </c>
      <c r="CD148" s="59">
        <f ca="1">AVERAGE(OFFSET($CC$3,0,0,'Données projet'!$E$12+1,1))-AVERAGE(OFFSET($H$3,0,0,'Données projet'!$E$12+1,1))</f>
        <v>609.40025883662452</v>
      </c>
      <c r="CE148" s="59">
        <f t="shared" si="148"/>
        <v>294.48909834404577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0.16256487489698102</v>
      </c>
      <c r="CM148" s="21">
        <f>EXP(-LN(2)/2)*CM147+(1-EXP(-LN(2)/2))/(LN(2)/2)*CG148*CJ148*VLOOKUP('Données projet'!$B$12,Paramètres!$A$1:$I$89,3,0)*0.475*44/12</f>
        <v>3.8547128257882564E-17</v>
      </c>
      <c r="CN148" s="22">
        <f t="shared" si="120"/>
        <v>0.16256487489698104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-1.1368683772161603E-13</v>
      </c>
      <c r="CU148" s="17">
        <f>CT148*VLOOKUP('Données projet'!$B$13,Paramètres!$A$1:$I$89,3,0)*VLOOKUP('Données projet'!$B$13,Paramètres!$A$1:$I$89,5,0)</f>
        <v>-5.3205440053716299E-14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346.16623654404509</v>
      </c>
      <c r="CZ148" s="59">
        <f t="shared" si="150"/>
        <v>281.80933156559087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0.32142601428306694</v>
      </c>
      <c r="DG148" s="21">
        <f>EXP(-LN(2)/25)*DG147+(1-EXP(-LN(2)/25))/(LN(2)/25)*Calculateur!DB148*Calculateur!DD148*VLOOKUP('Données projet'!$B$13,Paramètres!$A$1:$I$89,3,0)*0.475*44/12</f>
        <v>0.3239171049340171</v>
      </c>
      <c r="DH148" s="21">
        <f>EXP(-LN(2)/2)*DH147+(1-EXP(-LN(2)/2))/(LN(2)/2)*DB148*DE148*VLOOKUP('Données projet'!$B$13,Paramètres!$A$1:$I$89,3,0)*0.475*44/12</f>
        <v>4.8241956700502249E-17</v>
      </c>
      <c r="DI148" s="22">
        <f t="shared" si="123"/>
        <v>0.64534311921708398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6.2527760746888816E-13</v>
      </c>
      <c r="DP148" s="17">
        <f>DO148*VLOOKUP('Données projet'!$B$14,Paramètres!$A$1:$I$89,3,0)*VLOOKUP('Données projet'!$B$14,Paramètres!$A$1:$I$89,5,0)</f>
        <v>3.9017322706058616E-13</v>
      </c>
      <c r="DQ148" s="13">
        <f t="shared" si="151"/>
        <v>5.0025007393608908E-12</v>
      </c>
      <c r="DR148" s="20">
        <f t="shared" si="124"/>
        <v>9.3922404915174053E-12</v>
      </c>
      <c r="DS148" s="59">
        <f t="shared" si="125"/>
        <v>293.33333333334269</v>
      </c>
      <c r="DT148" s="59">
        <f ca="1">AVERAGE(OFFSET($DS$3,0,0,'Données projet'!$E$14+1,1))-AVERAGE(OFFSET($H$3,0,0,'Données projet'!$E$14+1,1))</f>
        <v>319.97171762304686</v>
      </c>
      <c r="DU148" s="59">
        <f t="shared" si="152"/>
        <v>337.89345858359621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0.7130068053021088</v>
      </c>
      <c r="EB148" s="21">
        <f>EXP(-LN(2)/25)*EB147+(1-EXP(-LN(2)/25))/(LN(2)/25)*Calculateur!DW148*Calculateur!DY148*VLOOKUP('Données projet'!$B$14,Paramètres!$A$1:$I$89,3,0)*0.475*44/12</f>
        <v>0.85718155182949474</v>
      </c>
      <c r="EC148" s="21">
        <f>EXP(-LN(2)/2)*EC147+(1-EXP(-LN(2)/2))/(LN(2)/2)*DW148*DZ148*VLOOKUP('Données projet'!$B$14,Paramètres!$A$1:$I$89,3,0)*0.475*44/12</f>
        <v>9.9067022365807913E-17</v>
      </c>
      <c r="ED148" s="22">
        <f t="shared" si="126"/>
        <v>1.5701883571316035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>
        <f>EJ148*VLOOKUP('Données projet'!$B$15,Paramètres!$A$1:$I$89,3,0)*VLOOKUP('Données projet'!$B$15,Paramètres!$A$1:$I$89,5,0)</f>
        <v>0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258.46015871559956</v>
      </c>
      <c r="EP148" s="59">
        <f t="shared" si="154"/>
        <v>280.26155987300996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0.63701749626075987</v>
      </c>
      <c r="EW148" s="21">
        <f>EXP(-LN(2)/25)*EW147+(1-EXP(-LN(2)/25))/(LN(2)/25)*Calculateur!ER148*Calculateur!ET148*VLOOKUP('Données projet'!$B$15,Paramètres!$A$1:$I$89,3,0)*0.475*44/12</f>
        <v>0.50845927119577439</v>
      </c>
      <c r="EX148" s="21">
        <f>EXP(-LN(2)/2)*EX147+(1-EXP(-LN(2)/2))/(LN(2)/2)*ER148*EU148*VLOOKUP('Données projet'!$B$15,Paramètres!$A$1:$I$89,3,0)*0.475*44/12</f>
        <v>2.6719501652642498E-17</v>
      </c>
      <c r="EY148" s="22">
        <f t="shared" si="129"/>
        <v>1.1454767674565343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243.00000000000017</v>
      </c>
      <c r="O149" s="13">
        <f>N149*VLOOKUP('Données projet'!$B$9,Paramètres!$A$1:$I$89,3,0)*VLOOKUP('Données projet'!$B$9,Paramètres!$A$1:$I$89,5,0)</f>
        <v>212.28480000000016</v>
      </c>
      <c r="P149" s="13">
        <f t="shared" si="141"/>
        <v>52.434557099704236</v>
      </c>
      <c r="Q149" s="20">
        <f t="shared" si="108"/>
        <v>461.0528802819851</v>
      </c>
      <c r="R149" s="59">
        <f t="shared" si="109"/>
        <v>754.38621361531841</v>
      </c>
      <c r="S149" s="59">
        <f ca="1">AVERAGE(OFFSET($R$3,0,0,'Données projet'!$E$9+1,1))-AVERAGE(OFFSET($H$3,0,0,'Données projet'!$E$9+1,1))</f>
        <v>368.41876532159154</v>
      </c>
      <c r="T149" s="59">
        <f t="shared" si="142"/>
        <v>369.39570124551125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0.61910511339903962</v>
      </c>
      <c r="AA149" s="21">
        <f>EXP(-LN(2)/25)*AA148+(1-EXP(-LN(2)/25))/(LN(2)/25)*Calculateur!V149*Calculateur!X149*VLOOKUP('Données projet'!$B$9,Paramètres!$A$1:$I$89,3,0)*0.475*44/12</f>
        <v>0.65057663683852029</v>
      </c>
      <c r="AB149" s="21">
        <f>EXP(-LN(2)/2)*AB148+(1-EXP(-LN(2)/2))/(LN(2)/2)*V149*Y149*VLOOKUP('Données projet'!$B$9,Paramètres!$A$1:$I$89,3,0)*0.475*44/12</f>
        <v>6.1654295078847465E-17</v>
      </c>
      <c r="AC149" s="22">
        <f t="shared" si="111"/>
        <v>1.2696817502375599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-5.1159076974727213E-13</v>
      </c>
      <c r="AJ149" s="13">
        <f>AI149*VLOOKUP('Données projet'!$B$10,Paramètres!$A$1:$I$89,3,0)*VLOOKUP('Données projet'!$B$10,Paramètres!$A$1:$I$89,5,0)</f>
        <v>-4.4692569645121704E-13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402.82278346470082</v>
      </c>
      <c r="AO149" s="59">
        <f t="shared" si="144"/>
        <v>440.17787299198977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0.3601921396819982</v>
      </c>
      <c r="AV149" s="21">
        <f>EXP(-LN(2)/25)*AV148+(1-EXP(-LN(2)/25))/(LN(2)/25)*Calculateur!AQ149*Calculateur!AS149*VLOOKUP('Données projet'!$B$10,Paramètres!$A$1:$I$89,3,0)*0.475*44/12</f>
        <v>0.90366532751445017</v>
      </c>
      <c r="AW149" s="21">
        <f>EXP(-LN(2)/2)*AW148+(1-EXP(-LN(2)/2))/(LN(2)/2)*AQ149*AT149*VLOOKUP('Données projet'!$B$10,Paramètres!$A$1:$I$89,3,0)*0.475*44/12</f>
        <v>9.1578835892229283E-17</v>
      </c>
      <c r="AX149" s="21">
        <f t="shared" si="114"/>
        <v>1.2638574671964484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-3.4106051316484809E-13</v>
      </c>
      <c r="BE149" s="13">
        <f>BD149*VLOOKUP('Données projet'!$B$11,Paramètres!$A$1:$I$89,3,0)*VLOOKUP('Données projet'!$B$11,Paramètres!$A$1:$I$89,5,0)</f>
        <v>-3.0859155231155454E-13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469.68830256438338</v>
      </c>
      <c r="BJ149" s="59">
        <f t="shared" si="146"/>
        <v>332.61387922152159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0.24213455427679317</v>
      </c>
      <c r="BQ149" s="21">
        <f>EXP(-LN(2)/25)*BQ148+(1-EXP(-LN(2)/25))/(LN(2)/25)*Calculateur!BL149*Calculateur!BN149*VLOOKUP('Données projet'!$B$11,Paramètres!$A$1:$I$89,3,0)*0.475*44/12</f>
        <v>0.45252066664729657</v>
      </c>
      <c r="BR149" s="21">
        <f>EXP(-LN(2)/2)*BR148+(1-EXP(-LN(2)/2))/(LN(2)/2)*BL149*BO149*VLOOKUP('Données projet'!$B$11,Paramètres!$A$1:$I$89,3,0)*0.475*44/12</f>
        <v>7.4778158575354173E-17</v>
      </c>
      <c r="BS149" s="22">
        <f t="shared" si="117"/>
        <v>0.69465522092408982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4</v>
      </c>
      <c r="BY149" s="12">
        <f>IF('Données projet'!$A$114&gt;35,BY148+BX149-CG148,IF(A149&lt;'Données projet'!$A$114,$BV$205^A149,IF(A149='Données projet'!$A$114,'Données projet'!$B$114,BY148+BX149-CG148)))</f>
        <v>451.00000000000011</v>
      </c>
      <c r="BZ149" s="13">
        <f>BY149*VLOOKUP('Données projet'!$B$12,Paramètres!$A$1:$I$89,3,0)*VLOOKUP('Données projet'!$B$12,Paramètres!$A$1:$I$89,5,0)</f>
        <v>429.17160000000013</v>
      </c>
      <c r="CA149" s="13">
        <f t="shared" si="147"/>
        <v>97.66631336269846</v>
      </c>
      <c r="CB149" s="20">
        <f t="shared" si="118"/>
        <v>917.57603244003337</v>
      </c>
      <c r="CC149" s="59">
        <f t="shared" si="119"/>
        <v>1210.9093657733667</v>
      </c>
      <c r="CD149" s="59">
        <f ca="1">AVERAGE(OFFSET($CC$3,0,0,'Données projet'!$E$12+1,1))-AVERAGE(OFFSET($H$3,0,0,'Données projet'!$E$12+1,1))</f>
        <v>609.40025883662452</v>
      </c>
      <c r="CE149" s="59">
        <f t="shared" si="148"/>
        <v>294.48909834404577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0.15811952984400784</v>
      </c>
      <c r="CM149" s="21">
        <f>EXP(-LN(2)/2)*CM148+(1-EXP(-LN(2)/2))/(LN(2)/2)*CG149*CJ149*VLOOKUP('Données projet'!$B$12,Paramètres!$A$1:$I$89,3,0)*0.475*44/12</f>
        <v>2.725693578641635E-17</v>
      </c>
      <c r="CN149" s="22">
        <f t="shared" si="120"/>
        <v>0.15811952984400787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-1.1368683772161603E-13</v>
      </c>
      <c r="CU149" s="17">
        <f>CT149*VLOOKUP('Données projet'!$B$13,Paramètres!$A$1:$I$89,3,0)*VLOOKUP('Données projet'!$B$13,Paramètres!$A$1:$I$89,5,0)</f>
        <v>-5.3205440053716299E-14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346.16623654404509</v>
      </c>
      <c r="CZ149" s="59">
        <f t="shared" si="150"/>
        <v>281.80933156559087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0.31512304619348636</v>
      </c>
      <c r="DG149" s="21">
        <f>EXP(-LN(2)/25)*DG148+(1-EXP(-LN(2)/25))/(LN(2)/25)*Calculateur!DB149*Calculateur!DD149*VLOOKUP('Données projet'!$B$13,Paramètres!$A$1:$I$89,3,0)*0.475*44/12</f>
        <v>0.31505957466553619</v>
      </c>
      <c r="DH149" s="21">
        <f>EXP(-LN(2)/2)*DH148+(1-EXP(-LN(2)/2))/(LN(2)/2)*DB149*DE149*VLOOKUP('Données projet'!$B$13,Paramètres!$A$1:$I$89,3,0)*0.475*44/12</f>
        <v>3.4112214720632944E-17</v>
      </c>
      <c r="DI149" s="22">
        <f t="shared" si="123"/>
        <v>0.63018262085902255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6.2527760746888816E-13</v>
      </c>
      <c r="DP149" s="17">
        <f>DO149*VLOOKUP('Données projet'!$B$14,Paramètres!$A$1:$I$89,3,0)*VLOOKUP('Données projet'!$B$14,Paramètres!$A$1:$I$89,5,0)</f>
        <v>3.9017322706058616E-13</v>
      </c>
      <c r="DQ149" s="13">
        <f t="shared" si="151"/>
        <v>5.0025007393608908E-12</v>
      </c>
      <c r="DR149" s="20">
        <f t="shared" si="124"/>
        <v>9.3922404915174053E-12</v>
      </c>
      <c r="DS149" s="59">
        <f t="shared" si="125"/>
        <v>293.33333333334269</v>
      </c>
      <c r="DT149" s="59">
        <f ca="1">AVERAGE(OFFSET($DS$3,0,0,'Données projet'!$E$14+1,1))-AVERAGE(OFFSET($H$3,0,0,'Données projet'!$E$14+1,1))</f>
        <v>319.97171762304686</v>
      </c>
      <c r="DU149" s="59">
        <f t="shared" si="152"/>
        <v>337.89345858359621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0.69902517674134379</v>
      </c>
      <c r="EB149" s="21">
        <f>EXP(-LN(2)/25)*EB148+(1-EXP(-LN(2)/25))/(LN(2)/25)*Calculateur!DW149*Calculateur!DY149*VLOOKUP('Données projet'!$B$14,Paramètres!$A$1:$I$89,3,0)*0.475*44/12</f>
        <v>0.83374187721749848</v>
      </c>
      <c r="EC149" s="21">
        <f>EXP(-LN(2)/2)*EC148+(1-EXP(-LN(2)/2))/(LN(2)/2)*DW149*DZ149*VLOOKUP('Données projet'!$B$14,Paramètres!$A$1:$I$89,3,0)*0.475*44/12</f>
        <v>7.0050963306822145E-17</v>
      </c>
      <c r="ED149" s="22">
        <f t="shared" si="126"/>
        <v>1.5327670539588423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>
        <f>EJ149*VLOOKUP('Données projet'!$B$15,Paramètres!$A$1:$I$89,3,0)*VLOOKUP('Données projet'!$B$15,Paramètres!$A$1:$I$89,5,0)</f>
        <v>0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258.46015871559956</v>
      </c>
      <c r="EP149" s="59">
        <f t="shared" si="154"/>
        <v>280.26155987300996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0.62452597170139368</v>
      </c>
      <c r="EW149" s="21">
        <f>EXP(-LN(2)/25)*EW148+(1-EXP(-LN(2)/25))/(LN(2)/25)*Calculateur!ER149*Calculateur!ET149*VLOOKUP('Données projet'!$B$15,Paramètres!$A$1:$I$89,3,0)*0.475*44/12</f>
        <v>0.49455542568621497</v>
      </c>
      <c r="EX149" s="21">
        <f>EXP(-LN(2)/2)*EX148+(1-EXP(-LN(2)/2))/(LN(2)/2)*ER149*EU149*VLOOKUP('Données projet'!$B$15,Paramètres!$A$1:$I$89,3,0)*0.475*44/12</f>
        <v>1.8893540808508673E-17</v>
      </c>
      <c r="EY149" s="22">
        <f t="shared" si="129"/>
        <v>1.1190813973876086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243.00000000000017</v>
      </c>
      <c r="O150" s="13">
        <f>N150*VLOOKUP('Données projet'!$B$9,Paramètres!$A$1:$I$89,3,0)*VLOOKUP('Données projet'!$B$9,Paramètres!$A$1:$I$89,5,0)</f>
        <v>212.28480000000016</v>
      </c>
      <c r="P150" s="13">
        <f t="shared" si="141"/>
        <v>52.434557099704236</v>
      </c>
      <c r="Q150" s="20">
        <f t="shared" si="108"/>
        <v>461.0528802819851</v>
      </c>
      <c r="R150" s="59">
        <f t="shared" si="109"/>
        <v>754.38621361531841</v>
      </c>
      <c r="S150" s="59">
        <f ca="1">AVERAGE(OFFSET($R$3,0,0,'Données projet'!$E$9+1,1))-AVERAGE(OFFSET($H$3,0,0,'Données projet'!$E$9+1,1))</f>
        <v>368.41876532159154</v>
      </c>
      <c r="T150" s="59">
        <f t="shared" si="142"/>
        <v>369.39570124551125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0.60696483974211701</v>
      </c>
      <c r="AA150" s="21">
        <f>EXP(-LN(2)/25)*AA149+(1-EXP(-LN(2)/25))/(LN(2)/25)*Calculateur!V150*Calculateur!X150*VLOOKUP('Données projet'!$B$9,Paramètres!$A$1:$I$89,3,0)*0.475*44/12</f>
        <v>0.63278658449183256</v>
      </c>
      <c r="AB150" s="21">
        <f>EXP(-LN(2)/2)*AB149+(1-EXP(-LN(2)/2))/(LN(2)/2)*V150*Y150*VLOOKUP('Données projet'!$B$9,Paramètres!$A$1:$I$89,3,0)*0.475*44/12</f>
        <v>4.3596170139529429E-17</v>
      </c>
      <c r="AC150" s="22">
        <f t="shared" si="111"/>
        <v>1.2397514242339496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-5.1159076974727213E-13</v>
      </c>
      <c r="AJ150" s="13">
        <f>AI150*VLOOKUP('Données projet'!$B$10,Paramètres!$A$1:$I$89,3,0)*VLOOKUP('Données projet'!$B$10,Paramètres!$A$1:$I$89,5,0)</f>
        <v>-4.4692569645121704E-13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402.82278346470082</v>
      </c>
      <c r="AO150" s="59">
        <f t="shared" si="144"/>
        <v>440.17787299198977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0.35312899151834631</v>
      </c>
      <c r="AV150" s="21">
        <f>EXP(-LN(2)/25)*AV149+(1-EXP(-LN(2)/25))/(LN(2)/25)*Calculateur!AQ150*Calculateur!AS150*VLOOKUP('Données projet'!$B$10,Paramètres!$A$1:$I$89,3,0)*0.475*44/12</f>
        <v>0.8789545516118733</v>
      </c>
      <c r="AW150" s="21">
        <f>EXP(-LN(2)/2)*AW149+(1-EXP(-LN(2)/2))/(LN(2)/2)*AQ150*AT150*VLOOKUP('Données projet'!$B$10,Paramètres!$A$1:$I$89,3,0)*0.475*44/12</f>
        <v>6.4756015872565315E-17</v>
      </c>
      <c r="AX150" s="21">
        <f t="shared" si="114"/>
        <v>1.2320835431302197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-3.4106051316484809E-13</v>
      </c>
      <c r="BE150" s="13">
        <f>BD150*VLOOKUP('Données projet'!$B$11,Paramètres!$A$1:$I$89,3,0)*VLOOKUP('Données projet'!$B$11,Paramètres!$A$1:$I$89,5,0)</f>
        <v>-3.0859155231155454E-13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469.68830256438338</v>
      </c>
      <c r="BJ150" s="59">
        <f t="shared" si="146"/>
        <v>332.61387922152159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0.23738644335492043</v>
      </c>
      <c r="BQ150" s="21">
        <f>EXP(-LN(2)/25)*BQ149+(1-EXP(-LN(2)/25))/(LN(2)/25)*Calculateur!BL150*Calculateur!BN150*VLOOKUP('Données projet'!$B$11,Paramètres!$A$1:$I$89,3,0)*0.475*44/12</f>
        <v>0.44014646522079864</v>
      </c>
      <c r="BR150" s="21">
        <f>EXP(-LN(2)/2)*BR149+(1-EXP(-LN(2)/2))/(LN(2)/2)*BL150*BO150*VLOOKUP('Données projet'!$B$11,Paramètres!$A$1:$I$89,3,0)*0.475*44/12</f>
        <v>5.2876143013275917E-17</v>
      </c>
      <c r="BS150" s="22">
        <f t="shared" si="117"/>
        <v>0.67753290857571913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4</v>
      </c>
      <c r="BY150" s="12">
        <f>IF('Données projet'!$A$114&gt;35,BY149+BX150-CG149,IF(A150&lt;'Données projet'!$A$114,$BV$205^A150,IF(A150='Données projet'!$A$114,'Données projet'!$B$114,BY149+BX150-CG149)))</f>
        <v>455.00000000000011</v>
      </c>
      <c r="BZ150" s="13">
        <f>BY150*VLOOKUP('Données projet'!$B$12,Paramètres!$A$1:$I$89,3,0)*VLOOKUP('Données projet'!$B$12,Paramètres!$A$1:$I$89,5,0)</f>
        <v>432.97800000000012</v>
      </c>
      <c r="CA150" s="13">
        <f t="shared" si="147"/>
        <v>98.431311633276067</v>
      </c>
      <c r="CB150" s="20">
        <f t="shared" si="118"/>
        <v>925.53788442795587</v>
      </c>
      <c r="CC150" s="59">
        <f t="shared" si="119"/>
        <v>1218.8712177612892</v>
      </c>
      <c r="CD150" s="59">
        <f ca="1">AVERAGE(OFFSET($CC$3,0,0,'Données projet'!$E$12+1,1))-AVERAGE(OFFSET($H$3,0,0,'Données projet'!$E$12+1,1))</f>
        <v>609.40025883662452</v>
      </c>
      <c r="CE150" s="59">
        <f t="shared" si="148"/>
        <v>294.48909834404577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0.15379574298527876</v>
      </c>
      <c r="CM150" s="21">
        <f>EXP(-LN(2)/2)*CM149+(1-EXP(-LN(2)/2))/(LN(2)/2)*CG150*CJ150*VLOOKUP('Données projet'!$B$12,Paramètres!$A$1:$I$89,3,0)*0.475*44/12</f>
        <v>1.9273564128941285E-17</v>
      </c>
      <c r="CN150" s="22">
        <f t="shared" si="120"/>
        <v>0.15379574298527879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-1.1368683772161603E-13</v>
      </c>
      <c r="CU150" s="17">
        <f>CT150*VLOOKUP('Données projet'!$B$13,Paramètres!$A$1:$I$89,3,0)*VLOOKUP('Données projet'!$B$13,Paramètres!$A$1:$I$89,5,0)</f>
        <v>-5.3205440053716299E-14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346.16623654404509</v>
      </c>
      <c r="CZ150" s="59">
        <f t="shared" si="150"/>
        <v>281.80933156559087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0.30894367546371149</v>
      </c>
      <c r="DG150" s="21">
        <f>EXP(-LN(2)/25)*DG149+(1-EXP(-LN(2)/25))/(LN(2)/25)*Calculateur!DB150*Calculateur!DD150*VLOOKUP('Données projet'!$B$13,Paramètres!$A$1:$I$89,3,0)*0.475*44/12</f>
        <v>0.30644425402804415</v>
      </c>
      <c r="DH150" s="21">
        <f>EXP(-LN(2)/2)*DH149+(1-EXP(-LN(2)/2))/(LN(2)/2)*DB150*DE150*VLOOKUP('Données projet'!$B$13,Paramètres!$A$1:$I$89,3,0)*0.475*44/12</f>
        <v>2.4120978350251125E-17</v>
      </c>
      <c r="DI150" s="22">
        <f t="shared" si="123"/>
        <v>0.61538792949175569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6.2527760746888816E-13</v>
      </c>
      <c r="DP150" s="17">
        <f>DO150*VLOOKUP('Données projet'!$B$14,Paramètres!$A$1:$I$89,3,0)*VLOOKUP('Données projet'!$B$14,Paramètres!$A$1:$I$89,5,0)</f>
        <v>3.9017322706058616E-13</v>
      </c>
      <c r="DQ150" s="13">
        <f t="shared" si="151"/>
        <v>5.0025007393608908E-12</v>
      </c>
      <c r="DR150" s="20">
        <f t="shared" si="124"/>
        <v>9.3922404915174053E-12</v>
      </c>
      <c r="DS150" s="59">
        <f t="shared" si="125"/>
        <v>293.33333333334269</v>
      </c>
      <c r="DT150" s="59">
        <f ca="1">AVERAGE(OFFSET($DS$3,0,0,'Données projet'!$E$14+1,1))-AVERAGE(OFFSET($H$3,0,0,'Données projet'!$E$14+1,1))</f>
        <v>319.97171762304686</v>
      </c>
      <c r="DU150" s="59">
        <f t="shared" si="152"/>
        <v>337.89345858359621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0.68531771938870401</v>
      </c>
      <c r="EB150" s="21">
        <f>EXP(-LN(2)/25)*EB149+(1-EXP(-LN(2)/25))/(LN(2)/25)*Calculateur!DW150*Calculateur!DY150*VLOOKUP('Données projet'!$B$14,Paramètres!$A$1:$I$89,3,0)*0.475*44/12</f>
        <v>0.81094316174040626</v>
      </c>
      <c r="EC150" s="21">
        <f>EXP(-LN(2)/2)*EC149+(1-EXP(-LN(2)/2))/(LN(2)/2)*DW150*DZ150*VLOOKUP('Données projet'!$B$14,Paramètres!$A$1:$I$89,3,0)*0.475*44/12</f>
        <v>4.9533511182903957E-17</v>
      </c>
      <c r="ED150" s="22">
        <f t="shared" si="126"/>
        <v>1.4962608811291103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>
        <f>EJ150*VLOOKUP('Données projet'!$B$15,Paramètres!$A$1:$I$89,3,0)*VLOOKUP('Données projet'!$B$15,Paramètres!$A$1:$I$89,5,0)</f>
        <v>0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258.46015871559956</v>
      </c>
      <c r="EP150" s="59">
        <f t="shared" si="154"/>
        <v>280.26155987300996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0.61227939831955902</v>
      </c>
      <c r="EW150" s="21">
        <f>EXP(-LN(2)/25)*EW149+(1-EXP(-LN(2)/25))/(LN(2)/25)*Calculateur!ER150*Calculateur!ET150*VLOOKUP('Données projet'!$B$15,Paramètres!$A$1:$I$89,3,0)*0.475*44/12</f>
        <v>0.48103178156328591</v>
      </c>
      <c r="EX150" s="21">
        <f>EXP(-LN(2)/2)*EX149+(1-EXP(-LN(2)/2))/(LN(2)/2)*ER150*EU150*VLOOKUP('Données projet'!$B$15,Paramètres!$A$1:$I$89,3,0)*0.475*44/12</f>
        <v>1.3359750826321249E-17</v>
      </c>
      <c r="EY150" s="22">
        <f t="shared" si="129"/>
        <v>1.093311179882845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243.00000000000017</v>
      </c>
      <c r="O151" s="13">
        <f>N151*VLOOKUP('Données projet'!$B$9,Paramètres!$A$1:$I$89,3,0)*VLOOKUP('Données projet'!$B$9,Paramètres!$A$1:$I$89,5,0)</f>
        <v>212.28480000000016</v>
      </c>
      <c r="P151" s="13">
        <f t="shared" si="141"/>
        <v>52.434557099704236</v>
      </c>
      <c r="Q151" s="20">
        <f t="shared" si="108"/>
        <v>461.0528802819851</v>
      </c>
      <c r="R151" s="59">
        <f t="shared" si="109"/>
        <v>754.38621361531841</v>
      </c>
      <c r="S151" s="59">
        <f ca="1">AVERAGE(OFFSET($R$3,0,0,'Données projet'!$E$9+1,1))-AVERAGE(OFFSET($H$3,0,0,'Données projet'!$E$9+1,1))</f>
        <v>368.41876532159154</v>
      </c>
      <c r="T151" s="59">
        <f t="shared" si="142"/>
        <v>369.39570124551125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0.59506262944677091</v>
      </c>
      <c r="AA151" s="21">
        <f>EXP(-LN(2)/25)*AA150+(1-EXP(-LN(2)/25))/(LN(2)/25)*Calculateur!V151*Calculateur!X151*VLOOKUP('Données projet'!$B$9,Paramètres!$A$1:$I$89,3,0)*0.475*44/12</f>
        <v>0.61548300206210316</v>
      </c>
      <c r="AB151" s="21">
        <f>EXP(-LN(2)/2)*AB150+(1-EXP(-LN(2)/2))/(LN(2)/2)*V151*Y151*VLOOKUP('Données projet'!$B$9,Paramètres!$A$1:$I$89,3,0)*0.475*44/12</f>
        <v>3.0827147539423733E-17</v>
      </c>
      <c r="AC151" s="22">
        <f t="shared" si="111"/>
        <v>1.2105456315088741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-5.1159076974727213E-13</v>
      </c>
      <c r="AJ151" s="13">
        <f>AI151*VLOOKUP('Données projet'!$B$10,Paramètres!$A$1:$I$89,3,0)*VLOOKUP('Données projet'!$B$10,Paramètres!$A$1:$I$89,5,0)</f>
        <v>-4.4692569645121704E-13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402.82278346470082</v>
      </c>
      <c r="AO151" s="59">
        <f t="shared" si="144"/>
        <v>440.17787299198977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0.34620434738208861</v>
      </c>
      <c r="AV151" s="21">
        <f>EXP(-LN(2)/25)*AV150+(1-EXP(-LN(2)/25))/(LN(2)/25)*Calculateur!AQ151*Calculateur!AS151*VLOOKUP('Données projet'!$B$10,Paramètres!$A$1:$I$89,3,0)*0.475*44/12</f>
        <v>0.8549194931758356</v>
      </c>
      <c r="AW151" s="21">
        <f>EXP(-LN(2)/2)*AW150+(1-EXP(-LN(2)/2))/(LN(2)/2)*AQ151*AT151*VLOOKUP('Données projet'!$B$10,Paramètres!$A$1:$I$89,3,0)*0.475*44/12</f>
        <v>4.5789417946114641E-17</v>
      </c>
      <c r="AX151" s="21">
        <f t="shared" si="114"/>
        <v>1.2011238405579241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-3.4106051316484809E-13</v>
      </c>
      <c r="BE151" s="13">
        <f>BD151*VLOOKUP('Données projet'!$B$11,Paramètres!$A$1:$I$89,3,0)*VLOOKUP('Données projet'!$B$11,Paramètres!$A$1:$I$89,5,0)</f>
        <v>-3.0859155231155454E-13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469.68830256438338</v>
      </c>
      <c r="BJ151" s="59">
        <f t="shared" si="146"/>
        <v>332.61387922152159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0.23273143999216392</v>
      </c>
      <c r="BQ151" s="21">
        <f>EXP(-LN(2)/25)*BQ150+(1-EXP(-LN(2)/25))/(LN(2)/25)*Calculateur!BL151*Calculateur!BN151*VLOOKUP('Données projet'!$B$11,Paramètres!$A$1:$I$89,3,0)*0.475*44/12</f>
        <v>0.42811063698303925</v>
      </c>
      <c r="BR151" s="21">
        <f>EXP(-LN(2)/2)*BR150+(1-EXP(-LN(2)/2))/(LN(2)/2)*BL151*BO151*VLOOKUP('Données projet'!$B$11,Paramètres!$A$1:$I$89,3,0)*0.475*44/12</f>
        <v>3.7389079287677087E-17</v>
      </c>
      <c r="BS151" s="22">
        <f t="shared" si="117"/>
        <v>0.66084207697520314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4</v>
      </c>
      <c r="BY151" s="12">
        <f>IF('Données projet'!$A$114&gt;35,BY150+BX151-CG150,IF(A151&lt;'Données projet'!$A$114,$BV$205^A151,IF(A151='Données projet'!$A$114,'Données projet'!$B$114,BY150+BX151-CG150)))</f>
        <v>459.00000000000011</v>
      </c>
      <c r="BZ151" s="13">
        <f>BY151*VLOOKUP('Données projet'!$B$12,Paramètres!$A$1:$I$89,3,0)*VLOOKUP('Données projet'!$B$12,Paramètres!$A$1:$I$89,5,0)</f>
        <v>436.78440000000012</v>
      </c>
      <c r="CA151" s="13">
        <f t="shared" si="147"/>
        <v>99.195527473377723</v>
      </c>
      <c r="CB151" s="20">
        <f t="shared" si="118"/>
        <v>933.49837368279975</v>
      </c>
      <c r="CC151" s="59">
        <f t="shared" si="119"/>
        <v>1226.8317070161331</v>
      </c>
      <c r="CD151" s="59">
        <f ca="1">AVERAGE(OFFSET($CC$3,0,0,'Données projet'!$E$12+1,1))-AVERAGE(OFFSET($H$3,0,0,'Données projet'!$E$12+1,1))</f>
        <v>609.40025883662452</v>
      </c>
      <c r="CE151" s="59">
        <f t="shared" si="148"/>
        <v>294.48909834404577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0.14959019030557968</v>
      </c>
      <c r="CM151" s="21">
        <f>EXP(-LN(2)/2)*CM150+(1-EXP(-LN(2)/2))/(LN(2)/2)*CG151*CJ151*VLOOKUP('Données projet'!$B$12,Paramètres!$A$1:$I$89,3,0)*0.475*44/12</f>
        <v>1.3628467893208178E-17</v>
      </c>
      <c r="CN151" s="22">
        <f t="shared" si="120"/>
        <v>0.14959019030557968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-1.1368683772161603E-13</v>
      </c>
      <c r="CU151" s="17">
        <f>CT151*VLOOKUP('Données projet'!$B$13,Paramètres!$A$1:$I$89,3,0)*VLOOKUP('Données projet'!$B$13,Paramètres!$A$1:$I$89,5,0)</f>
        <v>-5.3205440053716299E-14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346.16623654404509</v>
      </c>
      <c r="CZ151" s="59">
        <f t="shared" si="150"/>
        <v>281.80933156559087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0.30288547842490354</v>
      </c>
      <c r="DG151" s="21">
        <f>EXP(-LN(2)/25)*DG150+(1-EXP(-LN(2)/25))/(LN(2)/25)*Calculateur!DB151*Calculateur!DD151*VLOOKUP('Données projet'!$B$13,Paramètres!$A$1:$I$89,3,0)*0.475*44/12</f>
        <v>0.29806451978644433</v>
      </c>
      <c r="DH151" s="21">
        <f>EXP(-LN(2)/2)*DH150+(1-EXP(-LN(2)/2))/(LN(2)/2)*DB151*DE151*VLOOKUP('Données projet'!$B$13,Paramètres!$A$1:$I$89,3,0)*0.475*44/12</f>
        <v>1.7056107360316472E-17</v>
      </c>
      <c r="DI151" s="22">
        <f t="shared" si="123"/>
        <v>0.60094999821134787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6.2527760746888816E-13</v>
      </c>
      <c r="DP151" s="17">
        <f>DO151*VLOOKUP('Données projet'!$B$14,Paramètres!$A$1:$I$89,3,0)*VLOOKUP('Données projet'!$B$14,Paramètres!$A$1:$I$89,5,0)</f>
        <v>3.9017322706058616E-13</v>
      </c>
      <c r="DQ151" s="13">
        <f t="shared" si="151"/>
        <v>5.0025007393608908E-12</v>
      </c>
      <c r="DR151" s="20">
        <f t="shared" si="124"/>
        <v>9.3922404915174053E-12</v>
      </c>
      <c r="DS151" s="59">
        <f t="shared" si="125"/>
        <v>293.33333333334269</v>
      </c>
      <c r="DT151" s="59">
        <f ca="1">AVERAGE(OFFSET($DS$3,0,0,'Données projet'!$E$14+1,1))-AVERAGE(OFFSET($H$3,0,0,'Données projet'!$E$14+1,1))</f>
        <v>319.97171762304686</v>
      </c>
      <c r="DU151" s="59">
        <f t="shared" si="152"/>
        <v>337.89345858359621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0.67187905691402605</v>
      </c>
      <c r="EB151" s="21">
        <f>EXP(-LN(2)/25)*EB150+(1-EXP(-LN(2)/25))/(LN(2)/25)*Calculateur!DW151*Calculateur!DY151*VLOOKUP('Données projet'!$B$14,Paramètres!$A$1:$I$89,3,0)*0.475*44/12</f>
        <v>0.78876787833696738</v>
      </c>
      <c r="EC151" s="21">
        <f>EXP(-LN(2)/2)*EC150+(1-EXP(-LN(2)/2))/(LN(2)/2)*DW151*DZ151*VLOOKUP('Données projet'!$B$14,Paramètres!$A$1:$I$89,3,0)*0.475*44/12</f>
        <v>3.5025481653411072E-17</v>
      </c>
      <c r="ED151" s="22">
        <f t="shared" si="126"/>
        <v>1.4606469352509934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>
        <f>EJ151*VLOOKUP('Données projet'!$B$15,Paramètres!$A$1:$I$89,3,0)*VLOOKUP('Données projet'!$B$15,Paramètres!$A$1:$I$89,5,0)</f>
        <v>0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258.46015871559956</v>
      </c>
      <c r="EP151" s="59">
        <f t="shared" si="154"/>
        <v>280.26155987300996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0.60027297277206992</v>
      </c>
      <c r="EW151" s="21">
        <f>EXP(-LN(2)/25)*EW150+(1-EXP(-LN(2)/25))/(LN(2)/25)*Calculateur!ER151*Calculateur!ET151*VLOOKUP('Données projet'!$B$15,Paramètres!$A$1:$I$89,3,0)*0.475*44/12</f>
        <v>0.46787794220007589</v>
      </c>
      <c r="EX151" s="21">
        <f>EXP(-LN(2)/2)*EX150+(1-EXP(-LN(2)/2))/(LN(2)/2)*ER151*EU151*VLOOKUP('Données projet'!$B$15,Paramètres!$A$1:$I$89,3,0)*0.475*44/12</f>
        <v>9.4467704042543367E-18</v>
      </c>
      <c r="EY151" s="22">
        <f t="shared" si="129"/>
        <v>1.0681509149721458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243.00000000000017</v>
      </c>
      <c r="O152" s="13">
        <f>N152*VLOOKUP('Données projet'!$B$9,Paramètres!$A$1:$I$89,3,0)*VLOOKUP('Données projet'!$B$9,Paramètres!$A$1:$I$89,5,0)</f>
        <v>212.28480000000016</v>
      </c>
      <c r="P152" s="13">
        <f t="shared" si="141"/>
        <v>52.434557099704236</v>
      </c>
      <c r="Q152" s="20">
        <f t="shared" si="108"/>
        <v>461.0528802819851</v>
      </c>
      <c r="R152" s="59">
        <f t="shared" si="109"/>
        <v>754.38621361531841</v>
      </c>
      <c r="S152" s="59">
        <f ca="1">AVERAGE(OFFSET($R$3,0,0,'Données projet'!$E$9+1,1))-AVERAGE(OFFSET($H$3,0,0,'Données projet'!$E$9+1,1))</f>
        <v>368.41876532159154</v>
      </c>
      <c r="T152" s="59">
        <f t="shared" si="142"/>
        <v>369.39570124551125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0.58339381423568515</v>
      </c>
      <c r="AA152" s="21">
        <f>EXP(-LN(2)/25)*AA151+(1-EXP(-LN(2)/25))/(LN(2)/25)*Calculateur!V152*Calculateur!X152*VLOOKUP('Données projet'!$B$9,Paramètres!$A$1:$I$89,3,0)*0.475*44/12</f>
        <v>0.59865258700387058</v>
      </c>
      <c r="AB152" s="21">
        <f>EXP(-LN(2)/2)*AB151+(1-EXP(-LN(2)/2))/(LN(2)/2)*V152*Y152*VLOOKUP('Données projet'!$B$9,Paramètres!$A$1:$I$89,3,0)*0.475*44/12</f>
        <v>2.1798085069764714E-17</v>
      </c>
      <c r="AC152" s="22">
        <f t="shared" si="111"/>
        <v>1.1820464012395557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-5.1159076974727213E-13</v>
      </c>
      <c r="AJ152" s="13">
        <f>AI152*VLOOKUP('Données projet'!$B$10,Paramètres!$A$1:$I$89,3,0)*VLOOKUP('Données projet'!$B$10,Paramètres!$A$1:$I$89,5,0)</f>
        <v>-4.4692569645121704E-13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402.82278346470082</v>
      </c>
      <c r="AO152" s="59">
        <f t="shared" si="144"/>
        <v>440.17787299198977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0.33941549129372706</v>
      </c>
      <c r="AV152" s="21">
        <f>EXP(-LN(2)/25)*AV151+(1-EXP(-LN(2)/25))/(LN(2)/25)*Calculateur!AQ152*Calculateur!AS152*VLOOKUP('Données projet'!$B$10,Paramètres!$A$1:$I$89,3,0)*0.475*44/12</f>
        <v>0.83154167467668016</v>
      </c>
      <c r="AW152" s="21">
        <f>EXP(-LN(2)/2)*AW151+(1-EXP(-LN(2)/2))/(LN(2)/2)*AQ152*AT152*VLOOKUP('Données projet'!$B$10,Paramètres!$A$1:$I$89,3,0)*0.475*44/12</f>
        <v>3.2378007936282658E-17</v>
      </c>
      <c r="AX152" s="21">
        <f t="shared" si="114"/>
        <v>1.1709571659704072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-3.4106051316484809E-13</v>
      </c>
      <c r="BE152" s="13">
        <f>BD152*VLOOKUP('Données projet'!$B$11,Paramètres!$A$1:$I$89,3,0)*VLOOKUP('Données projet'!$B$11,Paramètres!$A$1:$I$89,5,0)</f>
        <v>-3.0859155231155454E-13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469.68830256438338</v>
      </c>
      <c r="BJ152" s="59">
        <f t="shared" si="146"/>
        <v>332.61387922152159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0.22816771840607936</v>
      </c>
      <c r="BQ152" s="21">
        <f>EXP(-LN(2)/25)*BQ151+(1-EXP(-LN(2)/25))/(LN(2)/25)*Calculateur!BL152*Calculateur!BN152*VLOOKUP('Données projet'!$B$11,Paramètres!$A$1:$I$89,3,0)*0.475*44/12</f>
        <v>0.41640392910137808</v>
      </c>
      <c r="BR152" s="21">
        <f>EXP(-LN(2)/2)*BR151+(1-EXP(-LN(2)/2))/(LN(2)/2)*BL152*BO152*VLOOKUP('Données projet'!$B$11,Paramètres!$A$1:$I$89,3,0)*0.475*44/12</f>
        <v>2.6438071506637958E-17</v>
      </c>
      <c r="BS152" s="22">
        <f t="shared" si="117"/>
        <v>0.64457164750745743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4</v>
      </c>
      <c r="BY152" s="12">
        <f>IF('Données projet'!$A$114&gt;35,BY151+BX152-CG151,IF(A152&lt;'Données projet'!$A$114,$BV$205^A152,IF(A152='Données projet'!$A$114,'Données projet'!$B$114,BY151+BX152-CG151)))</f>
        <v>463.00000000000011</v>
      </c>
      <c r="BZ152" s="13">
        <f>BY152*VLOOKUP('Données projet'!$B$12,Paramètres!$A$1:$I$89,3,0)*VLOOKUP('Données projet'!$B$12,Paramètres!$A$1:$I$89,5,0)</f>
        <v>440.59080000000012</v>
      </c>
      <c r="CA152" s="13">
        <f t="shared" si="147"/>
        <v>99.958968491584699</v>
      </c>
      <c r="CB152" s="20">
        <f t="shared" si="118"/>
        <v>941.45751345617691</v>
      </c>
      <c r="CC152" s="59">
        <f t="shared" si="119"/>
        <v>1234.7908467895102</v>
      </c>
      <c r="CD152" s="59">
        <f ca="1">AVERAGE(OFFSET($CC$3,0,0,'Données projet'!$E$12+1,1))-AVERAGE(OFFSET($H$3,0,0,'Données projet'!$E$12+1,1))</f>
        <v>609.40025883662452</v>
      </c>
      <c r="CE152" s="59">
        <f t="shared" si="148"/>
        <v>294.48909834404577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0.14549963868506741</v>
      </c>
      <c r="CM152" s="21">
        <f>EXP(-LN(2)/2)*CM151+(1-EXP(-LN(2)/2))/(LN(2)/2)*CG152*CJ152*VLOOKUP('Données projet'!$B$12,Paramètres!$A$1:$I$89,3,0)*0.475*44/12</f>
        <v>9.6367820644706441E-18</v>
      </c>
      <c r="CN152" s="22">
        <f t="shared" si="120"/>
        <v>0.14549963868506741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-1.1368683772161603E-13</v>
      </c>
      <c r="CU152" s="17">
        <f>CT152*VLOOKUP('Données projet'!$B$13,Paramètres!$A$1:$I$89,3,0)*VLOOKUP('Données projet'!$B$13,Paramètres!$A$1:$I$89,5,0)</f>
        <v>-5.3205440053716299E-14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346.16623654404509</v>
      </c>
      <c r="CZ152" s="59">
        <f t="shared" si="150"/>
        <v>281.80933156559087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0.29694607893489128</v>
      </c>
      <c r="DG152" s="21">
        <f>EXP(-LN(2)/25)*DG151+(1-EXP(-LN(2)/25))/(LN(2)/25)*Calculateur!DB152*Calculateur!DD152*VLOOKUP('Données projet'!$B$13,Paramètres!$A$1:$I$89,3,0)*0.475*44/12</f>
        <v>0.28991392981835212</v>
      </c>
      <c r="DH152" s="21">
        <f>EXP(-LN(2)/2)*DH151+(1-EXP(-LN(2)/2))/(LN(2)/2)*DB152*DE152*VLOOKUP('Données projet'!$B$13,Paramètres!$A$1:$I$89,3,0)*0.475*44/12</f>
        <v>1.2060489175125562E-17</v>
      </c>
      <c r="DI152" s="22">
        <f t="shared" si="123"/>
        <v>0.5868600087532434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6.2527760746888816E-13</v>
      </c>
      <c r="DP152" s="17">
        <f>DO152*VLOOKUP('Données projet'!$B$14,Paramètres!$A$1:$I$89,3,0)*VLOOKUP('Données projet'!$B$14,Paramètres!$A$1:$I$89,5,0)</f>
        <v>3.9017322706058616E-13</v>
      </c>
      <c r="DQ152" s="13">
        <f t="shared" si="151"/>
        <v>5.0025007393608908E-12</v>
      </c>
      <c r="DR152" s="20">
        <f t="shared" si="124"/>
        <v>9.3922404915174053E-12</v>
      </c>
      <c r="DS152" s="59">
        <f t="shared" si="125"/>
        <v>293.33333333334269</v>
      </c>
      <c r="DT152" s="59">
        <f ca="1">AVERAGE(OFFSET($DS$3,0,0,'Données projet'!$E$14+1,1))-AVERAGE(OFFSET($H$3,0,0,'Données projet'!$E$14+1,1))</f>
        <v>319.97171762304686</v>
      </c>
      <c r="DU152" s="59">
        <f t="shared" si="152"/>
        <v>337.89345858359621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0.65870391841370179</v>
      </c>
      <c r="EB152" s="21">
        <f>EXP(-LN(2)/25)*EB151+(1-EXP(-LN(2)/25))/(LN(2)/25)*Calculateur!DW152*Calculateur!DY152*VLOOKUP('Données projet'!$B$14,Paramètres!$A$1:$I$89,3,0)*0.475*44/12</f>
        <v>0.76719897922434299</v>
      </c>
      <c r="EC152" s="21">
        <f>EXP(-LN(2)/2)*EC151+(1-EXP(-LN(2)/2))/(LN(2)/2)*DW152*DZ152*VLOOKUP('Données projet'!$B$14,Paramètres!$A$1:$I$89,3,0)*0.475*44/12</f>
        <v>2.4766755591451978E-17</v>
      </c>
      <c r="ED152" s="22">
        <f t="shared" si="126"/>
        <v>1.4259028976380448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>
        <f>EJ152*VLOOKUP('Données projet'!$B$15,Paramètres!$A$1:$I$89,3,0)*VLOOKUP('Données projet'!$B$15,Paramètres!$A$1:$I$89,5,0)</f>
        <v>0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258.46015871559956</v>
      </c>
      <c r="EP152" s="59">
        <f t="shared" si="154"/>
        <v>280.26155987300996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0.58850198590637071</v>
      </c>
      <c r="EW152" s="21">
        <f>EXP(-LN(2)/25)*EW151+(1-EXP(-LN(2)/25))/(LN(2)/25)*Calculateur!ER152*Calculateur!ET152*VLOOKUP('Données projet'!$B$15,Paramètres!$A$1:$I$89,3,0)*0.475*44/12</f>
        <v>0.45508379526598319</v>
      </c>
      <c r="EX152" s="21">
        <f>EXP(-LN(2)/2)*EX151+(1-EXP(-LN(2)/2))/(LN(2)/2)*ER152*EU152*VLOOKUP('Données projet'!$B$15,Paramètres!$A$1:$I$89,3,0)*0.475*44/12</f>
        <v>6.6798754131606244E-18</v>
      </c>
      <c r="EY152" s="22">
        <f t="shared" si="129"/>
        <v>1.0435857811723539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243.00000000000017</v>
      </c>
      <c r="O153" s="13">
        <f>N153*VLOOKUP('Données projet'!$B$9,Paramètres!$A$1:$I$89,3,0)*VLOOKUP('Données projet'!$B$9,Paramètres!$A$1:$I$89,5,0)</f>
        <v>212.28480000000016</v>
      </c>
      <c r="P153" s="13">
        <f t="shared" si="141"/>
        <v>52.434557099704236</v>
      </c>
      <c r="Q153" s="20">
        <f t="shared" si="108"/>
        <v>461.0528802819851</v>
      </c>
      <c r="R153" s="59">
        <f t="shared" si="109"/>
        <v>754.38621361531841</v>
      </c>
      <c r="S153" s="59">
        <f ca="1">AVERAGE(OFFSET($R$3,0,0,'Données projet'!$E$9+1,1))-AVERAGE(OFFSET($H$3,0,0,'Données projet'!$E$9+1,1))</f>
        <v>368.41876532159154</v>
      </c>
      <c r="T153" s="59">
        <f t="shared" si="142"/>
        <v>369.39570124551125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0.57195381737361428</v>
      </c>
      <c r="AA153" s="21">
        <f>EXP(-LN(2)/25)*AA152+(1-EXP(-LN(2)/25))/(LN(2)/25)*Calculateur!V153*Calculateur!X153*VLOOKUP('Données projet'!$B$9,Paramètres!$A$1:$I$89,3,0)*0.475*44/12</f>
        <v>0.58228240053047842</v>
      </c>
      <c r="AB153" s="21">
        <f>EXP(-LN(2)/2)*AB152+(1-EXP(-LN(2)/2))/(LN(2)/2)*V153*Y153*VLOOKUP('Données projet'!$B$9,Paramètres!$A$1:$I$89,3,0)*0.475*44/12</f>
        <v>1.5413573769711866E-17</v>
      </c>
      <c r="AC153" s="22">
        <f t="shared" si="111"/>
        <v>1.1542362179040926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-5.1159076974727213E-13</v>
      </c>
      <c r="AJ153" s="13">
        <f>AI153*VLOOKUP('Données projet'!$B$10,Paramètres!$A$1:$I$89,3,0)*VLOOKUP('Données projet'!$B$10,Paramètres!$A$1:$I$89,5,0)</f>
        <v>-4.4692569645121704E-13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402.82278346470082</v>
      </c>
      <c r="AO153" s="59">
        <f t="shared" si="144"/>
        <v>440.17787299198977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0.33275976053246492</v>
      </c>
      <c r="AV153" s="21">
        <f>EXP(-LN(2)/25)*AV152+(1-EXP(-LN(2)/25))/(LN(2)/25)*Calculateur!AQ153*Calculateur!AS153*VLOOKUP('Données projet'!$B$10,Paramètres!$A$1:$I$89,3,0)*0.475*44/12</f>
        <v>0.80880312385377018</v>
      </c>
      <c r="AW153" s="21">
        <f>EXP(-LN(2)/2)*AW152+(1-EXP(-LN(2)/2))/(LN(2)/2)*AQ153*AT153*VLOOKUP('Données projet'!$B$10,Paramètres!$A$1:$I$89,3,0)*0.475*44/12</f>
        <v>2.2894708973057321E-17</v>
      </c>
      <c r="AX153" s="21">
        <f t="shared" si="114"/>
        <v>1.1415628843862351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-3.4106051316484809E-13</v>
      </c>
      <c r="BE153" s="13">
        <f>BD153*VLOOKUP('Données projet'!$B$11,Paramètres!$A$1:$I$89,3,0)*VLOOKUP('Données projet'!$B$11,Paramètres!$A$1:$I$89,5,0)</f>
        <v>-3.0859155231155454E-13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469.68830256438338</v>
      </c>
      <c r="BJ153" s="59">
        <f t="shared" si="146"/>
        <v>332.61387922152159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0.2236934886167026</v>
      </c>
      <c r="BQ153" s="21">
        <f>EXP(-LN(2)/25)*BQ152+(1-EXP(-LN(2)/25))/(LN(2)/25)*Calculateur!BL153*Calculateur!BN153*VLOOKUP('Données projet'!$B$11,Paramètres!$A$1:$I$89,3,0)*0.475*44/12</f>
        <v>0.40501734176236998</v>
      </c>
      <c r="BR153" s="21">
        <f>EXP(-LN(2)/2)*BR152+(1-EXP(-LN(2)/2))/(LN(2)/2)*BL153*BO153*VLOOKUP('Données projet'!$B$11,Paramètres!$A$1:$I$89,3,0)*0.475*44/12</f>
        <v>1.8694539643838543E-17</v>
      </c>
      <c r="BS153" s="22">
        <f t="shared" si="117"/>
        <v>0.6287108303790726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>
        <f>VLOOKUP(A153,'Données projet'!$A$113:$I$133,2,0)</f>
        <v>467</v>
      </c>
      <c r="BW153" s="12">
        <f>VLOOKUP(A153,'Données projet'!$A$113:$I$133,9,0)</f>
        <v>4</v>
      </c>
      <c r="BX153" s="12">
        <f t="array" ref="BX153">INDEX(BW:BW,MIN(IF(ISNUMBER(BW153:BW349),ROW(BW153:BW349),"")))</f>
        <v>4</v>
      </c>
      <c r="BY153" s="12">
        <f>IF('Données projet'!$A$114&gt;35,BY152+BX153-CG152,IF(A153&lt;'Données projet'!$A$114,$BV$205^A153,IF(A153='Données projet'!$A$114,'Données projet'!$B$114,BY152+BX153-CG152)))</f>
        <v>467.00000000000011</v>
      </c>
      <c r="BZ153" s="13">
        <f>BY153*VLOOKUP('Données projet'!$B$12,Paramètres!$A$1:$I$89,3,0)*VLOOKUP('Données projet'!$B$12,Paramètres!$A$1:$I$89,5,0)</f>
        <v>444.39720000000011</v>
      </c>
      <c r="CA153" s="13">
        <f t="shared" si="147"/>
        <v>100.72164215742576</v>
      </c>
      <c r="CB153" s="20">
        <f t="shared" si="118"/>
        <v>949.41531675751673</v>
      </c>
      <c r="CC153" s="59">
        <f t="shared" si="119"/>
        <v>1242.7486500908501</v>
      </c>
      <c r="CD153" s="59">
        <f ca="1">AVERAGE(OFFSET($CC$3,0,0,'Données projet'!$E$12+1,1))-AVERAGE(OFFSET($H$3,0,0,'Données projet'!$E$12+1,1))</f>
        <v>609.40025883662452</v>
      </c>
      <c r="CE153" s="59">
        <f t="shared" si="148"/>
        <v>294.48909834404577</v>
      </c>
      <c r="CF153" s="15">
        <f>IF(ISNA(VLOOKUP(A153,'Données projet'!$A$113:$I$133,3,0)),0,VLOOKUP(A153,'Données projet'!$A$113:$I$133,3,0))</f>
        <v>13</v>
      </c>
      <c r="CG153" s="15">
        <f>IF(ISNA(VLOOKUP(A153,'Données projet'!$A$113:$I$133,4,0)),0,VLOOKUP(A153,'Données projet'!$A$113:$I$133,4,0))</f>
        <v>467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0.14152094341373078</v>
      </c>
      <c r="CM153" s="21">
        <f>EXP(-LN(2)/2)*CM152+(1-EXP(-LN(2)/2))/(LN(2)/2)*CG153*CJ153*VLOOKUP('Données projet'!$B$12,Paramètres!$A$1:$I$89,3,0)*0.475*44/12</f>
        <v>6.8142339466040898E-18</v>
      </c>
      <c r="CN153" s="22">
        <f t="shared" si="120"/>
        <v>0.14152094341373078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-1.1368683772161603E-13</v>
      </c>
      <c r="CU153" s="17">
        <f>CT153*VLOOKUP('Données projet'!$B$13,Paramètres!$A$1:$I$89,3,0)*VLOOKUP('Données projet'!$B$13,Paramètres!$A$1:$I$89,5,0)</f>
        <v>-5.3205440053716299E-14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346.16623654404509</v>
      </c>
      <c r="CZ153" s="59">
        <f t="shared" si="150"/>
        <v>281.80933156559087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0.29112314744620216</v>
      </c>
      <c r="DG153" s="21">
        <f>EXP(-LN(2)/25)*DG152+(1-EXP(-LN(2)/25))/(LN(2)/25)*Calculateur!DB153*Calculateur!DD153*VLOOKUP('Données projet'!$B$13,Paramètres!$A$1:$I$89,3,0)*0.475*44/12</f>
        <v>0.28198621816155833</v>
      </c>
      <c r="DH153" s="21">
        <f>EXP(-LN(2)/2)*DH152+(1-EXP(-LN(2)/2))/(LN(2)/2)*DB153*DE153*VLOOKUP('Données projet'!$B$13,Paramètres!$A$1:$I$89,3,0)*0.475*44/12</f>
        <v>8.5280536801582359E-18</v>
      </c>
      <c r="DI153" s="22">
        <f t="shared" si="123"/>
        <v>0.57310936560776049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6.2527760746888816E-13</v>
      </c>
      <c r="DP153" s="17">
        <f>DO153*VLOOKUP('Données projet'!$B$14,Paramètres!$A$1:$I$89,3,0)*VLOOKUP('Données projet'!$B$14,Paramètres!$A$1:$I$89,5,0)</f>
        <v>3.9017322706058616E-13</v>
      </c>
      <c r="DQ153" s="13">
        <f t="shared" si="151"/>
        <v>5.0025007393608908E-12</v>
      </c>
      <c r="DR153" s="20">
        <f t="shared" si="124"/>
        <v>9.3922404915174053E-12</v>
      </c>
      <c r="DS153" s="59">
        <f t="shared" si="125"/>
        <v>293.33333333334269</v>
      </c>
      <c r="DT153" s="59">
        <f ca="1">AVERAGE(OFFSET($DS$3,0,0,'Données projet'!$E$14+1,1))-AVERAGE(OFFSET($H$3,0,0,'Données projet'!$E$14+1,1))</f>
        <v>319.97171762304686</v>
      </c>
      <c r="DU153" s="59">
        <f t="shared" si="152"/>
        <v>337.89345858359621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0.64578713634332785</v>
      </c>
      <c r="EB153" s="21">
        <f>EXP(-LN(2)/25)*EB152+(1-EXP(-LN(2)/25))/(LN(2)/25)*Calculateur!DW153*Calculateur!DY153*VLOOKUP('Données projet'!$B$14,Paramètres!$A$1:$I$89,3,0)*0.475*44/12</f>
        <v>0.74621988279221252</v>
      </c>
      <c r="EC153" s="21">
        <f>EXP(-LN(2)/2)*EC152+(1-EXP(-LN(2)/2))/(LN(2)/2)*DW153*DZ153*VLOOKUP('Données projet'!$B$14,Paramètres!$A$1:$I$89,3,0)*0.475*44/12</f>
        <v>1.7512740826705536E-17</v>
      </c>
      <c r="ED153" s="22">
        <f t="shared" si="126"/>
        <v>1.3920070191355403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>
        <f>EJ153*VLOOKUP('Données projet'!$B$15,Paramètres!$A$1:$I$89,3,0)*VLOOKUP('Données projet'!$B$15,Paramètres!$A$1:$I$89,5,0)</f>
        <v>0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258.46015871559956</v>
      </c>
      <c r="EP153" s="59">
        <f t="shared" si="154"/>
        <v>280.26155987300996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0.57696182091351478</v>
      </c>
      <c r="EW153" s="21">
        <f>EXP(-LN(2)/25)*EW152+(1-EXP(-LN(2)/25))/(LN(2)/25)*Calculateur!ER153*Calculateur!ET153*VLOOKUP('Données projet'!$B$15,Paramètres!$A$1:$I$89,3,0)*0.475*44/12</f>
        <v>0.44263950495261822</v>
      </c>
      <c r="EX153" s="21">
        <f>EXP(-LN(2)/2)*EX152+(1-EXP(-LN(2)/2))/(LN(2)/2)*ER153*EU153*VLOOKUP('Données projet'!$B$15,Paramètres!$A$1:$I$89,3,0)*0.475*44/12</f>
        <v>4.7233852021271683E-18</v>
      </c>
      <c r="EY153" s="22">
        <f t="shared" si="129"/>
        <v>1.0196013258661329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243.00000000000017</v>
      </c>
      <c r="O154" s="13">
        <f>N154*VLOOKUP('Données projet'!$B$9,Paramètres!$A$1:$I$89,3,0)*VLOOKUP('Données projet'!$B$9,Paramètres!$A$1:$I$89,5,0)</f>
        <v>212.28480000000016</v>
      </c>
      <c r="P154" s="13">
        <f t="shared" si="141"/>
        <v>52.434557099704236</v>
      </c>
      <c r="Q154" s="20">
        <f t="shared" ref="Q154:Q203" si="162">(O154+P154)*0.475*44/12</f>
        <v>461.0528802819851</v>
      </c>
      <c r="R154" s="59">
        <f t="shared" si="109"/>
        <v>754.38621361531841</v>
      </c>
      <c r="S154" s="59">
        <f ca="1">AVERAGE(OFFSET($R$3,0,0,'Données projet'!$E$9+1,1))-AVERAGE(OFFSET($H$3,0,0,'Données projet'!$E$9+1,1))</f>
        <v>368.41876532159154</v>
      </c>
      <c r="T154" s="59">
        <f t="shared" si="142"/>
        <v>369.39570124551125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0.56073815187229947</v>
      </c>
      <c r="AA154" s="21">
        <f>EXP(-LN(2)/25)*AA153+(1-EXP(-LN(2)/25))/(LN(2)/25)*Calculateur!V154*Calculateur!X154*VLOOKUP('Données projet'!$B$9,Paramètres!$A$1:$I$89,3,0)*0.475*44/12</f>
        <v>0.56635985766707186</v>
      </c>
      <c r="AB154" s="21">
        <f>EXP(-LN(2)/2)*AB153+(1-EXP(-LN(2)/2))/(LN(2)/2)*V154*Y154*VLOOKUP('Données projet'!$B$9,Paramètres!$A$1:$I$89,3,0)*0.475*44/12</f>
        <v>1.0899042534882357E-17</v>
      </c>
      <c r="AC154" s="22">
        <f t="shared" ref="AC154:AC203" si="163">SUM(Z154:AB154)</f>
        <v>1.1270980095393712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-5.1159076974727213E-13</v>
      </c>
      <c r="AJ154" s="13">
        <f>AI154*VLOOKUP('Données projet'!$B$10,Paramètres!$A$1:$I$89,3,0)*VLOOKUP('Données projet'!$B$10,Paramètres!$A$1:$I$89,5,0)</f>
        <v>-4.4692569645121704E-13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402.82278346470082</v>
      </c>
      <c r="AO154" s="59">
        <f t="shared" si="144"/>
        <v>440.17787299198977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0.32623454459183626</v>
      </c>
      <c r="AV154" s="21">
        <f>EXP(-LN(2)/25)*AV153+(1-EXP(-LN(2)/25))/(LN(2)/25)*Calculateur!AQ154*Calculateur!AS154*VLOOKUP('Données projet'!$B$10,Paramètres!$A$1:$I$89,3,0)*0.475*44/12</f>
        <v>0.78668635989888114</v>
      </c>
      <c r="AW154" s="21">
        <f>EXP(-LN(2)/2)*AW153+(1-EXP(-LN(2)/2))/(LN(2)/2)*AQ154*AT154*VLOOKUP('Données projet'!$B$10,Paramètres!$A$1:$I$89,3,0)*0.475*44/12</f>
        <v>1.6189003968141329E-17</v>
      </c>
      <c r="AX154" s="21">
        <f t="shared" ref="AX154:AX203" si="166">SUM(AU154:AW154)</f>
        <v>1.1129209044907173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-3.4106051316484809E-13</v>
      </c>
      <c r="BE154" s="13">
        <f>BD154*VLOOKUP('Données projet'!$B$11,Paramètres!$A$1:$I$89,3,0)*VLOOKUP('Données projet'!$B$11,Paramètres!$A$1:$I$89,5,0)</f>
        <v>-3.0859155231155454E-13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469.68830256438338</v>
      </c>
      <c r="BJ154" s="59">
        <f t="shared" si="146"/>
        <v>332.61387922152159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0.21930699574448484</v>
      </c>
      <c r="BQ154" s="21">
        <f>EXP(-LN(2)/25)*BQ153+(1-EXP(-LN(2)/25))/(LN(2)/25)*Calculateur!BL154*Calculateur!BN154*VLOOKUP('Données projet'!$B$11,Paramètres!$A$1:$I$89,3,0)*0.475*44/12</f>
        <v>0.39394212125294165</v>
      </c>
      <c r="BR154" s="21">
        <f>EXP(-LN(2)/2)*BR153+(1-EXP(-LN(2)/2))/(LN(2)/2)*BL154*BO154*VLOOKUP('Données projet'!$B$11,Paramètres!$A$1:$I$89,3,0)*0.475*44/12</f>
        <v>1.3219035753318979E-17</v>
      </c>
      <c r="BS154" s="22">
        <f t="shared" ref="BS154:BS203" si="169">SUM(BP154:BR154)</f>
        <v>0.61324911699742646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1.1368683772161603E-13</v>
      </c>
      <c r="BZ154" s="13">
        <f>BY154*VLOOKUP('Données projet'!$B$12,Paramètres!$A$1:$I$89,3,0)*VLOOKUP('Données projet'!$B$12,Paramètres!$A$1:$I$89,5,0)</f>
        <v>1.0818439477588981E-13</v>
      </c>
      <c r="CA154" s="13">
        <f t="shared" ref="CA154:CA203" si="170">EXP(-1.0587+0.8836*LN(BZ154)+0.284)</f>
        <v>1.6104228458716316E-12</v>
      </c>
      <c r="CB154" s="20">
        <f t="shared" ref="CB154:CB203" si="171">(BZ154+CA154)*0.475*44/12</f>
        <v>2.9932409441277661E-12</v>
      </c>
      <c r="CC154" s="59">
        <f t="shared" si="119"/>
        <v>293.33333333333633</v>
      </c>
      <c r="CD154" s="59">
        <f ca="1">AVERAGE(OFFSET($CC$3,0,0,'Données projet'!$E$12+1,1))-AVERAGE(OFFSET($H$3,0,0,'Données projet'!$E$12+1,1))</f>
        <v>609.40025883662452</v>
      </c>
      <c r="CE154" s="59">
        <f t="shared" si="148"/>
        <v>294.48909834404577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0.13765104577381934</v>
      </c>
      <c r="CM154" s="21">
        <f>EXP(-LN(2)/2)*CM153+(1-EXP(-LN(2)/2))/(LN(2)/2)*CG154*CJ154*VLOOKUP('Données projet'!$B$12,Paramètres!$A$1:$I$89,3,0)*0.475*44/12</f>
        <v>4.8183910322353228E-18</v>
      </c>
      <c r="CN154" s="22">
        <f t="shared" ref="CN154:CN203" si="172">SUM(CK154:CM154)</f>
        <v>0.13765104577381934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-1.1368683772161603E-13</v>
      </c>
      <c r="CU154" s="17">
        <f>CT154*VLOOKUP('Données projet'!$B$13,Paramètres!$A$1:$I$89,3,0)*VLOOKUP('Données projet'!$B$13,Paramètres!$A$1:$I$89,5,0)</f>
        <v>-5.3205440053716299E-14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346.16623654404509</v>
      </c>
      <c r="CZ154" s="59">
        <f t="shared" si="150"/>
        <v>281.80933156559087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0.28541440009236874</v>
      </c>
      <c r="DG154" s="21">
        <f>EXP(-LN(2)/25)*DG153+(1-EXP(-LN(2)/25))/(LN(2)/25)*Calculateur!DB154*Calculateur!DD154*VLOOKUP('Données projet'!$B$13,Paramètres!$A$1:$I$89,3,0)*0.475*44/12</f>
        <v>0.27427529019691982</v>
      </c>
      <c r="DH154" s="21">
        <f>EXP(-LN(2)/2)*DH153+(1-EXP(-LN(2)/2))/(LN(2)/2)*DB154*DE154*VLOOKUP('Données projet'!$B$13,Paramètres!$A$1:$I$89,3,0)*0.475*44/12</f>
        <v>6.0302445875627812E-18</v>
      </c>
      <c r="DI154" s="22">
        <f t="shared" ref="DI154:DI203" si="175">SUM(DF154:DH154)</f>
        <v>0.5596896902892885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6.2527760746888816E-13</v>
      </c>
      <c r="DP154" s="17">
        <f>DO154*VLOOKUP('Données projet'!$B$14,Paramètres!$A$1:$I$89,3,0)*VLOOKUP('Données projet'!$B$14,Paramètres!$A$1:$I$89,5,0)</f>
        <v>3.9017322706058616E-13</v>
      </c>
      <c r="DQ154" s="13">
        <f t="shared" ref="DQ154:DQ203" si="176">EXP(-1.0587+0.8836*LN(DP154)+0.284)</f>
        <v>5.0025007393608908E-12</v>
      </c>
      <c r="DR154" s="20">
        <f t="shared" ref="DR154:DR203" si="177">(DP154+DQ154)*0.475*44/12</f>
        <v>9.3922404915174053E-12</v>
      </c>
      <c r="DS154" s="59">
        <f t="shared" si="125"/>
        <v>293.33333333334269</v>
      </c>
      <c r="DT154" s="59">
        <f ca="1">AVERAGE(OFFSET($DS$3,0,0,'Données projet'!$E$14+1,1))-AVERAGE(OFFSET($H$3,0,0,'Données projet'!$E$14+1,1))</f>
        <v>319.97171762304686</v>
      </c>
      <c r="DU154" s="59">
        <f t="shared" si="152"/>
        <v>337.89345858359621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0.63312364449089487</v>
      </c>
      <c r="EB154" s="21">
        <f>EXP(-LN(2)/25)*EB153+(1-EXP(-LN(2)/25))/(LN(2)/25)*Calculateur!DW154*Calculateur!DY154*VLOOKUP('Données projet'!$B$14,Paramètres!$A$1:$I$89,3,0)*0.475*44/12</f>
        <v>0.72581446085526136</v>
      </c>
      <c r="EC154" s="21">
        <f>EXP(-LN(2)/2)*EC153+(1-EXP(-LN(2)/2))/(LN(2)/2)*DW154*DZ154*VLOOKUP('Données projet'!$B$14,Paramètres!$A$1:$I$89,3,0)*0.475*44/12</f>
        <v>1.2383377795725989E-17</v>
      </c>
      <c r="ED154" s="22">
        <f t="shared" ref="ED154:ED203" si="178">SUM(EA154:EC154)</f>
        <v>1.3589381053461562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>
        <f>EJ154*VLOOKUP('Données projet'!$B$15,Paramètres!$A$1:$I$89,3,0)*VLOOKUP('Données projet'!$B$15,Paramètres!$A$1:$I$89,5,0)</f>
        <v>0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258.46015871559956</v>
      </c>
      <c r="EP154" s="59">
        <f t="shared" si="154"/>
        <v>280.26155987300996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0.56564795151736313</v>
      </c>
      <c r="EW154" s="21">
        <f>EXP(-LN(2)/25)*EW153+(1-EXP(-LN(2)/25))/(LN(2)/25)*Calculateur!ER154*Calculateur!ET154*VLOOKUP('Données projet'!$B$15,Paramètres!$A$1:$I$89,3,0)*0.475*44/12</f>
        <v>0.43053550441228899</v>
      </c>
      <c r="EX154" s="21">
        <f>EXP(-LN(2)/2)*EX153+(1-EXP(-LN(2)/2))/(LN(2)/2)*ER154*EU154*VLOOKUP('Données projet'!$B$15,Paramètres!$A$1:$I$89,3,0)*0.475*44/12</f>
        <v>3.3399377065803122E-18</v>
      </c>
      <c r="EY154" s="22">
        <f t="shared" ref="EY154:EY203" si="181">SUM(EV154:EX154)</f>
        <v>0.99618345592965207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243.00000000000017</v>
      </c>
      <c r="O155" s="13">
        <f>N155*VLOOKUP('Données projet'!$B$9,Paramètres!$A$1:$I$89,3,0)*VLOOKUP('Données projet'!$B$9,Paramètres!$A$1:$I$89,5,0)</f>
        <v>212.28480000000016</v>
      </c>
      <c r="P155" s="13">
        <f t="shared" si="141"/>
        <v>52.434557099704236</v>
      </c>
      <c r="Q155" s="20">
        <f t="shared" si="162"/>
        <v>461.0528802819851</v>
      </c>
      <c r="R155" s="59">
        <f t="shared" si="109"/>
        <v>754.38621361531841</v>
      </c>
      <c r="S155" s="59">
        <f ca="1">AVERAGE(OFFSET($R$3,0,0,'Données projet'!$E$9+1,1))-AVERAGE(OFFSET($H$3,0,0,'Données projet'!$E$9+1,1))</f>
        <v>368.41876532159154</v>
      </c>
      <c r="T155" s="59">
        <f t="shared" si="142"/>
        <v>369.39570124551125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0.54974241873058505</v>
      </c>
      <c r="AA155" s="21">
        <f>EXP(-LN(2)/25)*AA154+(1-EXP(-LN(2)/25))/(LN(2)/25)*Calculateur!V155*Calculateur!X155*VLOOKUP('Données projet'!$B$9,Paramètres!$A$1:$I$89,3,0)*0.475*44/12</f>
        <v>0.55087271757559531</v>
      </c>
      <c r="AB155" s="21">
        <f>EXP(-LN(2)/2)*AB154+(1-EXP(-LN(2)/2))/(LN(2)/2)*V155*Y155*VLOOKUP('Données projet'!$B$9,Paramètres!$A$1:$I$89,3,0)*0.475*44/12</f>
        <v>7.7067868848559331E-18</v>
      </c>
      <c r="AC155" s="22">
        <f t="shared" si="163"/>
        <v>1.1006151363061805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-5.1159076974727213E-13</v>
      </c>
      <c r="AJ155" s="13">
        <f>AI155*VLOOKUP('Données projet'!$B$10,Paramètres!$A$1:$I$89,3,0)*VLOOKUP('Données projet'!$B$10,Paramètres!$A$1:$I$89,5,0)</f>
        <v>-4.4692569645121704E-13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402.82278346470082</v>
      </c>
      <c r="AO155" s="59">
        <f t="shared" si="144"/>
        <v>440.17787299198977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0.31983728415581458</v>
      </c>
      <c r="AV155" s="21">
        <f>EXP(-LN(2)/25)*AV154+(1-EXP(-LN(2)/25))/(LN(2)/25)*Calculateur!AQ155*Calculateur!AS155*VLOOKUP('Données projet'!$B$10,Paramètres!$A$1:$I$89,3,0)*0.475*44/12</f>
        <v>0.76517438001740856</v>
      </c>
      <c r="AW155" s="21">
        <f>EXP(-LN(2)/2)*AW154+(1-EXP(-LN(2)/2))/(LN(2)/2)*AQ155*AT155*VLOOKUP('Données projet'!$B$10,Paramètres!$A$1:$I$89,3,0)*0.475*44/12</f>
        <v>1.144735448652866E-17</v>
      </c>
      <c r="AX155" s="21">
        <f t="shared" si="166"/>
        <v>1.0850116641732233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-3.4106051316484809E-13</v>
      </c>
      <c r="BE155" s="13">
        <f>BD155*VLOOKUP('Données projet'!$B$11,Paramètres!$A$1:$I$89,3,0)*VLOOKUP('Données projet'!$B$11,Paramètres!$A$1:$I$89,5,0)</f>
        <v>-3.0859155231155454E-13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469.68830256438338</v>
      </c>
      <c r="BJ155" s="59">
        <f t="shared" si="146"/>
        <v>332.61387922152159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0.2150065193219948</v>
      </c>
      <c r="BQ155" s="21">
        <f>EXP(-LN(2)/25)*BQ154+(1-EXP(-LN(2)/25))/(LN(2)/25)*Calculateur!BL155*Calculateur!BN155*VLOOKUP('Données projet'!$B$11,Paramètres!$A$1:$I$89,3,0)*0.475*44/12</f>
        <v>0.38316975323076419</v>
      </c>
      <c r="BR155" s="21">
        <f>EXP(-LN(2)/2)*BR154+(1-EXP(-LN(2)/2))/(LN(2)/2)*BL155*BO155*VLOOKUP('Données projet'!$B$11,Paramètres!$A$1:$I$89,3,0)*0.475*44/12</f>
        <v>9.3472698219192717E-18</v>
      </c>
      <c r="BS155" s="22">
        <f t="shared" si="169"/>
        <v>0.59817627255275896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1.1368683772161603E-13</v>
      </c>
      <c r="BZ155" s="13">
        <f>BY155*VLOOKUP('Données projet'!$B$12,Paramètres!$A$1:$I$89,3,0)*VLOOKUP('Données projet'!$B$12,Paramètres!$A$1:$I$89,5,0)</f>
        <v>1.0818439477588981E-13</v>
      </c>
      <c r="CA155" s="13">
        <f t="shared" si="170"/>
        <v>1.6104228458716316E-12</v>
      </c>
      <c r="CB155" s="20">
        <f t="shared" si="171"/>
        <v>2.9932409441277661E-12</v>
      </c>
      <c r="CC155" s="59">
        <f t="shared" si="119"/>
        <v>293.33333333333633</v>
      </c>
      <c r="CD155" s="59">
        <f ca="1">AVERAGE(OFFSET($CC$3,0,0,'Données projet'!$E$12+1,1))-AVERAGE(OFFSET($H$3,0,0,'Données projet'!$E$12+1,1))</f>
        <v>609.40025883662452</v>
      </c>
      <c r="CE155" s="59">
        <f t="shared" si="148"/>
        <v>294.48909834404577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0.13388697068838035</v>
      </c>
      <c r="CM155" s="21">
        <f>EXP(-LN(2)/2)*CM154+(1-EXP(-LN(2)/2))/(LN(2)/2)*CG155*CJ155*VLOOKUP('Données projet'!$B$12,Paramètres!$A$1:$I$89,3,0)*0.475*44/12</f>
        <v>3.4071169733020457E-18</v>
      </c>
      <c r="CN155" s="22">
        <f t="shared" si="172"/>
        <v>0.13388697068838035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-1.1368683772161603E-13</v>
      </c>
      <c r="CU155" s="17">
        <f>CT155*VLOOKUP('Données projet'!$B$13,Paramètres!$A$1:$I$89,3,0)*VLOOKUP('Données projet'!$B$13,Paramètres!$A$1:$I$89,5,0)</f>
        <v>-5.3205440053716299E-14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346.16623654404509</v>
      </c>
      <c r="CZ155" s="59">
        <f t="shared" si="150"/>
        <v>281.80933156559087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0.27981759779215193</v>
      </c>
      <c r="DG155" s="21">
        <f>EXP(-LN(2)/25)*DG154+(1-EXP(-LN(2)/25))/(LN(2)/25)*Calculateur!DB155*Calculateur!DD155*VLOOKUP('Données projet'!$B$13,Paramètres!$A$1:$I$89,3,0)*0.475*44/12</f>
        <v>0.26677521796297438</v>
      </c>
      <c r="DH155" s="21">
        <f>EXP(-LN(2)/2)*DH154+(1-EXP(-LN(2)/2))/(LN(2)/2)*DB155*DE155*VLOOKUP('Données projet'!$B$13,Paramètres!$A$1:$I$89,3,0)*0.475*44/12</f>
        <v>4.264026840079118E-18</v>
      </c>
      <c r="DI155" s="22">
        <f t="shared" si="175"/>
        <v>0.5465928157551263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6.2527760746888816E-13</v>
      </c>
      <c r="DP155" s="17">
        <f>DO155*VLOOKUP('Données projet'!$B$14,Paramètres!$A$1:$I$89,3,0)*VLOOKUP('Données projet'!$B$14,Paramètres!$A$1:$I$89,5,0)</f>
        <v>3.9017322706058616E-13</v>
      </c>
      <c r="DQ155" s="13">
        <f t="shared" si="176"/>
        <v>5.0025007393608908E-12</v>
      </c>
      <c r="DR155" s="20">
        <f t="shared" si="177"/>
        <v>9.3922404915174053E-12</v>
      </c>
      <c r="DS155" s="59">
        <f t="shared" si="125"/>
        <v>293.33333333334269</v>
      </c>
      <c r="DT155" s="59">
        <f ca="1">AVERAGE(OFFSET($DS$3,0,0,'Données projet'!$E$14+1,1))-AVERAGE(OFFSET($H$3,0,0,'Données projet'!$E$14+1,1))</f>
        <v>319.97171762304686</v>
      </c>
      <c r="DU155" s="59">
        <f t="shared" si="152"/>
        <v>337.89345858359621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0.62070847598972068</v>
      </c>
      <c r="EB155" s="21">
        <f>EXP(-LN(2)/25)*EB154+(1-EXP(-LN(2)/25))/(LN(2)/25)*Calculateur!DW155*Calculateur!DY155*VLOOKUP('Données projet'!$B$14,Paramètres!$A$1:$I$89,3,0)*0.475*44/12</f>
        <v>0.70596702625425056</v>
      </c>
      <c r="EC155" s="21">
        <f>EXP(-LN(2)/2)*EC154+(1-EXP(-LN(2)/2))/(LN(2)/2)*DW155*DZ155*VLOOKUP('Données projet'!$B$14,Paramètres!$A$1:$I$89,3,0)*0.475*44/12</f>
        <v>8.7563704133527681E-18</v>
      </c>
      <c r="ED155" s="22">
        <f t="shared" si="178"/>
        <v>1.3266755022439711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>
        <f>EJ155*VLOOKUP('Données projet'!$B$15,Paramètres!$A$1:$I$89,3,0)*VLOOKUP('Données projet'!$B$15,Paramètres!$A$1:$I$89,5,0)</f>
        <v>0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258.46015871559956</v>
      </c>
      <c r="EP155" s="59">
        <f t="shared" si="154"/>
        <v>280.26155987300996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0.554555940199291</v>
      </c>
      <c r="EW155" s="21">
        <f>EXP(-LN(2)/25)*EW154+(1-EXP(-LN(2)/25))/(LN(2)/25)*Calculateur!ER155*Calculateur!ET155*VLOOKUP('Données projet'!$B$15,Paramètres!$A$1:$I$89,3,0)*0.475*44/12</f>
        <v>0.41876248840325675</v>
      </c>
      <c r="EX155" s="21">
        <f>EXP(-LN(2)/2)*EX154+(1-EXP(-LN(2)/2))/(LN(2)/2)*ER155*EU155*VLOOKUP('Données projet'!$B$15,Paramètres!$A$1:$I$89,3,0)*0.475*44/12</f>
        <v>2.3616926010635842E-18</v>
      </c>
      <c r="EY155" s="22">
        <f t="shared" si="181"/>
        <v>0.9733184286025478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243.00000000000017</v>
      </c>
      <c r="O156" s="13">
        <f>N156*VLOOKUP('Données projet'!$B$9,Paramètres!$A$1:$I$89,3,0)*VLOOKUP('Données projet'!$B$9,Paramètres!$A$1:$I$89,5,0)</f>
        <v>212.28480000000016</v>
      </c>
      <c r="P156" s="13">
        <f t="shared" si="141"/>
        <v>52.434557099704236</v>
      </c>
      <c r="Q156" s="20">
        <f t="shared" si="162"/>
        <v>461.0528802819851</v>
      </c>
      <c r="R156" s="59">
        <f t="shared" si="109"/>
        <v>754.38621361531841</v>
      </c>
      <c r="S156" s="59">
        <f ca="1">AVERAGE(OFFSET($R$3,0,0,'Données projet'!$E$9+1,1))-AVERAGE(OFFSET($H$3,0,0,'Données projet'!$E$9+1,1))</f>
        <v>368.41876532159154</v>
      </c>
      <c r="T156" s="59">
        <f t="shared" si="142"/>
        <v>369.39570124551125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0.53896230520904465</v>
      </c>
      <c r="AA156" s="21">
        <f>EXP(-LN(2)/25)*AA155+(1-EXP(-LN(2)/25))/(LN(2)/25)*Calculateur!V156*Calculateur!X156*VLOOKUP('Données projet'!$B$9,Paramètres!$A$1:$I$89,3,0)*0.475*44/12</f>
        <v>0.53580907414435353</v>
      </c>
      <c r="AB156" s="21">
        <f>EXP(-LN(2)/2)*AB155+(1-EXP(-LN(2)/2))/(LN(2)/2)*V156*Y156*VLOOKUP('Données projet'!$B$9,Paramètres!$A$1:$I$89,3,0)*0.475*44/12</f>
        <v>5.4495212674411786E-18</v>
      </c>
      <c r="AC156" s="22">
        <f t="shared" si="163"/>
        <v>1.0747713793533982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-5.1159076974727213E-13</v>
      </c>
      <c r="AJ156" s="13">
        <f>AI156*VLOOKUP('Données projet'!$B$10,Paramètres!$A$1:$I$89,3,0)*VLOOKUP('Données projet'!$B$10,Paramètres!$A$1:$I$89,5,0)</f>
        <v>-4.4692569645121704E-13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402.82278346470082</v>
      </c>
      <c r="AO156" s="59">
        <f t="shared" si="144"/>
        <v>440.17787299198977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0.31356547009499969</v>
      </c>
      <c r="AV156" s="21">
        <f>EXP(-LN(2)/25)*AV155+(1-EXP(-LN(2)/25))/(LN(2)/25)*Calculateur!AQ156*Calculateur!AS156*VLOOKUP('Données projet'!$B$10,Paramètres!$A$1:$I$89,3,0)*0.475*44/12</f>
        <v>0.74425064635706073</v>
      </c>
      <c r="AW156" s="21">
        <f>EXP(-LN(2)/2)*AW155+(1-EXP(-LN(2)/2))/(LN(2)/2)*AQ156*AT156*VLOOKUP('Données projet'!$B$10,Paramètres!$A$1:$I$89,3,0)*0.475*44/12</f>
        <v>8.0945019840706644E-18</v>
      </c>
      <c r="AX156" s="21">
        <f t="shared" si="166"/>
        <v>1.0578161164520603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-3.4106051316484809E-13</v>
      </c>
      <c r="BE156" s="13">
        <f>BD156*VLOOKUP('Données projet'!$B$11,Paramètres!$A$1:$I$89,3,0)*VLOOKUP('Données projet'!$B$11,Paramètres!$A$1:$I$89,5,0)</f>
        <v>-3.0859155231155454E-13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469.68830256438338</v>
      </c>
      <c r="BJ156" s="59">
        <f t="shared" si="146"/>
        <v>332.61387922152159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0.21079037261911818</v>
      </c>
      <c r="BQ156" s="21">
        <f>EXP(-LN(2)/25)*BQ155+(1-EXP(-LN(2)/25))/(LN(2)/25)*Calculateur!BL156*Calculateur!BN156*VLOOKUP('Données projet'!$B$11,Paramètres!$A$1:$I$89,3,0)*0.475*44/12</f>
        <v>0.37269195617864737</v>
      </c>
      <c r="BR156" s="21">
        <f>EXP(-LN(2)/2)*BR155+(1-EXP(-LN(2)/2))/(LN(2)/2)*BL156*BO156*VLOOKUP('Données projet'!$B$11,Paramètres!$A$1:$I$89,3,0)*0.475*44/12</f>
        <v>6.6095178766594896E-18</v>
      </c>
      <c r="BS156" s="22">
        <f t="shared" si="169"/>
        <v>0.58348232879776551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1.1368683772161603E-13</v>
      </c>
      <c r="BZ156" s="13">
        <f>BY156*VLOOKUP('Données projet'!$B$12,Paramètres!$A$1:$I$89,3,0)*VLOOKUP('Données projet'!$B$12,Paramètres!$A$1:$I$89,5,0)</f>
        <v>1.0818439477588981E-13</v>
      </c>
      <c r="CA156" s="13">
        <f t="shared" si="170"/>
        <v>1.6104228458716316E-12</v>
      </c>
      <c r="CB156" s="20">
        <f t="shared" si="171"/>
        <v>2.9932409441277661E-12</v>
      </c>
      <c r="CC156" s="59">
        <f t="shared" si="119"/>
        <v>293.33333333333633</v>
      </c>
      <c r="CD156" s="59">
        <f ca="1">AVERAGE(OFFSET($CC$3,0,0,'Données projet'!$E$12+1,1))-AVERAGE(OFFSET($H$3,0,0,'Données projet'!$E$12+1,1))</f>
        <v>609.40025883662452</v>
      </c>
      <c r="CE156" s="59">
        <f t="shared" si="148"/>
        <v>294.48909834404577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0.1302258244340968</v>
      </c>
      <c r="CM156" s="21">
        <f>EXP(-LN(2)/2)*CM155+(1-EXP(-LN(2)/2))/(LN(2)/2)*CG156*CJ156*VLOOKUP('Données projet'!$B$12,Paramètres!$A$1:$I$89,3,0)*0.475*44/12</f>
        <v>2.4091955161176618E-18</v>
      </c>
      <c r="CN156" s="22">
        <f t="shared" si="172"/>
        <v>0.1302258244340968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-1.1368683772161603E-13</v>
      </c>
      <c r="CU156" s="17">
        <f>CT156*VLOOKUP('Données projet'!$B$13,Paramètres!$A$1:$I$89,3,0)*VLOOKUP('Données projet'!$B$13,Paramètres!$A$1:$I$89,5,0)</f>
        <v>-5.3205440053716299E-14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346.16623654404509</v>
      </c>
      <c r="CZ156" s="59">
        <f t="shared" si="150"/>
        <v>281.80933156559087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0.27433054537133006</v>
      </c>
      <c r="DG156" s="21">
        <f>EXP(-LN(2)/25)*DG155+(1-EXP(-LN(2)/25))/(LN(2)/25)*Calculateur!DB156*Calculateur!DD156*VLOOKUP('Données projet'!$B$13,Paramètres!$A$1:$I$89,3,0)*0.475*44/12</f>
        <v>0.25948023559867783</v>
      </c>
      <c r="DH156" s="21">
        <f>EXP(-LN(2)/2)*DH155+(1-EXP(-LN(2)/2))/(LN(2)/2)*DB156*DE156*VLOOKUP('Données projet'!$B$13,Paramètres!$A$1:$I$89,3,0)*0.475*44/12</f>
        <v>3.0151222937813906E-18</v>
      </c>
      <c r="DI156" s="22">
        <f t="shared" si="175"/>
        <v>0.53381078097000789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6.2527760746888816E-13</v>
      </c>
      <c r="DP156" s="17">
        <f>DO156*VLOOKUP('Données projet'!$B$14,Paramètres!$A$1:$I$89,3,0)*VLOOKUP('Données projet'!$B$14,Paramètres!$A$1:$I$89,5,0)</f>
        <v>3.9017322706058616E-13</v>
      </c>
      <c r="DQ156" s="13">
        <f t="shared" si="176"/>
        <v>5.0025007393608908E-12</v>
      </c>
      <c r="DR156" s="20">
        <f t="shared" si="177"/>
        <v>9.3922404915174053E-12</v>
      </c>
      <c r="DS156" s="59">
        <f t="shared" si="125"/>
        <v>293.33333333334269</v>
      </c>
      <c r="DT156" s="59">
        <f ca="1">AVERAGE(OFFSET($DS$3,0,0,'Données projet'!$E$14+1,1))-AVERAGE(OFFSET($H$3,0,0,'Données projet'!$E$14+1,1))</f>
        <v>319.97171762304686</v>
      </c>
      <c r="DU156" s="59">
        <f t="shared" si="152"/>
        <v>337.89345858359621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0.60853676137034951</v>
      </c>
      <c r="EB156" s="21">
        <f>EXP(-LN(2)/25)*EB155+(1-EXP(-LN(2)/25))/(LN(2)/25)*Calculateur!DW156*Calculateur!DY156*VLOOKUP('Données projet'!$B$14,Paramètres!$A$1:$I$89,3,0)*0.475*44/12</f>
        <v>0.68666232079613565</v>
      </c>
      <c r="EC156" s="21">
        <f>EXP(-LN(2)/2)*EC155+(1-EXP(-LN(2)/2))/(LN(2)/2)*DW156*DZ156*VLOOKUP('Données projet'!$B$14,Paramètres!$A$1:$I$89,3,0)*0.475*44/12</f>
        <v>6.1916888978629946E-18</v>
      </c>
      <c r="ED156" s="22">
        <f t="shared" si="178"/>
        <v>1.2951990821664852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>
        <f>EJ156*VLOOKUP('Données projet'!$B$15,Paramètres!$A$1:$I$89,3,0)*VLOOKUP('Données projet'!$B$15,Paramètres!$A$1:$I$89,5,0)</f>
        <v>0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258.46015871559956</v>
      </c>
      <c r="EP156" s="59">
        <f t="shared" si="154"/>
        <v>280.26155987300996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0.54368143645770739</v>
      </c>
      <c r="EW156" s="21">
        <f>EXP(-LN(2)/25)*EW155+(1-EXP(-LN(2)/25))/(LN(2)/25)*Calculateur!ER156*Calculateur!ET156*VLOOKUP('Données projet'!$B$15,Paramètres!$A$1:$I$89,3,0)*0.475*44/12</f>
        <v>0.4073114061361075</v>
      </c>
      <c r="EX156" s="21">
        <f>EXP(-LN(2)/2)*EX155+(1-EXP(-LN(2)/2))/(LN(2)/2)*ER156*EU156*VLOOKUP('Données projet'!$B$15,Paramètres!$A$1:$I$89,3,0)*0.475*44/12</f>
        <v>1.6699688532901561E-18</v>
      </c>
      <c r="EY156" s="22">
        <f t="shared" si="181"/>
        <v>0.95099284259381489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243.00000000000017</v>
      </c>
      <c r="O157" s="13">
        <f>N157*VLOOKUP('Données projet'!$B$9,Paramètres!$A$1:$I$89,3,0)*VLOOKUP('Données projet'!$B$9,Paramètres!$A$1:$I$89,5,0)</f>
        <v>212.28480000000016</v>
      </c>
      <c r="P157" s="13">
        <f t="shared" si="141"/>
        <v>52.434557099704236</v>
      </c>
      <c r="Q157" s="20">
        <f t="shared" si="162"/>
        <v>461.0528802819851</v>
      </c>
      <c r="R157" s="59">
        <f t="shared" si="109"/>
        <v>754.38621361531841</v>
      </c>
      <c r="S157" s="59">
        <f ca="1">AVERAGE(OFFSET($R$3,0,0,'Données projet'!$E$9+1,1))-AVERAGE(OFFSET($H$3,0,0,'Données projet'!$E$9+1,1))</f>
        <v>368.41876532159154</v>
      </c>
      <c r="T157" s="59">
        <f t="shared" si="142"/>
        <v>369.39570124551125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0.52839358313844165</v>
      </c>
      <c r="AA157" s="21">
        <f>EXP(-LN(2)/25)*AA156+(1-EXP(-LN(2)/25))/(LN(2)/25)*Calculateur!V157*Calculateur!X157*VLOOKUP('Données projet'!$B$9,Paramètres!$A$1:$I$89,3,0)*0.475*44/12</f>
        <v>0.52115734683490156</v>
      </c>
      <c r="AB157" s="21">
        <f>EXP(-LN(2)/2)*AB156+(1-EXP(-LN(2)/2))/(LN(2)/2)*V157*Y157*VLOOKUP('Données projet'!$B$9,Paramètres!$A$1:$I$89,3,0)*0.475*44/12</f>
        <v>3.8533934424279666E-18</v>
      </c>
      <c r="AC157" s="22">
        <f t="shared" si="163"/>
        <v>1.0495509299733432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-5.1159076974727213E-13</v>
      </c>
      <c r="AJ157" s="13">
        <f>AI157*VLOOKUP('Données projet'!$B$10,Paramètres!$A$1:$I$89,3,0)*VLOOKUP('Données projet'!$B$10,Paramètres!$A$1:$I$89,5,0)</f>
        <v>-4.4692569645121704E-13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402.82278346470082</v>
      </c>
      <c r="AO157" s="59">
        <f t="shared" si="144"/>
        <v>440.17787299198977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0.30741664248248851</v>
      </c>
      <c r="AV157" s="21">
        <f>EXP(-LN(2)/25)*AV156+(1-EXP(-LN(2)/25))/(LN(2)/25)*Calculateur!AQ157*Calculateur!AS157*VLOOKUP('Données projet'!$B$10,Paramètres!$A$1:$I$89,3,0)*0.475*44/12</f>
        <v>0.72389907329398639</v>
      </c>
      <c r="AW157" s="21">
        <f>EXP(-LN(2)/2)*AW156+(1-EXP(-LN(2)/2))/(LN(2)/2)*AQ157*AT157*VLOOKUP('Données projet'!$B$10,Paramètres!$A$1:$I$89,3,0)*0.475*44/12</f>
        <v>5.7236772432643302E-18</v>
      </c>
      <c r="AX157" s="21">
        <f t="shared" si="166"/>
        <v>1.031315715776475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-3.4106051316484809E-13</v>
      </c>
      <c r="BE157" s="13">
        <f>BD157*VLOOKUP('Données projet'!$B$11,Paramètres!$A$1:$I$89,3,0)*VLOOKUP('Données projet'!$B$11,Paramètres!$A$1:$I$89,5,0)</f>
        <v>-3.0859155231155454E-13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469.68830256438338</v>
      </c>
      <c r="BJ157" s="59">
        <f t="shared" si="146"/>
        <v>332.61387922152159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0.20665690198148939</v>
      </c>
      <c r="BQ157" s="21">
        <f>EXP(-LN(2)/25)*BQ156+(1-EXP(-LN(2)/25))/(LN(2)/25)*Calculateur!BL157*Calculateur!BN157*VLOOKUP('Données projet'!$B$11,Paramètres!$A$1:$I$89,3,0)*0.475*44/12</f>
        <v>0.3625006750379241</v>
      </c>
      <c r="BR157" s="21">
        <f>EXP(-LN(2)/2)*BR156+(1-EXP(-LN(2)/2))/(LN(2)/2)*BL157*BO157*VLOOKUP('Données projet'!$B$11,Paramètres!$A$1:$I$89,3,0)*0.475*44/12</f>
        <v>4.6736349109596358E-18</v>
      </c>
      <c r="BS157" s="22">
        <f t="shared" si="169"/>
        <v>0.5691575770194135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1.1368683772161603E-13</v>
      </c>
      <c r="BZ157" s="13">
        <f>BY157*VLOOKUP('Données projet'!$B$12,Paramètres!$A$1:$I$89,3,0)*VLOOKUP('Données projet'!$B$12,Paramètres!$A$1:$I$89,5,0)</f>
        <v>1.0818439477588981E-13</v>
      </c>
      <c r="CA157" s="13">
        <f t="shared" si="170"/>
        <v>1.6104228458716316E-12</v>
      </c>
      <c r="CB157" s="20">
        <f t="shared" si="171"/>
        <v>2.9932409441277661E-12</v>
      </c>
      <c r="CC157" s="59">
        <f t="shared" si="119"/>
        <v>293.33333333333633</v>
      </c>
      <c r="CD157" s="59">
        <f ca="1">AVERAGE(OFFSET($CC$3,0,0,'Données projet'!$E$12+1,1))-AVERAGE(OFFSET($H$3,0,0,'Données projet'!$E$12+1,1))</f>
        <v>609.40025883662452</v>
      </c>
      <c r="CE157" s="59">
        <f t="shared" si="148"/>
        <v>294.48909834404577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0.12666479241666795</v>
      </c>
      <c r="CM157" s="21">
        <f>EXP(-LN(2)/2)*CM156+(1-EXP(-LN(2)/2))/(LN(2)/2)*CG157*CJ157*VLOOKUP('Données projet'!$B$12,Paramètres!$A$1:$I$89,3,0)*0.475*44/12</f>
        <v>1.703558486651023E-18</v>
      </c>
      <c r="CN157" s="22">
        <f t="shared" si="172"/>
        <v>0.12666479241666795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-1.1368683772161603E-13</v>
      </c>
      <c r="CU157" s="17">
        <f>CT157*VLOOKUP('Données projet'!$B$13,Paramètres!$A$1:$I$89,3,0)*VLOOKUP('Données projet'!$B$13,Paramètres!$A$1:$I$89,5,0)</f>
        <v>-5.3205440053716299E-14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346.16623654404509</v>
      </c>
      <c r="CZ157" s="59">
        <f t="shared" si="150"/>
        <v>281.80933156559087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0.26895109070170897</v>
      </c>
      <c r="DG157" s="21">
        <f>EXP(-LN(2)/25)*DG156+(1-EXP(-LN(2)/25))/(LN(2)/25)*Calculateur!DB157*Calculateur!DD157*VLOOKUP('Données projet'!$B$13,Paramètres!$A$1:$I$89,3,0)*0.475*44/12</f>
        <v>0.25238473491075947</v>
      </c>
      <c r="DH157" s="21">
        <f>EXP(-LN(2)/2)*DH156+(1-EXP(-LN(2)/2))/(LN(2)/2)*DB157*DE157*VLOOKUP('Données projet'!$B$13,Paramètres!$A$1:$I$89,3,0)*0.475*44/12</f>
        <v>2.132013420039559E-18</v>
      </c>
      <c r="DI157" s="22">
        <f t="shared" si="175"/>
        <v>0.5213358256124685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6.2527760746888816E-13</v>
      </c>
      <c r="DP157" s="17">
        <f>DO157*VLOOKUP('Données projet'!$B$14,Paramètres!$A$1:$I$89,3,0)*VLOOKUP('Données projet'!$B$14,Paramètres!$A$1:$I$89,5,0)</f>
        <v>3.9017322706058616E-13</v>
      </c>
      <c r="DQ157" s="13">
        <f t="shared" si="176"/>
        <v>5.0025007393608908E-12</v>
      </c>
      <c r="DR157" s="20">
        <f t="shared" si="177"/>
        <v>9.3922404915174053E-12</v>
      </c>
      <c r="DS157" s="59">
        <f t="shared" si="125"/>
        <v>293.33333333334269</v>
      </c>
      <c r="DT157" s="59">
        <f ca="1">AVERAGE(OFFSET($DS$3,0,0,'Données projet'!$E$14+1,1))-AVERAGE(OFFSET($H$3,0,0,'Données projet'!$E$14+1,1))</f>
        <v>319.97171762304686</v>
      </c>
      <c r="DU157" s="59">
        <f t="shared" si="152"/>
        <v>337.89345858359621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0.59660372665065131</v>
      </c>
      <c r="EB157" s="21">
        <f>EXP(-LN(2)/25)*EB156+(1-EXP(-LN(2)/25))/(LN(2)/25)*Calculateur!DW157*Calculateur!DY157*VLOOKUP('Données projet'!$B$14,Paramètres!$A$1:$I$89,3,0)*0.475*44/12</f>
        <v>0.66788550352396325</v>
      </c>
      <c r="EC157" s="21">
        <f>EXP(-LN(2)/2)*EC156+(1-EXP(-LN(2)/2))/(LN(2)/2)*DW157*DZ157*VLOOKUP('Données projet'!$B$14,Paramètres!$A$1:$I$89,3,0)*0.475*44/12</f>
        <v>4.3781852066763841E-18</v>
      </c>
      <c r="ED157" s="22">
        <f t="shared" si="178"/>
        <v>1.2644892301746147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>
        <f>EJ157*VLOOKUP('Données projet'!$B$15,Paramètres!$A$1:$I$89,3,0)*VLOOKUP('Données projet'!$B$15,Paramètres!$A$1:$I$89,5,0)</f>
        <v>0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258.46015871559956</v>
      </c>
      <c r="EP157" s="59">
        <f t="shared" si="154"/>
        <v>280.26155987300996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0.53302017510170396</v>
      </c>
      <c r="EW157" s="21">
        <f>EXP(-LN(2)/25)*EW156+(1-EXP(-LN(2)/25))/(LN(2)/25)*Calculateur!ER157*Calculateur!ET157*VLOOKUP('Données projet'!$B$15,Paramètres!$A$1:$I$89,3,0)*0.475*44/12</f>
        <v>0.39617345431573969</v>
      </c>
      <c r="EX157" s="21">
        <f>EXP(-LN(2)/2)*EX156+(1-EXP(-LN(2)/2))/(LN(2)/2)*ER157*EU157*VLOOKUP('Données projet'!$B$15,Paramètres!$A$1:$I$89,3,0)*0.475*44/12</f>
        <v>1.1808463005317921E-18</v>
      </c>
      <c r="EY157" s="22">
        <f t="shared" si="181"/>
        <v>0.92919362941744366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243.00000000000017</v>
      </c>
      <c r="O158" s="13">
        <f>N158*VLOOKUP('Données projet'!$B$9,Paramètres!$A$1:$I$89,3,0)*VLOOKUP('Données projet'!$B$9,Paramètres!$A$1:$I$89,5,0)</f>
        <v>212.28480000000016</v>
      </c>
      <c r="P158" s="13">
        <f t="shared" si="141"/>
        <v>52.434557099704236</v>
      </c>
      <c r="Q158" s="20">
        <f t="shared" si="162"/>
        <v>461.0528802819851</v>
      </c>
      <c r="R158" s="59">
        <f t="shared" si="109"/>
        <v>754.38621361531841</v>
      </c>
      <c r="S158" s="59">
        <f ca="1">AVERAGE(OFFSET($R$3,0,0,'Données projet'!$E$9+1,1))-AVERAGE(OFFSET($H$3,0,0,'Données projet'!$E$9+1,1))</f>
        <v>368.41876532159154</v>
      </c>
      <c r="T158" s="59">
        <f t="shared" si="142"/>
        <v>369.39570124551125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0.51803210726135918</v>
      </c>
      <c r="AA158" s="21">
        <f>EXP(-LN(2)/25)*AA157+(1-EXP(-LN(2)/25))/(LN(2)/25)*Calculateur!V158*Calculateur!X158*VLOOKUP('Données projet'!$B$9,Paramètres!$A$1:$I$89,3,0)*0.475*44/12</f>
        <v>0.50690627177922742</v>
      </c>
      <c r="AB158" s="21">
        <f>EXP(-LN(2)/2)*AB157+(1-EXP(-LN(2)/2))/(LN(2)/2)*V158*Y158*VLOOKUP('Données projet'!$B$9,Paramètres!$A$1:$I$89,3,0)*0.475*44/12</f>
        <v>2.7247606337205893E-18</v>
      </c>
      <c r="AC158" s="22">
        <f t="shared" si="163"/>
        <v>1.0249383790405866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-5.1159076974727213E-13</v>
      </c>
      <c r="AJ158" s="13">
        <f>AI158*VLOOKUP('Données projet'!$B$10,Paramètres!$A$1:$I$89,3,0)*VLOOKUP('Données projet'!$B$10,Paramètres!$A$1:$I$89,5,0)</f>
        <v>-4.4692569645121704E-13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402.82278346470082</v>
      </c>
      <c r="AO158" s="59">
        <f t="shared" si="144"/>
        <v>440.17787299198977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0.30138838962904418</v>
      </c>
      <c r="AV158" s="21">
        <f>EXP(-LN(2)/25)*AV157+(1-EXP(-LN(2)/25))/(LN(2)/25)*Calculateur!AQ158*Calculateur!AS158*VLOOKUP('Données projet'!$B$10,Paramètres!$A$1:$I$89,3,0)*0.475*44/12</f>
        <v>0.70410401506656461</v>
      </c>
      <c r="AW158" s="21">
        <f>EXP(-LN(2)/2)*AW157+(1-EXP(-LN(2)/2))/(LN(2)/2)*AQ158*AT158*VLOOKUP('Données projet'!$B$10,Paramètres!$A$1:$I$89,3,0)*0.475*44/12</f>
        <v>4.0472509920353322E-18</v>
      </c>
      <c r="AX158" s="21">
        <f t="shared" si="166"/>
        <v>1.0054924046956089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-3.4106051316484809E-13</v>
      </c>
      <c r="BE158" s="13">
        <f>BD158*VLOOKUP('Données projet'!$B$11,Paramètres!$A$1:$I$89,3,0)*VLOOKUP('Données projet'!$B$11,Paramètres!$A$1:$I$89,5,0)</f>
        <v>-3.0859155231155454E-13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469.68830256438338</v>
      </c>
      <c r="BJ158" s="59">
        <f t="shared" si="146"/>
        <v>332.61387922152159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0.20260448618189636</v>
      </c>
      <c r="BQ158" s="21">
        <f>EXP(-LN(2)/25)*BQ157+(1-EXP(-LN(2)/25))/(LN(2)/25)*Calculateur!BL158*Calculateur!BN158*VLOOKUP('Données projet'!$B$11,Paramètres!$A$1:$I$89,3,0)*0.475*44/12</f>
        <v>0.35258807501593009</v>
      </c>
      <c r="BR158" s="21">
        <f>EXP(-LN(2)/2)*BR157+(1-EXP(-LN(2)/2))/(LN(2)/2)*BL158*BO158*VLOOKUP('Données projet'!$B$11,Paramètres!$A$1:$I$89,3,0)*0.475*44/12</f>
        <v>3.3047589383297448E-18</v>
      </c>
      <c r="BS158" s="22">
        <f t="shared" si="169"/>
        <v>0.55519256119782645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1.1368683772161603E-13</v>
      </c>
      <c r="BZ158" s="13">
        <f>BY158*VLOOKUP('Données projet'!$B$12,Paramètres!$A$1:$I$89,3,0)*VLOOKUP('Données projet'!$B$12,Paramètres!$A$1:$I$89,5,0)</f>
        <v>1.0818439477588981E-13</v>
      </c>
      <c r="CA158" s="13">
        <f t="shared" si="170"/>
        <v>1.6104228458716316E-12</v>
      </c>
      <c r="CB158" s="20">
        <f t="shared" si="171"/>
        <v>2.9932409441277661E-12</v>
      </c>
      <c r="CC158" s="59">
        <f t="shared" si="119"/>
        <v>293.33333333333633</v>
      </c>
      <c r="CD158" s="59">
        <f ca="1">AVERAGE(OFFSET($CC$3,0,0,'Données projet'!$E$12+1,1))-AVERAGE(OFFSET($H$3,0,0,'Données projet'!$E$12+1,1))</f>
        <v>609.40025883662452</v>
      </c>
      <c r="CE158" s="59">
        <f t="shared" si="148"/>
        <v>294.48909834404577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0.12320113700702223</v>
      </c>
      <c r="CM158" s="21">
        <f>EXP(-LN(2)/2)*CM157+(1-EXP(-LN(2)/2))/(LN(2)/2)*CG158*CJ158*VLOOKUP('Données projet'!$B$12,Paramètres!$A$1:$I$89,3,0)*0.475*44/12</f>
        <v>1.2045977580588311E-18</v>
      </c>
      <c r="CN158" s="22">
        <f t="shared" si="172"/>
        <v>0.12320113700702223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-1.1368683772161603E-13</v>
      </c>
      <c r="CU158" s="17">
        <f>CT158*VLOOKUP('Données projet'!$B$13,Paramètres!$A$1:$I$89,3,0)*VLOOKUP('Données projet'!$B$13,Paramètres!$A$1:$I$89,5,0)</f>
        <v>-5.3205440053716299E-14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346.16623654404509</v>
      </c>
      <c r="CZ158" s="59">
        <f t="shared" si="150"/>
        <v>281.80933156559087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0.2636771238570158</v>
      </c>
      <c r="DG158" s="21">
        <f>EXP(-LN(2)/25)*DG157+(1-EXP(-LN(2)/25))/(LN(2)/25)*Calculateur!DB158*Calculateur!DD158*VLOOKUP('Données projet'!$B$13,Paramètres!$A$1:$I$89,3,0)*0.475*44/12</f>
        <v>0.24548326106228838</v>
      </c>
      <c r="DH158" s="21">
        <f>EXP(-LN(2)/2)*DH157+(1-EXP(-LN(2)/2))/(LN(2)/2)*DB158*DE158*VLOOKUP('Données projet'!$B$13,Paramètres!$A$1:$I$89,3,0)*0.475*44/12</f>
        <v>1.5075611468906953E-18</v>
      </c>
      <c r="DI158" s="22">
        <f t="shared" si="175"/>
        <v>0.50916038491930415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6.2527760746888816E-13</v>
      </c>
      <c r="DP158" s="17">
        <f>DO158*VLOOKUP('Données projet'!$B$14,Paramètres!$A$1:$I$89,3,0)*VLOOKUP('Données projet'!$B$14,Paramètres!$A$1:$I$89,5,0)</f>
        <v>3.9017322706058616E-13</v>
      </c>
      <c r="DQ158" s="13">
        <f t="shared" si="176"/>
        <v>5.0025007393608908E-12</v>
      </c>
      <c r="DR158" s="20">
        <f t="shared" si="177"/>
        <v>9.3922404915174053E-12</v>
      </c>
      <c r="DS158" s="59">
        <f t="shared" si="125"/>
        <v>293.33333333334269</v>
      </c>
      <c r="DT158" s="59">
        <f ca="1">AVERAGE(OFFSET($DS$3,0,0,'Données projet'!$E$14+1,1))-AVERAGE(OFFSET($H$3,0,0,'Données projet'!$E$14+1,1))</f>
        <v>319.97171762304686</v>
      </c>
      <c r="DU158" s="59">
        <f t="shared" si="152"/>
        <v>337.89345858359621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0.58490469146337387</v>
      </c>
      <c r="EB158" s="21">
        <f>EXP(-LN(2)/25)*EB157+(1-EXP(-LN(2)/25))/(LN(2)/25)*Calculateur!DW158*Calculateur!DY158*VLOOKUP('Données projet'!$B$14,Paramètres!$A$1:$I$89,3,0)*0.475*44/12</f>
        <v>0.64962213930752832</v>
      </c>
      <c r="EC158" s="21">
        <f>EXP(-LN(2)/2)*EC157+(1-EXP(-LN(2)/2))/(LN(2)/2)*DW158*DZ158*VLOOKUP('Données projet'!$B$14,Paramètres!$A$1:$I$89,3,0)*0.475*44/12</f>
        <v>3.0958444489314973E-18</v>
      </c>
      <c r="ED158" s="22">
        <f t="shared" si="178"/>
        <v>1.2345268307709021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>
        <f>EJ158*VLOOKUP('Données projet'!$B$15,Paramètres!$A$1:$I$89,3,0)*VLOOKUP('Données projet'!$B$15,Paramètres!$A$1:$I$89,5,0)</f>
        <v>0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258.46015871559956</v>
      </c>
      <c r="EP158" s="59">
        <f t="shared" si="154"/>
        <v>280.26155987300996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0.5225679745781644</v>
      </c>
      <c r="EW158" s="21">
        <f>EXP(-LN(2)/25)*EW157+(1-EXP(-LN(2)/25))/(LN(2)/25)*Calculateur!ER158*Calculateur!ET158*VLOOKUP('Données projet'!$B$15,Paramètres!$A$1:$I$89,3,0)*0.475*44/12</f>
        <v>0.38534007037361928</v>
      </c>
      <c r="EX158" s="21">
        <f>EXP(-LN(2)/2)*EX157+(1-EXP(-LN(2)/2))/(LN(2)/2)*ER158*EU158*VLOOKUP('Données projet'!$B$15,Paramètres!$A$1:$I$89,3,0)*0.475*44/12</f>
        <v>8.3498442664507805E-19</v>
      </c>
      <c r="EY158" s="22">
        <f t="shared" si="181"/>
        <v>0.90790804495178368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243.00000000000017</v>
      </c>
      <c r="O159" s="13">
        <f>N159*VLOOKUP('Données projet'!$B$9,Paramètres!$A$1:$I$89,3,0)*VLOOKUP('Données projet'!$B$9,Paramètres!$A$1:$I$89,5,0)</f>
        <v>212.28480000000016</v>
      </c>
      <c r="P159" s="13">
        <f t="shared" si="141"/>
        <v>52.434557099704236</v>
      </c>
      <c r="Q159" s="20">
        <f t="shared" si="162"/>
        <v>461.0528802819851</v>
      </c>
      <c r="R159" s="59">
        <f t="shared" si="109"/>
        <v>754.38621361531841</v>
      </c>
      <c r="S159" s="59">
        <f ca="1">AVERAGE(OFFSET($R$3,0,0,'Données projet'!$E$9+1,1))-AVERAGE(OFFSET($H$3,0,0,'Données projet'!$E$9+1,1))</f>
        <v>368.41876532159154</v>
      </c>
      <c r="T159" s="59">
        <f t="shared" si="142"/>
        <v>369.39570124551125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0.50787381360635009</v>
      </c>
      <c r="AA159" s="21">
        <f>EXP(-LN(2)/25)*AA158+(1-EXP(-LN(2)/25))/(LN(2)/25)*Calculateur!V159*Calculateur!X159*VLOOKUP('Données projet'!$B$9,Paramètres!$A$1:$I$89,3,0)*0.475*44/12</f>
        <v>0.49304489312038219</v>
      </c>
      <c r="AB159" s="21">
        <f>EXP(-LN(2)/2)*AB158+(1-EXP(-LN(2)/2))/(LN(2)/2)*V159*Y159*VLOOKUP('Données projet'!$B$9,Paramètres!$A$1:$I$89,3,0)*0.475*44/12</f>
        <v>1.9266967212139833E-18</v>
      </c>
      <c r="AC159" s="22">
        <f t="shared" si="163"/>
        <v>1.0009187067267322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-5.1159076974727213E-13</v>
      </c>
      <c r="AJ159" s="13">
        <f>AI159*VLOOKUP('Données projet'!$B$10,Paramètres!$A$1:$I$89,3,0)*VLOOKUP('Données projet'!$B$10,Paramètres!$A$1:$I$89,5,0)</f>
        <v>-4.4692569645121704E-13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402.82278346470082</v>
      </c>
      <c r="AO159" s="59">
        <f t="shared" si="144"/>
        <v>440.17787299198977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0.29547834713718474</v>
      </c>
      <c r="AV159" s="21">
        <f>EXP(-LN(2)/25)*AV158+(1-EXP(-LN(2)/25))/(LN(2)/25)*Calculateur!AQ159*Calculateur!AS159*VLOOKUP('Données projet'!$B$10,Paramètres!$A$1:$I$89,3,0)*0.475*44/12</f>
        <v>0.68485025374734854</v>
      </c>
      <c r="AW159" s="21">
        <f>EXP(-LN(2)/2)*AW158+(1-EXP(-LN(2)/2))/(LN(2)/2)*AQ159*AT159*VLOOKUP('Données projet'!$B$10,Paramètres!$A$1:$I$89,3,0)*0.475*44/12</f>
        <v>2.8618386216321651E-18</v>
      </c>
      <c r="AX159" s="21">
        <f t="shared" si="166"/>
        <v>0.98032860088453333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-3.4106051316484809E-13</v>
      </c>
      <c r="BE159" s="13">
        <f>BD159*VLOOKUP('Données projet'!$B$11,Paramètres!$A$1:$I$89,3,0)*VLOOKUP('Données projet'!$B$11,Paramètres!$A$1:$I$89,5,0)</f>
        <v>-3.0859155231155454E-13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469.68830256438338</v>
      </c>
      <c r="BJ159" s="59">
        <f t="shared" si="146"/>
        <v>332.61387922152159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0.19863153578440376</v>
      </c>
      <c r="BQ159" s="21">
        <f>EXP(-LN(2)/25)*BQ158+(1-EXP(-LN(2)/25))/(LN(2)/25)*Calculateur!BL159*Calculateur!BN159*VLOOKUP('Données projet'!$B$11,Paramètres!$A$1:$I$89,3,0)*0.475*44/12</f>
        <v>0.34294653556281846</v>
      </c>
      <c r="BR159" s="21">
        <f>EXP(-LN(2)/2)*BR158+(1-EXP(-LN(2)/2))/(LN(2)/2)*BL159*BO159*VLOOKUP('Données projet'!$B$11,Paramètres!$A$1:$I$89,3,0)*0.475*44/12</f>
        <v>2.3368174554798179E-18</v>
      </c>
      <c r="BS159" s="22">
        <f t="shared" si="169"/>
        <v>0.54157807134722225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1.1368683772161603E-13</v>
      </c>
      <c r="BZ159" s="13">
        <f>BY159*VLOOKUP('Données projet'!$B$12,Paramètres!$A$1:$I$89,3,0)*VLOOKUP('Données projet'!$B$12,Paramètres!$A$1:$I$89,5,0)</f>
        <v>1.0818439477588981E-13</v>
      </c>
      <c r="CA159" s="13">
        <f t="shared" si="170"/>
        <v>1.6104228458716316E-12</v>
      </c>
      <c r="CB159" s="20">
        <f t="shared" si="171"/>
        <v>2.9932409441277661E-12</v>
      </c>
      <c r="CC159" s="59">
        <f t="shared" si="119"/>
        <v>293.33333333333633</v>
      </c>
      <c r="CD159" s="59">
        <f ca="1">AVERAGE(OFFSET($CC$3,0,0,'Données projet'!$E$12+1,1))-AVERAGE(OFFSET($H$3,0,0,'Données projet'!$E$12+1,1))</f>
        <v>609.40025883662452</v>
      </c>
      <c r="CE159" s="59">
        <f t="shared" si="148"/>
        <v>294.48909834404577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0.119832195436699</v>
      </c>
      <c r="CM159" s="21">
        <f>EXP(-LN(2)/2)*CM158+(1-EXP(-LN(2)/2))/(LN(2)/2)*CG159*CJ159*VLOOKUP('Données projet'!$B$12,Paramètres!$A$1:$I$89,3,0)*0.475*44/12</f>
        <v>8.5177924332551161E-19</v>
      </c>
      <c r="CN159" s="22">
        <f t="shared" si="172"/>
        <v>0.119832195436699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-1.1368683772161603E-13</v>
      </c>
      <c r="CU159" s="17">
        <f>CT159*VLOOKUP('Données projet'!$B$13,Paramètres!$A$1:$I$89,3,0)*VLOOKUP('Données projet'!$B$13,Paramètres!$A$1:$I$89,5,0)</f>
        <v>-5.3205440053716299E-14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346.16623654404509</v>
      </c>
      <c r="CZ159" s="59">
        <f t="shared" si="150"/>
        <v>281.80933156559087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0.2585065762853449</v>
      </c>
      <c r="DG159" s="21">
        <f>EXP(-LN(2)/25)*DG158+(1-EXP(-LN(2)/25))/(LN(2)/25)*Calculateur!DB159*Calculateur!DD159*VLOOKUP('Données projet'!$B$13,Paramètres!$A$1:$I$89,3,0)*0.475*44/12</f>
        <v>0.23877050837913646</v>
      </c>
      <c r="DH159" s="21">
        <f>EXP(-LN(2)/2)*DH158+(1-EXP(-LN(2)/2))/(LN(2)/2)*DB159*DE159*VLOOKUP('Données projet'!$B$13,Paramètres!$A$1:$I$89,3,0)*0.475*44/12</f>
        <v>1.0660067100197795E-18</v>
      </c>
      <c r="DI159" s="22">
        <f t="shared" si="175"/>
        <v>0.49727708466448139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6.2527760746888816E-13</v>
      </c>
      <c r="DP159" s="17">
        <f>DO159*VLOOKUP('Données projet'!$B$14,Paramètres!$A$1:$I$89,3,0)*VLOOKUP('Données projet'!$B$14,Paramètres!$A$1:$I$89,5,0)</f>
        <v>3.9017322706058616E-13</v>
      </c>
      <c r="DQ159" s="13">
        <f t="shared" si="176"/>
        <v>5.0025007393608908E-12</v>
      </c>
      <c r="DR159" s="20">
        <f t="shared" si="177"/>
        <v>9.3922404915174053E-12</v>
      </c>
      <c r="DS159" s="59">
        <f t="shared" si="125"/>
        <v>293.33333333334269</v>
      </c>
      <c r="DT159" s="59">
        <f ca="1">AVERAGE(OFFSET($DS$3,0,0,'Données projet'!$E$14+1,1))-AVERAGE(OFFSET($H$3,0,0,'Données projet'!$E$14+1,1))</f>
        <v>319.97171762304686</v>
      </c>
      <c r="DU159" s="59">
        <f t="shared" si="152"/>
        <v>337.89345858359621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0.57343506722041215</v>
      </c>
      <c r="EB159" s="21">
        <f>EXP(-LN(2)/25)*EB158+(1-EXP(-LN(2)/25))/(LN(2)/25)*Calculateur!DW159*Calculateur!DY159*VLOOKUP('Données projet'!$B$14,Paramètres!$A$1:$I$89,3,0)*0.475*44/12</f>
        <v>0.63185818774602043</v>
      </c>
      <c r="EC159" s="21">
        <f>EXP(-LN(2)/2)*EC158+(1-EXP(-LN(2)/2))/(LN(2)/2)*DW159*DZ159*VLOOKUP('Données projet'!$B$14,Paramètres!$A$1:$I$89,3,0)*0.475*44/12</f>
        <v>2.189092603338192E-18</v>
      </c>
      <c r="ED159" s="22">
        <f t="shared" si="178"/>
        <v>1.2052932549664326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>
        <f>EJ159*VLOOKUP('Données projet'!$B$15,Paramètres!$A$1:$I$89,3,0)*VLOOKUP('Données projet'!$B$15,Paramètres!$A$1:$I$89,5,0)</f>
        <v>0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258.46015871559956</v>
      </c>
      <c r="EP159" s="59">
        <f t="shared" si="154"/>
        <v>280.26155987300996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0.51232073533167866</v>
      </c>
      <c r="EW159" s="21">
        <f>EXP(-LN(2)/25)*EW158+(1-EXP(-LN(2)/25))/(LN(2)/25)*Calculateur!ER159*Calculateur!ET159*VLOOKUP('Données projet'!$B$15,Paramètres!$A$1:$I$89,3,0)*0.475*44/12</f>
        <v>0.37480292588509906</v>
      </c>
      <c r="EX159" s="21">
        <f>EXP(-LN(2)/2)*EX158+(1-EXP(-LN(2)/2))/(LN(2)/2)*ER159*EU159*VLOOKUP('Données projet'!$B$15,Paramètres!$A$1:$I$89,3,0)*0.475*44/12</f>
        <v>5.9042315026589604E-19</v>
      </c>
      <c r="EY159" s="22">
        <f t="shared" si="181"/>
        <v>0.88712366121677766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243.00000000000017</v>
      </c>
      <c r="O160" s="13">
        <f>N160*VLOOKUP('Données projet'!$B$9,Paramètres!$A$1:$I$89,3,0)*VLOOKUP('Données projet'!$B$9,Paramètres!$A$1:$I$89,5,0)</f>
        <v>212.28480000000016</v>
      </c>
      <c r="P160" s="13">
        <f t="shared" si="141"/>
        <v>52.434557099704236</v>
      </c>
      <c r="Q160" s="20">
        <f t="shared" si="162"/>
        <v>461.0528802819851</v>
      </c>
      <c r="R160" s="59">
        <f t="shared" si="109"/>
        <v>754.38621361531841</v>
      </c>
      <c r="S160" s="59">
        <f ca="1">AVERAGE(OFFSET($R$3,0,0,'Données projet'!$E$9+1,1))-AVERAGE(OFFSET($H$3,0,0,'Données projet'!$E$9+1,1))</f>
        <v>368.41876532159154</v>
      </c>
      <c r="T160" s="59">
        <f t="shared" si="142"/>
        <v>369.39570124551125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0.49791471789396835</v>
      </c>
      <c r="AA160" s="21">
        <f>EXP(-LN(2)/25)*AA159+(1-EXP(-LN(2)/25))/(LN(2)/25)*Calculateur!V160*Calculateur!X160*VLOOKUP('Données projet'!$B$9,Paramètres!$A$1:$I$89,3,0)*0.475*44/12</f>
        <v>0.47956255458990127</v>
      </c>
      <c r="AB160" s="21">
        <f>EXP(-LN(2)/2)*AB159+(1-EXP(-LN(2)/2))/(LN(2)/2)*V160*Y160*VLOOKUP('Données projet'!$B$9,Paramètres!$A$1:$I$89,3,0)*0.475*44/12</f>
        <v>1.3623803168602947E-18</v>
      </c>
      <c r="AC160" s="22">
        <f t="shared" si="163"/>
        <v>0.97747727248386962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-5.1159076974727213E-13</v>
      </c>
      <c r="AJ160" s="13">
        <f>AI160*VLOOKUP('Données projet'!$B$10,Paramètres!$A$1:$I$89,3,0)*VLOOKUP('Données projet'!$B$10,Paramètres!$A$1:$I$89,5,0)</f>
        <v>-4.4692569645121704E-13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402.82278346470082</v>
      </c>
      <c r="AO160" s="59">
        <f t="shared" si="144"/>
        <v>440.17787299198977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0.28968419697382064</v>
      </c>
      <c r="AV160" s="21">
        <f>EXP(-LN(2)/25)*AV159+(1-EXP(-LN(2)/25))/(LN(2)/25)*Calculateur!AQ160*Calculateur!AS160*VLOOKUP('Données projet'!$B$10,Paramètres!$A$1:$I$89,3,0)*0.475*44/12</f>
        <v>0.66612298754391774</v>
      </c>
      <c r="AW160" s="21">
        <f>EXP(-LN(2)/2)*AW159+(1-EXP(-LN(2)/2))/(LN(2)/2)*AQ160*AT160*VLOOKUP('Données projet'!$B$10,Paramètres!$A$1:$I$89,3,0)*0.475*44/12</f>
        <v>2.0236254960176661E-18</v>
      </c>
      <c r="AX160" s="21">
        <f t="shared" si="166"/>
        <v>0.95580718451773838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-3.4106051316484809E-13</v>
      </c>
      <c r="BE160" s="13">
        <f>BD160*VLOOKUP('Données projet'!$B$11,Paramètres!$A$1:$I$89,3,0)*VLOOKUP('Données projet'!$B$11,Paramètres!$A$1:$I$89,5,0)</f>
        <v>-3.0859155231155454E-13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469.68830256438338</v>
      </c>
      <c r="BJ160" s="59">
        <f t="shared" si="146"/>
        <v>332.61387922152159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0.19473649252094555</v>
      </c>
      <c r="BQ160" s="21">
        <f>EXP(-LN(2)/25)*BQ159+(1-EXP(-LN(2)/25))/(LN(2)/25)*Calculateur!BL160*Calculateur!BN160*VLOOKUP('Données projet'!$B$11,Paramètres!$A$1:$I$89,3,0)*0.475*44/12</f>
        <v>0.33356864451307872</v>
      </c>
      <c r="BR160" s="21">
        <f>EXP(-LN(2)/2)*BR159+(1-EXP(-LN(2)/2))/(LN(2)/2)*BL160*BO160*VLOOKUP('Données projet'!$B$11,Paramètres!$A$1:$I$89,3,0)*0.475*44/12</f>
        <v>1.6523794691648724E-18</v>
      </c>
      <c r="BS160" s="22">
        <f t="shared" si="169"/>
        <v>0.52830513703402426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1.1368683772161603E-13</v>
      </c>
      <c r="BZ160" s="13">
        <f>BY160*VLOOKUP('Données projet'!$B$12,Paramètres!$A$1:$I$89,3,0)*VLOOKUP('Données projet'!$B$12,Paramètres!$A$1:$I$89,5,0)</f>
        <v>1.0818439477588981E-13</v>
      </c>
      <c r="CA160" s="13">
        <f t="shared" si="170"/>
        <v>1.6104228458716316E-12</v>
      </c>
      <c r="CB160" s="20">
        <f t="shared" si="171"/>
        <v>2.9932409441277661E-12</v>
      </c>
      <c r="CC160" s="59">
        <f t="shared" si="119"/>
        <v>293.33333333333633</v>
      </c>
      <c r="CD160" s="59">
        <f ca="1">AVERAGE(OFFSET($CC$3,0,0,'Données projet'!$E$12+1,1))-AVERAGE(OFFSET($H$3,0,0,'Données projet'!$E$12+1,1))</f>
        <v>609.40025883662452</v>
      </c>
      <c r="CE160" s="59">
        <f t="shared" si="148"/>
        <v>294.48909834404577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0.11655537775078119</v>
      </c>
      <c r="CM160" s="21">
        <f>EXP(-LN(2)/2)*CM159+(1-EXP(-LN(2)/2))/(LN(2)/2)*CG160*CJ160*VLOOKUP('Données projet'!$B$12,Paramètres!$A$1:$I$89,3,0)*0.475*44/12</f>
        <v>6.0229887902941564E-19</v>
      </c>
      <c r="CN160" s="22">
        <f t="shared" si="172"/>
        <v>0.11655537775078119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-1.1368683772161603E-13</v>
      </c>
      <c r="CU160" s="17">
        <f>CT160*VLOOKUP('Données projet'!$B$13,Paramètres!$A$1:$I$89,3,0)*VLOOKUP('Données projet'!$B$13,Paramètres!$A$1:$I$89,5,0)</f>
        <v>-5.3205440053716299E-14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346.16623654404509</v>
      </c>
      <c r="CZ160" s="59">
        <f t="shared" si="150"/>
        <v>281.80933156559087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0.25343741999783187</v>
      </c>
      <c r="DG160" s="21">
        <f>EXP(-LN(2)/25)*DG159+(1-EXP(-LN(2)/25))/(LN(2)/25)*Calculateur!DB160*Calculateur!DD160*VLOOKUP('Données projet'!$B$13,Paramètres!$A$1:$I$89,3,0)*0.475*44/12</f>
        <v>0.23224131627111366</v>
      </c>
      <c r="DH160" s="21">
        <f>EXP(-LN(2)/2)*DH159+(1-EXP(-LN(2)/2))/(LN(2)/2)*DB160*DE160*VLOOKUP('Données projet'!$B$13,Paramètres!$A$1:$I$89,3,0)*0.475*44/12</f>
        <v>7.5378057344534765E-19</v>
      </c>
      <c r="DI160" s="22">
        <f t="shared" si="175"/>
        <v>0.48567873626894553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6.2527760746888816E-13</v>
      </c>
      <c r="DP160" s="17">
        <f>DO160*VLOOKUP('Données projet'!$B$14,Paramètres!$A$1:$I$89,3,0)*VLOOKUP('Données projet'!$B$14,Paramètres!$A$1:$I$89,5,0)</f>
        <v>3.9017322706058616E-13</v>
      </c>
      <c r="DQ160" s="13">
        <f t="shared" si="176"/>
        <v>5.0025007393608908E-12</v>
      </c>
      <c r="DR160" s="20">
        <f t="shared" si="177"/>
        <v>9.3922404915174053E-12</v>
      </c>
      <c r="DS160" s="59">
        <f t="shared" si="125"/>
        <v>293.33333333334269</v>
      </c>
      <c r="DT160" s="59">
        <f ca="1">AVERAGE(OFFSET($DS$3,0,0,'Données projet'!$E$14+1,1))-AVERAGE(OFFSET($H$3,0,0,'Données projet'!$E$14+1,1))</f>
        <v>319.97171762304686</v>
      </c>
      <c r="DU160" s="59">
        <f t="shared" si="152"/>
        <v>337.89345858359621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0.56219035531307482</v>
      </c>
      <c r="EB160" s="21">
        <f>EXP(-LN(2)/25)*EB159+(1-EXP(-LN(2)/25))/(LN(2)/25)*Calculateur!DW160*Calculateur!DY160*VLOOKUP('Données projet'!$B$14,Paramètres!$A$1:$I$89,3,0)*0.475*44/12</f>
        <v>0.61457999237412753</v>
      </c>
      <c r="EC160" s="21">
        <f>EXP(-LN(2)/2)*EC159+(1-EXP(-LN(2)/2))/(LN(2)/2)*DW160*DZ160*VLOOKUP('Données projet'!$B$14,Paramètres!$A$1:$I$89,3,0)*0.475*44/12</f>
        <v>1.5479222244657486E-18</v>
      </c>
      <c r="ED160" s="22">
        <f t="shared" si="178"/>
        <v>1.1767703476872025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>
        <f>EJ160*VLOOKUP('Données projet'!$B$15,Paramètres!$A$1:$I$89,3,0)*VLOOKUP('Données projet'!$B$15,Paramètres!$A$1:$I$89,5,0)</f>
        <v>0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258.46015871559956</v>
      </c>
      <c r="EP160" s="59">
        <f t="shared" si="154"/>
        <v>280.26155987300996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0.50227443819661766</v>
      </c>
      <c r="EW160" s="21">
        <f>EXP(-LN(2)/25)*EW159+(1-EXP(-LN(2)/25))/(LN(2)/25)*Calculateur!ER160*Calculateur!ET160*VLOOKUP('Données projet'!$B$15,Paramètres!$A$1:$I$89,3,0)*0.475*44/12</f>
        <v>0.36455392016674176</v>
      </c>
      <c r="EX160" s="21">
        <f>EXP(-LN(2)/2)*EX159+(1-EXP(-LN(2)/2))/(LN(2)/2)*ER160*EU160*VLOOKUP('Données projet'!$B$15,Paramètres!$A$1:$I$89,3,0)*0.475*44/12</f>
        <v>4.1749221332253903E-19</v>
      </c>
      <c r="EY160" s="22">
        <f t="shared" si="181"/>
        <v>0.86682835836335936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243.00000000000017</v>
      </c>
      <c r="O161" s="13">
        <f>N161*VLOOKUP('Données projet'!$B$9,Paramètres!$A$1:$I$89,3,0)*VLOOKUP('Données projet'!$B$9,Paramètres!$A$1:$I$89,5,0)</f>
        <v>212.28480000000016</v>
      </c>
      <c r="P161" s="13">
        <f t="shared" si="141"/>
        <v>52.434557099704236</v>
      </c>
      <c r="Q161" s="20">
        <f t="shared" si="162"/>
        <v>461.0528802819851</v>
      </c>
      <c r="R161" s="59">
        <f t="shared" si="109"/>
        <v>754.38621361531841</v>
      </c>
      <c r="S161" s="59">
        <f ca="1">AVERAGE(OFFSET($R$3,0,0,'Données projet'!$E$9+1,1))-AVERAGE(OFFSET($H$3,0,0,'Données projet'!$E$9+1,1))</f>
        <v>368.41876532159154</v>
      </c>
      <c r="T161" s="59">
        <f t="shared" si="142"/>
        <v>369.39570124551125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0.48815091397405785</v>
      </c>
      <c r="AA161" s="21">
        <f>EXP(-LN(2)/25)*AA160+(1-EXP(-LN(2)/25))/(LN(2)/25)*Calculateur!V161*Calculateur!X161*VLOOKUP('Données projet'!$B$9,Paramètres!$A$1:$I$89,3,0)*0.475*44/12</f>
        <v>0.46644889131554174</v>
      </c>
      <c r="AB161" s="21">
        <f>EXP(-LN(2)/2)*AB160+(1-EXP(-LN(2)/2))/(LN(2)/2)*V161*Y161*VLOOKUP('Données projet'!$B$9,Paramètres!$A$1:$I$89,3,0)*0.475*44/12</f>
        <v>9.6334836060699164E-19</v>
      </c>
      <c r="AC161" s="22">
        <f t="shared" si="163"/>
        <v>0.95459980528959965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-5.1159076974727213E-13</v>
      </c>
      <c r="AJ161" s="13">
        <f>AI161*VLOOKUP('Données projet'!$B$10,Paramètres!$A$1:$I$89,3,0)*VLOOKUP('Données projet'!$B$10,Paramètres!$A$1:$I$89,5,0)</f>
        <v>-4.4692569645121704E-13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402.82278346470082</v>
      </c>
      <c r="AO161" s="59">
        <f t="shared" si="144"/>
        <v>440.17787299198977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0.28400366656107751</v>
      </c>
      <c r="AV161" s="21">
        <f>EXP(-LN(2)/25)*AV160+(1-EXP(-LN(2)/25))/(LN(2)/25)*Calculateur!AQ161*Calculateur!AS161*VLOOKUP('Données projet'!$B$10,Paramètres!$A$1:$I$89,3,0)*0.475*44/12</f>
        <v>0.64790781941964382</v>
      </c>
      <c r="AW161" s="21">
        <f>EXP(-LN(2)/2)*AW160+(1-EXP(-LN(2)/2))/(LN(2)/2)*AQ161*AT161*VLOOKUP('Données projet'!$B$10,Paramètres!$A$1:$I$89,3,0)*0.475*44/12</f>
        <v>1.4309193108160825E-18</v>
      </c>
      <c r="AX161" s="21">
        <f t="shared" si="166"/>
        <v>0.93191148598072138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-3.4106051316484809E-13</v>
      </c>
      <c r="BE161" s="13">
        <f>BD161*VLOOKUP('Données projet'!$B$11,Paramètres!$A$1:$I$89,3,0)*VLOOKUP('Données projet'!$B$11,Paramètres!$A$1:$I$89,5,0)</f>
        <v>-3.0859155231155454E-13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469.68830256438338</v>
      </c>
      <c r="BJ161" s="59">
        <f t="shared" si="146"/>
        <v>332.61387922152159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0.19091782868014193</v>
      </c>
      <c r="BQ161" s="21">
        <f>EXP(-LN(2)/25)*BQ160+(1-EXP(-LN(2)/25))/(LN(2)/25)*Calculateur!BL161*Calculateur!BN161*VLOOKUP('Données projet'!$B$11,Paramètres!$A$1:$I$89,3,0)*0.475*44/12</f>
        <v>0.32444719238725594</v>
      </c>
      <c r="BR161" s="21">
        <f>EXP(-LN(2)/2)*BR160+(1-EXP(-LN(2)/2))/(LN(2)/2)*BL161*BO161*VLOOKUP('Données projet'!$B$11,Paramètres!$A$1:$I$89,3,0)*0.475*44/12</f>
        <v>1.168408727739909E-18</v>
      </c>
      <c r="BS161" s="22">
        <f t="shared" si="169"/>
        <v>0.5153650210673979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1.1368683772161603E-13</v>
      </c>
      <c r="BZ161" s="13">
        <f>BY161*VLOOKUP('Données projet'!$B$12,Paramètres!$A$1:$I$89,3,0)*VLOOKUP('Données projet'!$B$12,Paramètres!$A$1:$I$89,5,0)</f>
        <v>1.0818439477588981E-13</v>
      </c>
      <c r="CA161" s="13">
        <f t="shared" si="170"/>
        <v>1.6104228458716316E-12</v>
      </c>
      <c r="CB161" s="20">
        <f t="shared" si="171"/>
        <v>2.9932409441277661E-12</v>
      </c>
      <c r="CC161" s="59">
        <f t="shared" si="119"/>
        <v>293.33333333333633</v>
      </c>
      <c r="CD161" s="59">
        <f ca="1">AVERAGE(OFFSET($CC$3,0,0,'Données projet'!$E$12+1,1))-AVERAGE(OFFSET($H$3,0,0,'Données projet'!$E$12+1,1))</f>
        <v>609.40025883662452</v>
      </c>
      <c r="CE161" s="59">
        <f t="shared" si="148"/>
        <v>294.48909834404577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0.11336816481680516</v>
      </c>
      <c r="CM161" s="21">
        <f>EXP(-LN(2)/2)*CM160+(1-EXP(-LN(2)/2))/(LN(2)/2)*CG161*CJ161*VLOOKUP('Données projet'!$B$12,Paramètres!$A$1:$I$89,3,0)*0.475*44/12</f>
        <v>4.258896216627559E-19</v>
      </c>
      <c r="CN161" s="22">
        <f t="shared" si="172"/>
        <v>0.11336816481680516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-1.1368683772161603E-13</v>
      </c>
      <c r="CU161" s="17">
        <f>CT161*VLOOKUP('Données projet'!$B$13,Paramètres!$A$1:$I$89,3,0)*VLOOKUP('Données projet'!$B$13,Paramètres!$A$1:$I$89,5,0)</f>
        <v>-5.3205440053716299E-14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346.16623654404509</v>
      </c>
      <c r="CZ161" s="59">
        <f t="shared" si="150"/>
        <v>281.80933156559087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0.24846766677323692</v>
      </c>
      <c r="DG161" s="21">
        <f>EXP(-LN(2)/25)*DG160+(1-EXP(-LN(2)/25))/(LN(2)/25)*Calculateur!DB161*Calculateur!DD161*VLOOKUP('Données projet'!$B$13,Paramètres!$A$1:$I$89,3,0)*0.475*44/12</f>
        <v>0.22589066526464002</v>
      </c>
      <c r="DH161" s="21">
        <f>EXP(-LN(2)/2)*DH160+(1-EXP(-LN(2)/2))/(LN(2)/2)*DB161*DE161*VLOOKUP('Données projet'!$B$13,Paramètres!$A$1:$I$89,3,0)*0.475*44/12</f>
        <v>5.3300335500988974E-19</v>
      </c>
      <c r="DI161" s="22">
        <f t="shared" si="175"/>
        <v>0.47435833203787692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6.2527760746888816E-13</v>
      </c>
      <c r="DP161" s="17">
        <f>DO161*VLOOKUP('Données projet'!$B$14,Paramètres!$A$1:$I$89,3,0)*VLOOKUP('Données projet'!$B$14,Paramètres!$A$1:$I$89,5,0)</f>
        <v>3.9017322706058616E-13</v>
      </c>
      <c r="DQ161" s="13">
        <f t="shared" si="176"/>
        <v>5.0025007393608908E-12</v>
      </c>
      <c r="DR161" s="20">
        <f t="shared" si="177"/>
        <v>9.3922404915174053E-12</v>
      </c>
      <c r="DS161" s="59">
        <f t="shared" si="125"/>
        <v>293.33333333334269</v>
      </c>
      <c r="DT161" s="59">
        <f ca="1">AVERAGE(OFFSET($DS$3,0,0,'Données projet'!$E$14+1,1))-AVERAGE(OFFSET($H$3,0,0,'Données projet'!$E$14+1,1))</f>
        <v>319.97171762304686</v>
      </c>
      <c r="DU161" s="59">
        <f t="shared" si="152"/>
        <v>337.89345858359621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0.55116614534764341</v>
      </c>
      <c r="EB161" s="21">
        <f>EXP(-LN(2)/25)*EB160+(1-EXP(-LN(2)/25))/(LN(2)/25)*Calculateur!DW161*Calculateur!DY161*VLOOKUP('Données projet'!$B$14,Paramètres!$A$1:$I$89,3,0)*0.475*44/12</f>
        <v>0.59777427016329987</v>
      </c>
      <c r="EC161" s="21">
        <f>EXP(-LN(2)/2)*EC160+(1-EXP(-LN(2)/2))/(LN(2)/2)*DW161*DZ161*VLOOKUP('Données projet'!$B$14,Paramètres!$A$1:$I$89,3,0)*0.475*44/12</f>
        <v>1.094546301669096E-18</v>
      </c>
      <c r="ED161" s="22">
        <f t="shared" si="178"/>
        <v>1.1489404155109433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>
        <f>EJ161*VLOOKUP('Données projet'!$B$15,Paramètres!$A$1:$I$89,3,0)*VLOOKUP('Données projet'!$B$15,Paramètres!$A$1:$I$89,5,0)</f>
        <v>0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258.46015871559956</v>
      </c>
      <c r="EP161" s="59">
        <f t="shared" si="154"/>
        <v>280.26155987300996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0.49242514282073901</v>
      </c>
      <c r="EW161" s="21">
        <f>EXP(-LN(2)/25)*EW160+(1-EXP(-LN(2)/25))/(LN(2)/25)*Calculateur!ER161*Calculateur!ET161*VLOOKUP('Données projet'!$B$15,Paramètres!$A$1:$I$89,3,0)*0.475*44/12</f>
        <v>0.35458517404872475</v>
      </c>
      <c r="EX161" s="21">
        <f>EXP(-LN(2)/2)*EX160+(1-EXP(-LN(2)/2))/(LN(2)/2)*ER161*EU161*VLOOKUP('Données projet'!$B$15,Paramètres!$A$1:$I$89,3,0)*0.475*44/12</f>
        <v>2.9521157513294802E-19</v>
      </c>
      <c r="EY161" s="22">
        <f t="shared" si="181"/>
        <v>0.84701031686946382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243.00000000000017</v>
      </c>
      <c r="O162" s="13">
        <f>N162*VLOOKUP('Données projet'!$B$9,Paramètres!$A$1:$I$89,3,0)*VLOOKUP('Données projet'!$B$9,Paramètres!$A$1:$I$89,5,0)</f>
        <v>212.28480000000016</v>
      </c>
      <c r="P162" s="13">
        <f t="shared" si="141"/>
        <v>52.434557099704236</v>
      </c>
      <c r="Q162" s="20">
        <f t="shared" si="162"/>
        <v>461.0528802819851</v>
      </c>
      <c r="R162" s="59">
        <f t="shared" si="109"/>
        <v>754.38621361531841</v>
      </c>
      <c r="S162" s="59">
        <f ca="1">AVERAGE(OFFSET($R$3,0,0,'Données projet'!$E$9+1,1))-AVERAGE(OFFSET($H$3,0,0,'Données projet'!$E$9+1,1))</f>
        <v>368.41876532159154</v>
      </c>
      <c r="T162" s="59">
        <f t="shared" si="142"/>
        <v>369.39570124551125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0.47857857229368445</v>
      </c>
      <c r="AA162" s="21">
        <f>EXP(-LN(2)/25)*AA161+(1-EXP(-LN(2)/25))/(LN(2)/25)*Calculateur!V162*Calculateur!X162*VLOOKUP('Données projet'!$B$9,Paramètres!$A$1:$I$89,3,0)*0.475*44/12</f>
        <v>0.45369382185303714</v>
      </c>
      <c r="AB162" s="21">
        <f>EXP(-LN(2)/2)*AB161+(1-EXP(-LN(2)/2))/(LN(2)/2)*V162*Y162*VLOOKUP('Données projet'!$B$9,Paramètres!$A$1:$I$89,3,0)*0.475*44/12</f>
        <v>6.8119015843014733E-19</v>
      </c>
      <c r="AC162" s="22">
        <f t="shared" si="163"/>
        <v>0.93227239414672158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-5.1159076974727213E-13</v>
      </c>
      <c r="AJ162" s="13">
        <f>AI162*VLOOKUP('Données projet'!$B$10,Paramètres!$A$1:$I$89,3,0)*VLOOKUP('Données projet'!$B$10,Paramètres!$A$1:$I$89,5,0)</f>
        <v>-4.4692569645121704E-13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402.82278346470082</v>
      </c>
      <c r="AO162" s="59">
        <f t="shared" si="144"/>
        <v>440.17787299198977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0.27843452788494683</v>
      </c>
      <c r="AV162" s="21">
        <f>EXP(-LN(2)/25)*AV161+(1-EXP(-LN(2)/25))/(LN(2)/25)*Calculateur!AQ162*Calculateur!AS162*VLOOKUP('Données projet'!$B$10,Paramètres!$A$1:$I$89,3,0)*0.475*44/12</f>
        <v>0.63019074602562219</v>
      </c>
      <c r="AW162" s="21">
        <f>EXP(-LN(2)/2)*AW161+(1-EXP(-LN(2)/2))/(LN(2)/2)*AQ162*AT162*VLOOKUP('Données projet'!$B$10,Paramètres!$A$1:$I$89,3,0)*0.475*44/12</f>
        <v>1.011812748008833E-18</v>
      </c>
      <c r="AX162" s="21">
        <f t="shared" si="166"/>
        <v>0.90862527391056902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-3.4106051316484809E-13</v>
      </c>
      <c r="BE162" s="13">
        <f>BD162*VLOOKUP('Données projet'!$B$11,Paramètres!$A$1:$I$89,3,0)*VLOOKUP('Données projet'!$B$11,Paramètres!$A$1:$I$89,5,0)</f>
        <v>-3.0859155231155454E-13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469.68830256438338</v>
      </c>
      <c r="BJ162" s="59">
        <f t="shared" si="146"/>
        <v>332.61387922152159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0.18717404650810152</v>
      </c>
      <c r="BQ162" s="21">
        <f>EXP(-LN(2)/25)*BQ161+(1-EXP(-LN(2)/25))/(LN(2)/25)*Calculateur!BL162*Calculateur!BN162*VLOOKUP('Données projet'!$B$11,Paramètres!$A$1:$I$89,3,0)*0.475*44/12</f>
        <v>0.31557516684949011</v>
      </c>
      <c r="BR162" s="21">
        <f>EXP(-LN(2)/2)*BR161+(1-EXP(-LN(2)/2))/(LN(2)/2)*BL162*BO162*VLOOKUP('Données projet'!$B$11,Paramètres!$A$1:$I$89,3,0)*0.475*44/12</f>
        <v>8.261897345824362E-19</v>
      </c>
      <c r="BS162" s="22">
        <f t="shared" si="169"/>
        <v>0.5027492133575916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1.1368683772161603E-13</v>
      </c>
      <c r="BZ162" s="13">
        <f>BY162*VLOOKUP('Données projet'!$B$12,Paramètres!$A$1:$I$89,3,0)*VLOOKUP('Données projet'!$B$12,Paramètres!$A$1:$I$89,5,0)</f>
        <v>1.0818439477588981E-13</v>
      </c>
      <c r="CA162" s="13">
        <f t="shared" si="170"/>
        <v>1.6104228458716316E-12</v>
      </c>
      <c r="CB162" s="20">
        <f t="shared" si="171"/>
        <v>2.9932409441277661E-12</v>
      </c>
      <c r="CC162" s="59">
        <f t="shared" si="119"/>
        <v>293.33333333333633</v>
      </c>
      <c r="CD162" s="59">
        <f ca="1">AVERAGE(OFFSET($CC$3,0,0,'Données projet'!$E$12+1,1))-AVERAGE(OFFSET($H$3,0,0,'Données projet'!$E$12+1,1))</f>
        <v>609.40025883662452</v>
      </c>
      <c r="CE162" s="59">
        <f t="shared" si="148"/>
        <v>294.48909834404577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0.11026810638811695</v>
      </c>
      <c r="CM162" s="21">
        <f>EXP(-LN(2)/2)*CM161+(1-EXP(-LN(2)/2))/(LN(2)/2)*CG162*CJ162*VLOOKUP('Données projet'!$B$12,Paramètres!$A$1:$I$89,3,0)*0.475*44/12</f>
        <v>3.0114943951470787E-19</v>
      </c>
      <c r="CN162" s="22">
        <f t="shared" si="172"/>
        <v>0.11026810638811695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-1.1368683772161603E-13</v>
      </c>
      <c r="CU162" s="17">
        <f>CT162*VLOOKUP('Données projet'!$B$13,Paramètres!$A$1:$I$89,3,0)*VLOOKUP('Données projet'!$B$13,Paramètres!$A$1:$I$89,5,0)</f>
        <v>-5.3205440053716299E-14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346.16623654404509</v>
      </c>
      <c r="CZ162" s="59">
        <f t="shared" si="150"/>
        <v>281.80933156559087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0.24359536737812612</v>
      </c>
      <c r="DG162" s="21">
        <f>EXP(-LN(2)/25)*DG161+(1-EXP(-LN(2)/25))/(LN(2)/25)*Calculateur!DB162*Calculateur!DD162*VLOOKUP('Données projet'!$B$13,Paramètres!$A$1:$I$89,3,0)*0.475*44/12</f>
        <v>0.21971367314390464</v>
      </c>
      <c r="DH162" s="21">
        <f>EXP(-LN(2)/2)*DH161+(1-EXP(-LN(2)/2))/(LN(2)/2)*DB162*DE162*VLOOKUP('Données projet'!$B$13,Paramètres!$A$1:$I$89,3,0)*0.475*44/12</f>
        <v>3.7689028672267382E-19</v>
      </c>
      <c r="DI162" s="22">
        <f t="shared" si="175"/>
        <v>0.46330904052203076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6.2527760746888816E-13</v>
      </c>
      <c r="DP162" s="17">
        <f>DO162*VLOOKUP('Données projet'!$B$14,Paramètres!$A$1:$I$89,3,0)*VLOOKUP('Données projet'!$B$14,Paramètres!$A$1:$I$89,5,0)</f>
        <v>3.9017322706058616E-13</v>
      </c>
      <c r="DQ162" s="13">
        <f t="shared" si="176"/>
        <v>5.0025007393608908E-12</v>
      </c>
      <c r="DR162" s="20">
        <f t="shared" si="177"/>
        <v>9.3922404915174053E-12</v>
      </c>
      <c r="DS162" s="59">
        <f t="shared" si="125"/>
        <v>293.33333333334269</v>
      </c>
      <c r="DT162" s="59">
        <f ca="1">AVERAGE(OFFSET($DS$3,0,0,'Données projet'!$E$14+1,1))-AVERAGE(OFFSET($H$3,0,0,'Données projet'!$E$14+1,1))</f>
        <v>319.97171762304686</v>
      </c>
      <c r="DU162" s="59">
        <f t="shared" si="152"/>
        <v>337.89345858359621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0.54035811341552997</v>
      </c>
      <c r="EB162" s="21">
        <f>EXP(-LN(2)/25)*EB161+(1-EXP(-LN(2)/25))/(LN(2)/25)*Calculateur!DW162*Calculateur!DY162*VLOOKUP('Données projet'!$B$14,Paramètres!$A$1:$I$89,3,0)*0.475*44/12</f>
        <v>0.58142810131010181</v>
      </c>
      <c r="EC162" s="21">
        <f>EXP(-LN(2)/2)*EC161+(1-EXP(-LN(2)/2))/(LN(2)/2)*DW162*DZ162*VLOOKUP('Données projet'!$B$14,Paramètres!$A$1:$I$89,3,0)*0.475*44/12</f>
        <v>7.7396111223287432E-19</v>
      </c>
      <c r="ED162" s="22">
        <f t="shared" si="178"/>
        <v>1.1217862147256317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>
        <f>EJ162*VLOOKUP('Données projet'!$B$15,Paramètres!$A$1:$I$89,3,0)*VLOOKUP('Données projet'!$B$15,Paramètres!$A$1:$I$89,5,0)</f>
        <v>0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258.46015871559956</v>
      </c>
      <c r="EP162" s="59">
        <f t="shared" si="154"/>
        <v>280.26155987300996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0.48276898611970437</v>
      </c>
      <c r="EW162" s="21">
        <f>EXP(-LN(2)/25)*EW161+(1-EXP(-LN(2)/25))/(LN(2)/25)*Calculateur!ER162*Calculateur!ET162*VLOOKUP('Données projet'!$B$15,Paramètres!$A$1:$I$89,3,0)*0.475*44/12</f>
        <v>0.3448890238175385</v>
      </c>
      <c r="EX162" s="21">
        <f>EXP(-LN(2)/2)*EX161+(1-EXP(-LN(2)/2))/(LN(2)/2)*ER162*EU162*VLOOKUP('Données projet'!$B$15,Paramètres!$A$1:$I$89,3,0)*0.475*44/12</f>
        <v>2.0874610666126951E-19</v>
      </c>
      <c r="EY162" s="22">
        <f t="shared" si="181"/>
        <v>0.82765800993724281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243.00000000000017</v>
      </c>
      <c r="O163" s="13">
        <f>N163*VLOOKUP('Données projet'!$B$9,Paramètres!$A$1:$I$89,3,0)*VLOOKUP('Données projet'!$B$9,Paramètres!$A$1:$I$89,5,0)</f>
        <v>212.28480000000016</v>
      </c>
      <c r="P163" s="13">
        <f t="shared" si="141"/>
        <v>52.434557099704236</v>
      </c>
      <c r="Q163" s="20">
        <f t="shared" si="162"/>
        <v>461.0528802819851</v>
      </c>
      <c r="R163" s="59">
        <f t="shared" si="109"/>
        <v>754.38621361531841</v>
      </c>
      <c r="S163" s="59">
        <f ca="1">AVERAGE(OFFSET($R$3,0,0,'Données projet'!$E$9+1,1))-AVERAGE(OFFSET($H$3,0,0,'Données projet'!$E$9+1,1))</f>
        <v>368.41876532159154</v>
      </c>
      <c r="T163" s="59">
        <f t="shared" si="142"/>
        <v>369.39570124551125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0.46919393839511125</v>
      </c>
      <c r="AA163" s="21">
        <f>EXP(-LN(2)/25)*AA162+(1-EXP(-LN(2)/25))/(LN(2)/25)*Calculateur!V163*Calculateur!X163*VLOOKUP('Données projet'!$B$9,Paramètres!$A$1:$I$89,3,0)*0.475*44/12</f>
        <v>0.4412875404357447</v>
      </c>
      <c r="AB163" s="21">
        <f>EXP(-LN(2)/2)*AB162+(1-EXP(-LN(2)/2))/(LN(2)/2)*V163*Y163*VLOOKUP('Données projet'!$B$9,Paramètres!$A$1:$I$89,3,0)*0.475*44/12</f>
        <v>4.8167418030349582E-19</v>
      </c>
      <c r="AC163" s="22">
        <f t="shared" si="163"/>
        <v>0.91048147883085595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-5.1159076974727213E-13</v>
      </c>
      <c r="AJ163" s="13">
        <f>AI163*VLOOKUP('Données projet'!$B$10,Paramètres!$A$1:$I$89,3,0)*VLOOKUP('Données projet'!$B$10,Paramètres!$A$1:$I$89,5,0)</f>
        <v>-4.4692569645121704E-13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402.82278346470082</v>
      </c>
      <c r="AO163" s="59">
        <f t="shared" si="144"/>
        <v>440.17787299198977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0.27297459662141588</v>
      </c>
      <c r="AV163" s="21">
        <f>EXP(-LN(2)/25)*AV162+(1-EXP(-LN(2)/25))/(LN(2)/25)*Calculateur!AQ163*Calculateur!AS163*VLOOKUP('Données projet'!$B$10,Paramètres!$A$1:$I$89,3,0)*0.475*44/12</f>
        <v>0.61295814693526052</v>
      </c>
      <c r="AW163" s="21">
        <f>EXP(-LN(2)/2)*AW162+(1-EXP(-LN(2)/2))/(LN(2)/2)*AQ163*AT163*VLOOKUP('Données projet'!$B$10,Paramètres!$A$1:$I$89,3,0)*0.475*44/12</f>
        <v>7.1545965540804127E-19</v>
      </c>
      <c r="AX163" s="21">
        <f t="shared" si="166"/>
        <v>0.88593274355667639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-3.4106051316484809E-13</v>
      </c>
      <c r="BE163" s="13">
        <f>BD163*VLOOKUP('Données projet'!$B$11,Paramètres!$A$1:$I$89,3,0)*VLOOKUP('Données projet'!$B$11,Paramètres!$A$1:$I$89,5,0)</f>
        <v>-3.0859155231155454E-13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469.68830256438338</v>
      </c>
      <c r="BJ163" s="59">
        <f t="shared" si="146"/>
        <v>332.61387922152159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0.18350367762097317</v>
      </c>
      <c r="BQ163" s="21">
        <f>EXP(-LN(2)/25)*BQ162+(1-EXP(-LN(2)/25))/(LN(2)/25)*Calculateur!BL163*Calculateur!BN163*VLOOKUP('Données projet'!$B$11,Paramètres!$A$1:$I$89,3,0)*0.475*44/12</f>
        <v>0.30694574731661406</v>
      </c>
      <c r="BR163" s="21">
        <f>EXP(-LN(2)/2)*BR162+(1-EXP(-LN(2)/2))/(LN(2)/2)*BL163*BO163*VLOOKUP('Données projet'!$B$11,Paramètres!$A$1:$I$89,3,0)*0.475*44/12</f>
        <v>5.8420436386995448E-19</v>
      </c>
      <c r="BS163" s="22">
        <f t="shared" si="169"/>
        <v>0.49044942493758725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1.1368683772161603E-13</v>
      </c>
      <c r="BZ163" s="13">
        <f>BY163*VLOOKUP('Données projet'!$B$12,Paramètres!$A$1:$I$89,3,0)*VLOOKUP('Données projet'!$B$12,Paramètres!$A$1:$I$89,5,0)</f>
        <v>1.0818439477588981E-13</v>
      </c>
      <c r="CA163" s="13">
        <f t="shared" si="170"/>
        <v>1.6104228458716316E-12</v>
      </c>
      <c r="CB163" s="20">
        <f t="shared" si="171"/>
        <v>2.9932409441277661E-12</v>
      </c>
      <c r="CC163" s="59">
        <f t="shared" si="119"/>
        <v>293.33333333333633</v>
      </c>
      <c r="CD163" s="59">
        <f ca="1">AVERAGE(OFFSET($CC$3,0,0,'Données projet'!$E$12+1,1))-AVERAGE(OFFSET($H$3,0,0,'Données projet'!$E$12+1,1))</f>
        <v>609.40025883662452</v>
      </c>
      <c r="CE163" s="59">
        <f t="shared" si="148"/>
        <v>294.48909834404577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0.10725281922018619</v>
      </c>
      <c r="CM163" s="21">
        <f>EXP(-LN(2)/2)*CM162+(1-EXP(-LN(2)/2))/(LN(2)/2)*CG163*CJ163*VLOOKUP('Données projet'!$B$12,Paramètres!$A$1:$I$89,3,0)*0.475*44/12</f>
        <v>2.1294481083137798E-19</v>
      </c>
      <c r="CN163" s="22">
        <f t="shared" si="172"/>
        <v>0.10725281922018619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-1.1368683772161603E-13</v>
      </c>
      <c r="CU163" s="17">
        <f>CT163*VLOOKUP('Données projet'!$B$13,Paramètres!$A$1:$I$89,3,0)*VLOOKUP('Données projet'!$B$13,Paramètres!$A$1:$I$89,5,0)</f>
        <v>-5.3205440053716299E-14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346.16623654404509</v>
      </c>
      <c r="CZ163" s="59">
        <f t="shared" si="150"/>
        <v>281.80933156559087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0.23881861080234426</v>
      </c>
      <c r="DG163" s="21">
        <f>EXP(-LN(2)/25)*DG162+(1-EXP(-LN(2)/25))/(LN(2)/25)*Calculateur!DB163*Calculateur!DD163*VLOOKUP('Données projet'!$B$13,Paramètres!$A$1:$I$89,3,0)*0.475*44/12</f>
        <v>0.21370559119754465</v>
      </c>
      <c r="DH163" s="21">
        <f>EXP(-LN(2)/2)*DH162+(1-EXP(-LN(2)/2))/(LN(2)/2)*DB163*DE163*VLOOKUP('Données projet'!$B$13,Paramètres!$A$1:$I$89,3,0)*0.475*44/12</f>
        <v>2.6650167750494487E-19</v>
      </c>
      <c r="DI163" s="22">
        <f t="shared" si="175"/>
        <v>0.45252420199988891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6.2527760746888816E-13</v>
      </c>
      <c r="DP163" s="17">
        <f>DO163*VLOOKUP('Données projet'!$B$14,Paramètres!$A$1:$I$89,3,0)*VLOOKUP('Données projet'!$B$14,Paramètres!$A$1:$I$89,5,0)</f>
        <v>3.9017322706058616E-13</v>
      </c>
      <c r="DQ163" s="13">
        <f t="shared" si="176"/>
        <v>5.0025007393608908E-12</v>
      </c>
      <c r="DR163" s="20">
        <f t="shared" si="177"/>
        <v>9.3922404915174053E-12</v>
      </c>
      <c r="DS163" s="59">
        <f t="shared" si="125"/>
        <v>293.33333333334269</v>
      </c>
      <c r="DT163" s="59">
        <f ca="1">AVERAGE(OFFSET($DS$3,0,0,'Données projet'!$E$14+1,1))-AVERAGE(OFFSET($H$3,0,0,'Données projet'!$E$14+1,1))</f>
        <v>319.97171762304686</v>
      </c>
      <c r="DU163" s="59">
        <f t="shared" si="152"/>
        <v>337.89345858359621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0.52976202039735676</v>
      </c>
      <c r="EB163" s="21">
        <f>EXP(-LN(2)/25)*EB162+(1-EXP(-LN(2)/25))/(LN(2)/25)*Calculateur!DW163*Calculateur!DY163*VLOOKUP('Données projet'!$B$14,Paramètres!$A$1:$I$89,3,0)*0.475*44/12</f>
        <v>0.56552891930380211</v>
      </c>
      <c r="EC163" s="21">
        <f>EXP(-LN(2)/2)*EC162+(1-EXP(-LN(2)/2))/(LN(2)/2)*DW163*DZ163*VLOOKUP('Données projet'!$B$14,Paramètres!$A$1:$I$89,3,0)*0.475*44/12</f>
        <v>5.4727315083454801E-19</v>
      </c>
      <c r="ED163" s="22">
        <f t="shared" si="178"/>
        <v>1.095290939701159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>
        <f>EJ163*VLOOKUP('Données projet'!$B$15,Paramètres!$A$1:$I$89,3,0)*VLOOKUP('Données projet'!$B$15,Paramètres!$A$1:$I$89,5,0)</f>
        <v>0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258.46015871559956</v>
      </c>
      <c r="EP163" s="59">
        <f t="shared" si="154"/>
        <v>280.26155987300996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0.473302180761903</v>
      </c>
      <c r="EW163" s="21">
        <f>EXP(-LN(2)/25)*EW162+(1-EXP(-LN(2)/25))/(LN(2)/25)*Calculateur!ER163*Calculateur!ET163*VLOOKUP('Données projet'!$B$15,Paramètres!$A$1:$I$89,3,0)*0.475*44/12</f>
        <v>0.3354580153243224</v>
      </c>
      <c r="EX163" s="21">
        <f>EXP(-LN(2)/2)*EX162+(1-EXP(-LN(2)/2))/(LN(2)/2)*ER163*EU163*VLOOKUP('Données projet'!$B$15,Paramètres!$A$1:$I$89,3,0)*0.475*44/12</f>
        <v>1.4760578756647401E-19</v>
      </c>
      <c r="EY163" s="22">
        <f t="shared" si="181"/>
        <v>0.8087601960862254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243.00000000000017</v>
      </c>
      <c r="O164" s="13">
        <f>N164*VLOOKUP('Données projet'!$B$9,Paramètres!$A$1:$I$89,3,0)*VLOOKUP('Données projet'!$B$9,Paramètres!$A$1:$I$89,5,0)</f>
        <v>212.28480000000016</v>
      </c>
      <c r="P164" s="13">
        <f t="shared" si="141"/>
        <v>52.434557099704236</v>
      </c>
      <c r="Q164" s="20">
        <f t="shared" si="162"/>
        <v>461.0528802819851</v>
      </c>
      <c r="R164" s="59">
        <f t="shared" si="109"/>
        <v>754.38621361531841</v>
      </c>
      <c r="S164" s="59">
        <f ca="1">AVERAGE(OFFSET($R$3,0,0,'Données projet'!$E$9+1,1))-AVERAGE(OFFSET($H$3,0,0,'Données projet'!$E$9+1,1))</f>
        <v>368.41876532159154</v>
      </c>
      <c r="T164" s="59">
        <f t="shared" si="142"/>
        <v>369.39570124551125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0.45999333144322763</v>
      </c>
      <c r="AA164" s="21">
        <f>EXP(-LN(2)/25)*AA163+(1-EXP(-LN(2)/25))/(LN(2)/25)*Calculateur!V164*Calculateur!X164*VLOOKUP('Données projet'!$B$9,Paramètres!$A$1:$I$89,3,0)*0.475*44/12</f>
        <v>0.42922050943622608</v>
      </c>
      <c r="AB164" s="21">
        <f>EXP(-LN(2)/2)*AB163+(1-EXP(-LN(2)/2))/(LN(2)/2)*V164*Y164*VLOOKUP('Données projet'!$B$9,Paramètres!$A$1:$I$89,3,0)*0.475*44/12</f>
        <v>3.4059507921507366E-19</v>
      </c>
      <c r="AC164" s="22">
        <f t="shared" si="163"/>
        <v>0.88921384087945365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-5.1159076974727213E-13</v>
      </c>
      <c r="AJ164" s="13">
        <f>AI164*VLOOKUP('Données projet'!$B$10,Paramètres!$A$1:$I$89,3,0)*VLOOKUP('Données projet'!$B$10,Paramètres!$A$1:$I$89,5,0)</f>
        <v>-4.4692569645121704E-13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402.82278346470082</v>
      </c>
      <c r="AO164" s="59">
        <f t="shared" si="144"/>
        <v>440.17787299198977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0.26762173127973354</v>
      </c>
      <c r="AV164" s="21">
        <f>EXP(-LN(2)/25)*AV163+(1-EXP(-LN(2)/25))/(LN(2)/25)*Calculateur!AQ164*Calculateur!AS164*VLOOKUP('Données projet'!$B$10,Paramètres!$A$1:$I$89,3,0)*0.475*44/12</f>
        <v>0.59619677417324779</v>
      </c>
      <c r="AW164" s="21">
        <f>EXP(-LN(2)/2)*AW163+(1-EXP(-LN(2)/2))/(LN(2)/2)*AQ164*AT164*VLOOKUP('Données projet'!$B$10,Paramètres!$A$1:$I$89,3,0)*0.475*44/12</f>
        <v>5.0590637400441652E-19</v>
      </c>
      <c r="AX164" s="21">
        <f t="shared" si="166"/>
        <v>0.86381850545298133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-3.4106051316484809E-13</v>
      </c>
      <c r="BE164" s="13">
        <f>BD164*VLOOKUP('Données projet'!$B$11,Paramètres!$A$1:$I$89,3,0)*VLOOKUP('Données projet'!$B$11,Paramètres!$A$1:$I$89,5,0)</f>
        <v>-3.0859155231155454E-13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469.68830256438338</v>
      </c>
      <c r="BJ164" s="59">
        <f t="shared" si="146"/>
        <v>332.61387922152159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0.17990528242901743</v>
      </c>
      <c r="BQ164" s="21">
        <f>EXP(-LN(2)/25)*BQ163+(1-EXP(-LN(2)/25))/(LN(2)/25)*Calculateur!BL164*Calculateur!BN164*VLOOKUP('Données projet'!$B$11,Paramètres!$A$1:$I$89,3,0)*0.475*44/12</f>
        <v>0.2985522997146659</v>
      </c>
      <c r="BR164" s="21">
        <f>EXP(-LN(2)/2)*BR163+(1-EXP(-LN(2)/2))/(LN(2)/2)*BL164*BO164*VLOOKUP('Données projet'!$B$11,Paramètres!$A$1:$I$89,3,0)*0.475*44/12</f>
        <v>4.130948672912181E-19</v>
      </c>
      <c r="BS164" s="22">
        <f t="shared" si="169"/>
        <v>0.47845758214368334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1.1368683772161603E-13</v>
      </c>
      <c r="BZ164" s="13">
        <f>BY164*VLOOKUP('Données projet'!$B$12,Paramètres!$A$1:$I$89,3,0)*VLOOKUP('Données projet'!$B$12,Paramètres!$A$1:$I$89,5,0)</f>
        <v>1.0818439477588981E-13</v>
      </c>
      <c r="CA164" s="13">
        <f t="shared" si="170"/>
        <v>1.6104228458716316E-12</v>
      </c>
      <c r="CB164" s="20">
        <f t="shared" si="171"/>
        <v>2.9932409441277661E-12</v>
      </c>
      <c r="CC164" s="59">
        <f t="shared" si="119"/>
        <v>293.33333333333633</v>
      </c>
      <c r="CD164" s="59">
        <f ca="1">AVERAGE(OFFSET($CC$3,0,0,'Données projet'!$E$12+1,1))-AVERAGE(OFFSET($H$3,0,0,'Données projet'!$E$12+1,1))</f>
        <v>609.40025883662452</v>
      </c>
      <c r="CE164" s="59">
        <f t="shared" si="148"/>
        <v>294.48909834404577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0.10431998523842956</v>
      </c>
      <c r="CM164" s="21">
        <f>EXP(-LN(2)/2)*CM163+(1-EXP(-LN(2)/2))/(LN(2)/2)*CG164*CJ164*VLOOKUP('Données projet'!$B$12,Paramètres!$A$1:$I$89,3,0)*0.475*44/12</f>
        <v>1.5057471975735396E-19</v>
      </c>
      <c r="CN164" s="22">
        <f t="shared" si="172"/>
        <v>0.10431998523842956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-1.1368683772161603E-13</v>
      </c>
      <c r="CU164" s="17">
        <f>CT164*VLOOKUP('Données projet'!$B$13,Paramètres!$A$1:$I$89,3,0)*VLOOKUP('Données projet'!$B$13,Paramètres!$A$1:$I$89,5,0)</f>
        <v>-5.3205440053716299E-14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346.16623654404509</v>
      </c>
      <c r="CZ164" s="59">
        <f t="shared" si="150"/>
        <v>281.80933156559087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0.23413552350947966</v>
      </c>
      <c r="DG164" s="21">
        <f>EXP(-LN(2)/25)*DG163+(1-EXP(-LN(2)/25))/(LN(2)/25)*Calculateur!DB164*Calculateur!DD164*VLOOKUP('Données projet'!$B$13,Paramètres!$A$1:$I$89,3,0)*0.475*44/12</f>
        <v>0.20786180056795917</v>
      </c>
      <c r="DH164" s="21">
        <f>EXP(-LN(2)/2)*DH163+(1-EXP(-LN(2)/2))/(LN(2)/2)*DB164*DE164*VLOOKUP('Données projet'!$B$13,Paramètres!$A$1:$I$89,3,0)*0.475*44/12</f>
        <v>1.8844514336133691E-19</v>
      </c>
      <c r="DI164" s="22">
        <f t="shared" si="175"/>
        <v>0.44199732407743886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6.2527760746888816E-13</v>
      </c>
      <c r="DP164" s="17">
        <f>DO164*VLOOKUP('Données projet'!$B$14,Paramètres!$A$1:$I$89,3,0)*VLOOKUP('Données projet'!$B$14,Paramètres!$A$1:$I$89,5,0)</f>
        <v>3.9017322706058616E-13</v>
      </c>
      <c r="DQ164" s="13">
        <f t="shared" si="176"/>
        <v>5.0025007393608908E-12</v>
      </c>
      <c r="DR164" s="20">
        <f t="shared" si="177"/>
        <v>9.3922404915174053E-12</v>
      </c>
      <c r="DS164" s="59">
        <f t="shared" si="125"/>
        <v>293.33333333334269</v>
      </c>
      <c r="DT164" s="59">
        <f ca="1">AVERAGE(OFFSET($DS$3,0,0,'Données projet'!$E$14+1,1))-AVERAGE(OFFSET($H$3,0,0,'Données projet'!$E$14+1,1))</f>
        <v>319.97171762304686</v>
      </c>
      <c r="DU164" s="59">
        <f t="shared" si="152"/>
        <v>337.89345858359621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0.51937371030029134</v>
      </c>
      <c r="EB164" s="21">
        <f>EXP(-LN(2)/25)*EB163+(1-EXP(-LN(2)/25))/(LN(2)/25)*Calculateur!DW164*Calculateur!DY164*VLOOKUP('Données projet'!$B$14,Paramètres!$A$1:$I$89,3,0)*0.475*44/12</f>
        <v>0.55006450126556627</v>
      </c>
      <c r="EC164" s="21">
        <f>EXP(-LN(2)/2)*EC163+(1-EXP(-LN(2)/2))/(LN(2)/2)*DW164*DZ164*VLOOKUP('Données projet'!$B$14,Paramètres!$A$1:$I$89,3,0)*0.475*44/12</f>
        <v>3.8698055611643716E-19</v>
      </c>
      <c r="ED164" s="22">
        <f t="shared" si="178"/>
        <v>1.0694382115658576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>
        <f>EJ164*VLOOKUP('Données projet'!$B$15,Paramètres!$A$1:$I$89,3,0)*VLOOKUP('Données projet'!$B$15,Paramètres!$A$1:$I$89,5,0)</f>
        <v>0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258.46015871559956</v>
      </c>
      <c r="EP164" s="59">
        <f t="shared" si="154"/>
        <v>280.26155987300996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0.46402101368298698</v>
      </c>
      <c r="EW164" s="21">
        <f>EXP(-LN(2)/25)*EW163+(1-EXP(-LN(2)/25))/(LN(2)/25)*Calculateur!ER164*Calculateur!ET164*VLOOKUP('Données projet'!$B$15,Paramètres!$A$1:$I$89,3,0)*0.475*44/12</f>
        <v>0.32628489825430845</v>
      </c>
      <c r="EX164" s="21">
        <f>EXP(-LN(2)/2)*EX163+(1-EXP(-LN(2)/2))/(LN(2)/2)*ER164*EU164*VLOOKUP('Données projet'!$B$15,Paramètres!$A$1:$I$89,3,0)*0.475*44/12</f>
        <v>1.0437305333063476E-19</v>
      </c>
      <c r="EY164" s="22">
        <f t="shared" si="181"/>
        <v>0.79030591193729549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243.00000000000017</v>
      </c>
      <c r="O165" s="13">
        <f>N165*VLOOKUP('Données projet'!$B$9,Paramètres!$A$1:$I$89,3,0)*VLOOKUP('Données projet'!$B$9,Paramètres!$A$1:$I$89,5,0)</f>
        <v>212.28480000000016</v>
      </c>
      <c r="P165" s="13">
        <f t="shared" si="141"/>
        <v>52.434557099704236</v>
      </c>
      <c r="Q165" s="20">
        <f t="shared" si="162"/>
        <v>461.0528802819851</v>
      </c>
      <c r="R165" s="59">
        <f t="shared" si="109"/>
        <v>754.38621361531841</v>
      </c>
      <c r="S165" s="59">
        <f ca="1">AVERAGE(OFFSET($R$3,0,0,'Données projet'!$E$9+1,1))-AVERAGE(OFFSET($H$3,0,0,'Données projet'!$E$9+1,1))</f>
        <v>368.41876532159154</v>
      </c>
      <c r="T165" s="59">
        <f t="shared" si="142"/>
        <v>369.39570124551125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0.4509731427818543</v>
      </c>
      <c r="AA165" s="21">
        <f>EXP(-LN(2)/25)*AA164+(1-EXP(-LN(2)/25))/(LN(2)/25)*Calculateur!V165*Calculateur!X165*VLOOKUP('Données projet'!$B$9,Paramètres!$A$1:$I$89,3,0)*0.475*44/12</f>
        <v>0.41748345203396686</v>
      </c>
      <c r="AB165" s="21">
        <f>EXP(-LN(2)/2)*AB164+(1-EXP(-LN(2)/2))/(LN(2)/2)*V165*Y165*VLOOKUP('Données projet'!$B$9,Paramètres!$A$1:$I$89,3,0)*0.475*44/12</f>
        <v>2.4083709015174791E-19</v>
      </c>
      <c r="AC165" s="22">
        <f t="shared" si="163"/>
        <v>0.86845659481582116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-5.1159076974727213E-13</v>
      </c>
      <c r="AJ165" s="13">
        <f>AI165*VLOOKUP('Données projet'!$B$10,Paramètres!$A$1:$I$89,3,0)*VLOOKUP('Données projet'!$B$10,Paramètres!$A$1:$I$89,5,0)</f>
        <v>-4.4692569645121704E-13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402.82278346470082</v>
      </c>
      <c r="AO165" s="59">
        <f t="shared" si="144"/>
        <v>440.17787299198977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0.26237383236247613</v>
      </c>
      <c r="AV165" s="21">
        <f>EXP(-LN(2)/25)*AV164+(1-EXP(-LN(2)/25))/(LN(2)/25)*Calculateur!AQ165*Calculateur!AS165*VLOOKUP('Données projet'!$B$10,Paramètres!$A$1:$I$89,3,0)*0.475*44/12</f>
        <v>0.57989374203085464</v>
      </c>
      <c r="AW165" s="21">
        <f>EXP(-LN(2)/2)*AW164+(1-EXP(-LN(2)/2))/(LN(2)/2)*AQ165*AT165*VLOOKUP('Données projet'!$B$10,Paramètres!$A$1:$I$89,3,0)*0.475*44/12</f>
        <v>3.5772982770402064E-19</v>
      </c>
      <c r="AX165" s="21">
        <f t="shared" si="166"/>
        <v>0.84226757439333078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-3.4106051316484809E-13</v>
      </c>
      <c r="BE165" s="13">
        <f>BD165*VLOOKUP('Données projet'!$B$11,Paramètres!$A$1:$I$89,3,0)*VLOOKUP('Données projet'!$B$11,Paramètres!$A$1:$I$89,5,0)</f>
        <v>-3.0859155231155454E-13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469.68830256438338</v>
      </c>
      <c r="BJ165" s="59">
        <f t="shared" si="146"/>
        <v>332.61387922152159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0.1763774495719716</v>
      </c>
      <c r="BQ165" s="21">
        <f>EXP(-LN(2)/25)*BQ164+(1-EXP(-LN(2)/25))/(LN(2)/25)*Calculateur!BL165*Calculateur!BN165*VLOOKUP('Données projet'!$B$11,Paramètres!$A$1:$I$89,3,0)*0.475*44/12</f>
        <v>0.29038837137878526</v>
      </c>
      <c r="BR165" s="21">
        <f>EXP(-LN(2)/2)*BR164+(1-EXP(-LN(2)/2))/(LN(2)/2)*BL165*BO165*VLOOKUP('Données projet'!$B$11,Paramètres!$A$1:$I$89,3,0)*0.475*44/12</f>
        <v>2.9210218193497724E-19</v>
      </c>
      <c r="BS165" s="22">
        <f t="shared" si="169"/>
        <v>0.46676582095075686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1.1368683772161603E-13</v>
      </c>
      <c r="BZ165" s="13">
        <f>BY165*VLOOKUP('Données projet'!$B$12,Paramètres!$A$1:$I$89,3,0)*VLOOKUP('Données projet'!$B$12,Paramètres!$A$1:$I$89,5,0)</f>
        <v>1.0818439477588981E-13</v>
      </c>
      <c r="CA165" s="13">
        <f t="shared" si="170"/>
        <v>1.6104228458716316E-12</v>
      </c>
      <c r="CB165" s="20">
        <f t="shared" si="171"/>
        <v>2.9932409441277661E-12</v>
      </c>
      <c r="CC165" s="59">
        <f t="shared" si="119"/>
        <v>293.33333333333633</v>
      </c>
      <c r="CD165" s="59">
        <f ca="1">AVERAGE(OFFSET($CC$3,0,0,'Données projet'!$E$12+1,1))-AVERAGE(OFFSET($H$3,0,0,'Données projet'!$E$12+1,1))</f>
        <v>609.40025883662452</v>
      </c>
      <c r="CE165" s="59">
        <f t="shared" si="148"/>
        <v>294.48909834404577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0.10146734975613511</v>
      </c>
      <c r="CM165" s="21">
        <f>EXP(-LN(2)/2)*CM164+(1-EXP(-LN(2)/2))/(LN(2)/2)*CG165*CJ165*VLOOKUP('Données projet'!$B$12,Paramètres!$A$1:$I$89,3,0)*0.475*44/12</f>
        <v>1.0647240541568901E-19</v>
      </c>
      <c r="CN165" s="22">
        <f t="shared" si="172"/>
        <v>0.10146734975613511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-1.1368683772161603E-13</v>
      </c>
      <c r="CU165" s="17">
        <f>CT165*VLOOKUP('Données projet'!$B$13,Paramètres!$A$1:$I$89,3,0)*VLOOKUP('Données projet'!$B$13,Paramètres!$A$1:$I$89,5,0)</f>
        <v>-5.3205440053716299E-14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346.16623654404509</v>
      </c>
      <c r="CZ165" s="59">
        <f t="shared" si="150"/>
        <v>281.80933156559087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0.22954426870202693</v>
      </c>
      <c r="DG165" s="21">
        <f>EXP(-LN(2)/25)*DG164+(1-EXP(-LN(2)/25))/(LN(2)/25)*Calculateur!DB165*Calculateur!DD165*VLOOKUP('Données projet'!$B$13,Paramètres!$A$1:$I$89,3,0)*0.475*44/12</f>
        <v>0.20217780870045129</v>
      </c>
      <c r="DH165" s="21">
        <f>EXP(-LN(2)/2)*DH164+(1-EXP(-LN(2)/2))/(LN(2)/2)*DB165*DE165*VLOOKUP('Données projet'!$B$13,Paramètres!$A$1:$I$89,3,0)*0.475*44/12</f>
        <v>1.3325083875247244E-19</v>
      </c>
      <c r="DI165" s="22">
        <f t="shared" si="175"/>
        <v>0.43172207740247825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6.2527760746888816E-13</v>
      </c>
      <c r="DP165" s="17">
        <f>DO165*VLOOKUP('Données projet'!$B$14,Paramètres!$A$1:$I$89,3,0)*VLOOKUP('Données projet'!$B$14,Paramètres!$A$1:$I$89,5,0)</f>
        <v>3.9017322706058616E-13</v>
      </c>
      <c r="DQ165" s="13">
        <f t="shared" si="176"/>
        <v>5.0025007393608908E-12</v>
      </c>
      <c r="DR165" s="20">
        <f t="shared" si="177"/>
        <v>9.3922404915174053E-12</v>
      </c>
      <c r="DS165" s="59">
        <f t="shared" si="125"/>
        <v>293.33333333334269</v>
      </c>
      <c r="DT165" s="59">
        <f ca="1">AVERAGE(OFFSET($DS$3,0,0,'Données projet'!$E$14+1,1))-AVERAGE(OFFSET($H$3,0,0,'Données projet'!$E$14+1,1))</f>
        <v>319.97171762304686</v>
      </c>
      <c r="DU165" s="59">
        <f t="shared" si="152"/>
        <v>337.89345858359621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0.50918910862798583</v>
      </c>
      <c r="EB165" s="21">
        <f>EXP(-LN(2)/25)*EB164+(1-EXP(-LN(2)/25))/(LN(2)/25)*Calculateur!DW165*Calculateur!DY165*VLOOKUP('Données projet'!$B$14,Paramètres!$A$1:$I$89,3,0)*0.475*44/12</f>
        <v>0.53502295855182447</v>
      </c>
      <c r="EC165" s="21">
        <f>EXP(-LN(2)/2)*EC164+(1-EXP(-LN(2)/2))/(LN(2)/2)*DW165*DZ165*VLOOKUP('Données projet'!$B$14,Paramètres!$A$1:$I$89,3,0)*0.475*44/12</f>
        <v>2.73636575417274E-19</v>
      </c>
      <c r="ED165" s="22">
        <f t="shared" si="178"/>
        <v>1.0442120671798103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>
        <f>EJ165*VLOOKUP('Données projet'!$B$15,Paramètres!$A$1:$I$89,3,0)*VLOOKUP('Données projet'!$B$15,Paramètres!$A$1:$I$89,5,0)</f>
        <v>0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258.46015871559956</v>
      </c>
      <c r="EP165" s="59">
        <f t="shared" si="154"/>
        <v>280.26155987300996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0.45492184462953555</v>
      </c>
      <c r="EW165" s="21">
        <f>EXP(-LN(2)/25)*EW164+(1-EXP(-LN(2)/25))/(LN(2)/25)*Calculateur!ER165*Calculateur!ET165*VLOOKUP('Données projet'!$B$15,Paramètres!$A$1:$I$89,3,0)*0.475*44/12</f>
        <v>0.31736262055296732</v>
      </c>
      <c r="EX165" s="21">
        <f>EXP(-LN(2)/2)*EX164+(1-EXP(-LN(2)/2))/(LN(2)/2)*ER165*EU165*VLOOKUP('Données projet'!$B$15,Paramètres!$A$1:$I$89,3,0)*0.475*44/12</f>
        <v>7.3802893783237005E-20</v>
      </c>
      <c r="EY165" s="22">
        <f t="shared" si="181"/>
        <v>0.77228446518250293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243.00000000000017</v>
      </c>
      <c r="O166" s="13">
        <f>N166*VLOOKUP('Données projet'!$B$9,Paramètres!$A$1:$I$89,3,0)*VLOOKUP('Données projet'!$B$9,Paramètres!$A$1:$I$89,5,0)</f>
        <v>212.28480000000016</v>
      </c>
      <c r="P166" s="13">
        <f t="shared" si="141"/>
        <v>52.434557099704236</v>
      </c>
      <c r="Q166" s="20">
        <f t="shared" si="162"/>
        <v>461.0528802819851</v>
      </c>
      <c r="R166" s="59">
        <f t="shared" si="109"/>
        <v>754.38621361531841</v>
      </c>
      <c r="S166" s="59">
        <f ca="1">AVERAGE(OFFSET($R$3,0,0,'Données projet'!$E$9+1,1))-AVERAGE(OFFSET($H$3,0,0,'Données projet'!$E$9+1,1))</f>
        <v>368.41876532159154</v>
      </c>
      <c r="T166" s="59">
        <f t="shared" si="142"/>
        <v>369.39570124551125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0.44212983451835869</v>
      </c>
      <c r="AA166" s="21">
        <f>EXP(-LN(2)/25)*AA165+(1-EXP(-LN(2)/25))/(LN(2)/25)*Calculateur!V166*Calculateur!X166*VLOOKUP('Données projet'!$B$9,Paramètres!$A$1:$I$89,3,0)*0.475*44/12</f>
        <v>0.40606734508359749</v>
      </c>
      <c r="AB166" s="21">
        <f>EXP(-LN(2)/2)*AB165+(1-EXP(-LN(2)/2))/(LN(2)/2)*V166*Y166*VLOOKUP('Données projet'!$B$9,Paramètres!$A$1:$I$89,3,0)*0.475*44/12</f>
        <v>1.7029753960753683E-19</v>
      </c>
      <c r="AC166" s="22">
        <f t="shared" si="163"/>
        <v>0.84819717960195617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-5.1159076974727213E-13</v>
      </c>
      <c r="AJ166" s="13">
        <f>AI166*VLOOKUP('Données projet'!$B$10,Paramètres!$A$1:$I$89,3,0)*VLOOKUP('Données projet'!$B$10,Paramètres!$A$1:$I$89,5,0)</f>
        <v>-4.4692569645121704E-13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402.82278346470082</v>
      </c>
      <c r="AO166" s="59">
        <f t="shared" si="144"/>
        <v>440.17787299198977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0.25722884154208386</v>
      </c>
      <c r="AV166" s="21">
        <f>EXP(-LN(2)/25)*AV165+(1-EXP(-LN(2)/25))/(LN(2)/25)*Calculateur!AQ166*Calculateur!AS166*VLOOKUP('Données projet'!$B$10,Paramètres!$A$1:$I$89,3,0)*0.475*44/12</f>
        <v>0.56403651715973435</v>
      </c>
      <c r="AW166" s="21">
        <f>EXP(-LN(2)/2)*AW165+(1-EXP(-LN(2)/2))/(LN(2)/2)*AQ166*AT166*VLOOKUP('Données projet'!$B$10,Paramètres!$A$1:$I$89,3,0)*0.475*44/12</f>
        <v>2.5295318700220826E-19</v>
      </c>
      <c r="AX166" s="21">
        <f t="shared" si="166"/>
        <v>0.82126535870181816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-3.4106051316484809E-13</v>
      </c>
      <c r="BE166" s="13">
        <f>BD166*VLOOKUP('Données projet'!$B$11,Paramètres!$A$1:$I$89,3,0)*VLOOKUP('Données projet'!$B$11,Paramètres!$A$1:$I$89,5,0)</f>
        <v>-3.0859155231155454E-13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469.68830256438338</v>
      </c>
      <c r="BJ166" s="59">
        <f t="shared" si="146"/>
        <v>332.61387922152159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0.17291879536548688</v>
      </c>
      <c r="BQ166" s="21">
        <f>EXP(-LN(2)/25)*BQ165+(1-EXP(-LN(2)/25))/(LN(2)/25)*Calculateur!BL166*Calculateur!BN166*VLOOKUP('Données projet'!$B$11,Paramètres!$A$1:$I$89,3,0)*0.475*44/12</f>
        <v>0.28244768609257159</v>
      </c>
      <c r="BR166" s="21">
        <f>EXP(-LN(2)/2)*BR165+(1-EXP(-LN(2)/2))/(LN(2)/2)*BL166*BO166*VLOOKUP('Données projet'!$B$11,Paramètres!$A$1:$I$89,3,0)*0.475*44/12</f>
        <v>2.0654743364560905E-19</v>
      </c>
      <c r="BS166" s="22">
        <f t="shared" si="169"/>
        <v>0.45536648145805847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1.1368683772161603E-13</v>
      </c>
      <c r="BZ166" s="13">
        <f>BY166*VLOOKUP('Données projet'!$B$12,Paramètres!$A$1:$I$89,3,0)*VLOOKUP('Données projet'!$B$12,Paramètres!$A$1:$I$89,5,0)</f>
        <v>1.0818439477588981E-13</v>
      </c>
      <c r="CA166" s="13">
        <f t="shared" si="170"/>
        <v>1.6104228458716316E-12</v>
      </c>
      <c r="CB166" s="20">
        <f t="shared" si="171"/>
        <v>2.9932409441277661E-12</v>
      </c>
      <c r="CC166" s="59">
        <f t="shared" si="119"/>
        <v>293.33333333333633</v>
      </c>
      <c r="CD166" s="59">
        <f ca="1">AVERAGE(OFFSET($CC$3,0,0,'Données projet'!$E$12+1,1))-AVERAGE(OFFSET($H$3,0,0,'Données projet'!$E$12+1,1))</f>
        <v>609.40025883662452</v>
      </c>
      <c r="CE166" s="59">
        <f t="shared" si="148"/>
        <v>294.48909834404577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9.8692719741117582E-2</v>
      </c>
      <c r="CM166" s="21">
        <f>EXP(-LN(2)/2)*CM165+(1-EXP(-LN(2)/2))/(LN(2)/2)*CG166*CJ166*VLOOKUP('Données projet'!$B$12,Paramètres!$A$1:$I$89,3,0)*0.475*44/12</f>
        <v>7.5287359878676991E-20</v>
      </c>
      <c r="CN166" s="22">
        <f t="shared" si="172"/>
        <v>9.8692719741117582E-2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-1.1368683772161603E-13</v>
      </c>
      <c r="CU166" s="17">
        <f>CT166*VLOOKUP('Données projet'!$B$13,Paramètres!$A$1:$I$89,3,0)*VLOOKUP('Données projet'!$B$13,Paramètres!$A$1:$I$89,5,0)</f>
        <v>-5.3205440053716299E-14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346.16623654404509</v>
      </c>
      <c r="CZ166" s="59">
        <f t="shared" si="150"/>
        <v>281.80933156559087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0.22504304560095945</v>
      </c>
      <c r="DG166" s="21">
        <f>EXP(-LN(2)/25)*DG165+(1-EXP(-LN(2)/25))/(LN(2)/25)*Calculateur!DB166*Calculateur!DD166*VLOOKUP('Données projet'!$B$13,Paramètres!$A$1:$I$89,3,0)*0.475*44/12</f>
        <v>0.19664924588946858</v>
      </c>
      <c r="DH166" s="21">
        <f>EXP(-LN(2)/2)*DH165+(1-EXP(-LN(2)/2))/(LN(2)/2)*DB166*DE166*VLOOKUP('Données projet'!$B$13,Paramètres!$A$1:$I$89,3,0)*0.475*44/12</f>
        <v>9.4222571680668456E-20</v>
      </c>
      <c r="DI166" s="22">
        <f t="shared" si="175"/>
        <v>0.42169229149042803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6.2527760746888816E-13</v>
      </c>
      <c r="DP166" s="17">
        <f>DO166*VLOOKUP('Données projet'!$B$14,Paramètres!$A$1:$I$89,3,0)*VLOOKUP('Données projet'!$B$14,Paramètres!$A$1:$I$89,5,0)</f>
        <v>3.9017322706058616E-13</v>
      </c>
      <c r="DQ166" s="13">
        <f t="shared" si="176"/>
        <v>5.0025007393608908E-12</v>
      </c>
      <c r="DR166" s="20">
        <f t="shared" si="177"/>
        <v>9.3922404915174053E-12</v>
      </c>
      <c r="DS166" s="59">
        <f t="shared" si="125"/>
        <v>293.33333333334269</v>
      </c>
      <c r="DT166" s="59">
        <f ca="1">AVERAGE(OFFSET($DS$3,0,0,'Données projet'!$E$14+1,1))-AVERAGE(OFFSET($H$3,0,0,'Données projet'!$E$14+1,1))</f>
        <v>319.97171762304686</v>
      </c>
      <c r="DU166" s="59">
        <f t="shared" si="152"/>
        <v>337.89345858359621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0.49920422078248061</v>
      </c>
      <c r="EB166" s="21">
        <f>EXP(-LN(2)/25)*EB165+(1-EXP(-LN(2)/25))/(LN(2)/25)*Calculateur!DW166*Calculateur!DY166*VLOOKUP('Données projet'!$B$14,Paramètres!$A$1:$I$89,3,0)*0.475*44/12</f>
        <v>0.52039272761459021</v>
      </c>
      <c r="EC166" s="21">
        <f>EXP(-LN(2)/2)*EC165+(1-EXP(-LN(2)/2))/(LN(2)/2)*DW166*DZ166*VLOOKUP('Données projet'!$B$14,Paramètres!$A$1:$I$89,3,0)*0.475*44/12</f>
        <v>1.9349027805821858E-19</v>
      </c>
      <c r="ED166" s="22">
        <f t="shared" si="178"/>
        <v>1.0195969483970708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>
        <f>EJ166*VLOOKUP('Données projet'!$B$15,Paramètres!$A$1:$I$89,3,0)*VLOOKUP('Données projet'!$B$15,Paramètres!$A$1:$I$89,5,0)</f>
        <v>0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258.46015871559956</v>
      </c>
      <c r="EP166" s="59">
        <f t="shared" si="154"/>
        <v>280.26155987300996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0.44600110473127719</v>
      </c>
      <c r="EW166" s="21">
        <f>EXP(-LN(2)/25)*EW165+(1-EXP(-LN(2)/25))/(LN(2)/25)*Calculateur!ER166*Calculateur!ET166*VLOOKUP('Données projet'!$B$15,Paramètres!$A$1:$I$89,3,0)*0.475*44/12</f>
        <v>0.30868432300457155</v>
      </c>
      <c r="EX166" s="21">
        <f>EXP(-LN(2)/2)*EX165+(1-EXP(-LN(2)/2))/(LN(2)/2)*ER166*EU166*VLOOKUP('Données projet'!$B$15,Paramètres!$A$1:$I$89,3,0)*0.475*44/12</f>
        <v>5.2186526665317378E-20</v>
      </c>
      <c r="EY166" s="22">
        <f t="shared" si="181"/>
        <v>0.75468542773584879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243.00000000000017</v>
      </c>
      <c r="O167" s="13">
        <f>N167*VLOOKUP('Données projet'!$B$9,Paramètres!$A$1:$I$89,3,0)*VLOOKUP('Données projet'!$B$9,Paramètres!$A$1:$I$89,5,0)</f>
        <v>212.28480000000016</v>
      </c>
      <c r="P167" s="13">
        <f t="shared" si="141"/>
        <v>52.434557099704236</v>
      </c>
      <c r="Q167" s="20">
        <f t="shared" si="162"/>
        <v>461.0528802819851</v>
      </c>
      <c r="R167" s="59">
        <f t="shared" si="109"/>
        <v>754.38621361531841</v>
      </c>
      <c r="S167" s="59">
        <f ca="1">AVERAGE(OFFSET($R$3,0,0,'Données projet'!$E$9+1,1))-AVERAGE(OFFSET($H$3,0,0,'Données projet'!$E$9+1,1))</f>
        <v>368.41876532159154</v>
      </c>
      <c r="T167" s="59">
        <f t="shared" si="142"/>
        <v>369.39570124551125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0.43345993813602479</v>
      </c>
      <c r="AA167" s="21">
        <f>EXP(-LN(2)/25)*AA166+(1-EXP(-LN(2)/25))/(LN(2)/25)*Calculateur!V167*Calculateur!X167*VLOOKUP('Données projet'!$B$9,Paramètres!$A$1:$I$89,3,0)*0.475*44/12</f>
        <v>0.39496341217813291</v>
      </c>
      <c r="AB167" s="21">
        <f>EXP(-LN(2)/2)*AB166+(1-EXP(-LN(2)/2))/(LN(2)/2)*V167*Y167*VLOOKUP('Données projet'!$B$9,Paramètres!$A$1:$I$89,3,0)*0.475*44/12</f>
        <v>1.2041854507587396E-19</v>
      </c>
      <c r="AC167" s="22">
        <f t="shared" si="163"/>
        <v>0.8284233503141577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-5.1159076974727213E-13</v>
      </c>
      <c r="AJ167" s="13">
        <f>AI167*VLOOKUP('Données projet'!$B$10,Paramètres!$A$1:$I$89,3,0)*VLOOKUP('Données projet'!$B$10,Paramètres!$A$1:$I$89,5,0)</f>
        <v>-4.4692569645121704E-13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402.82278346470082</v>
      </c>
      <c r="AO167" s="59">
        <f t="shared" si="144"/>
        <v>440.17787299198977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0.25218474085354492</v>
      </c>
      <c r="AV167" s="21">
        <f>EXP(-LN(2)/25)*AV166+(1-EXP(-LN(2)/25))/(LN(2)/25)*Calculateur!AQ167*Calculateur!AS167*VLOOKUP('Données projet'!$B$10,Paramètres!$A$1:$I$89,3,0)*0.475*44/12</f>
        <v>0.54861290893661008</v>
      </c>
      <c r="AW167" s="21">
        <f>EXP(-LN(2)/2)*AW166+(1-EXP(-LN(2)/2))/(LN(2)/2)*AQ167*AT167*VLOOKUP('Données projet'!$B$10,Paramètres!$A$1:$I$89,3,0)*0.475*44/12</f>
        <v>1.7886491385201032E-19</v>
      </c>
      <c r="AX167" s="21">
        <f t="shared" si="166"/>
        <v>0.800797649790155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-3.4106051316484809E-13</v>
      </c>
      <c r="BE167" s="13">
        <f>BD167*VLOOKUP('Données projet'!$B$11,Paramètres!$A$1:$I$89,3,0)*VLOOKUP('Données projet'!$B$11,Paramètres!$A$1:$I$89,5,0)</f>
        <v>-3.0859155231155454E-13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469.68830256438338</v>
      </c>
      <c r="BJ167" s="59">
        <f t="shared" si="146"/>
        <v>332.61387922152159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0.16952796325842054</v>
      </c>
      <c r="BQ167" s="21">
        <f>EXP(-LN(2)/25)*BQ166+(1-EXP(-LN(2)/25))/(LN(2)/25)*Calculateur!BL167*Calculateur!BN167*VLOOKUP('Données projet'!$B$11,Paramètres!$A$1:$I$89,3,0)*0.475*44/12</f>
        <v>0.27472413926309197</v>
      </c>
      <c r="BR167" s="21">
        <f>EXP(-LN(2)/2)*BR166+(1-EXP(-LN(2)/2))/(LN(2)/2)*BL167*BO167*VLOOKUP('Données projet'!$B$11,Paramètres!$A$1:$I$89,3,0)*0.475*44/12</f>
        <v>1.4605109096748862E-19</v>
      </c>
      <c r="BS167" s="22">
        <f t="shared" si="169"/>
        <v>0.44425210252151248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1.1368683772161603E-13</v>
      </c>
      <c r="BZ167" s="13">
        <f>BY167*VLOOKUP('Données projet'!$B$12,Paramètres!$A$1:$I$89,3,0)*VLOOKUP('Données projet'!$B$12,Paramètres!$A$1:$I$89,5,0)</f>
        <v>1.0818439477588981E-13</v>
      </c>
      <c r="CA167" s="13">
        <f t="shared" si="170"/>
        <v>1.6104228458716316E-12</v>
      </c>
      <c r="CB167" s="20">
        <f t="shared" si="171"/>
        <v>2.9932409441277661E-12</v>
      </c>
      <c r="CC167" s="59">
        <f t="shared" si="119"/>
        <v>293.33333333333633</v>
      </c>
      <c r="CD167" s="59">
        <f ca="1">AVERAGE(OFFSET($CC$3,0,0,'Données projet'!$E$12+1,1))-AVERAGE(OFFSET($H$3,0,0,'Données projet'!$E$12+1,1))</f>
        <v>609.40025883662452</v>
      </c>
      <c r="CE167" s="59">
        <f t="shared" si="148"/>
        <v>294.48909834404577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9.5993962129772153E-2</v>
      </c>
      <c r="CM167" s="21">
        <f>EXP(-LN(2)/2)*CM166+(1-EXP(-LN(2)/2))/(LN(2)/2)*CG167*CJ167*VLOOKUP('Données projet'!$B$12,Paramètres!$A$1:$I$89,3,0)*0.475*44/12</f>
        <v>5.3236202707844512E-20</v>
      </c>
      <c r="CN167" s="22">
        <f t="shared" si="172"/>
        <v>9.5993962129772153E-2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-1.1368683772161603E-13</v>
      </c>
      <c r="CU167" s="17">
        <f>CT167*VLOOKUP('Données projet'!$B$13,Paramètres!$A$1:$I$89,3,0)*VLOOKUP('Données projet'!$B$13,Paramètres!$A$1:$I$89,5,0)</f>
        <v>-5.3205440053716299E-14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346.16623654404509</v>
      </c>
      <c r="CZ167" s="59">
        <f t="shared" si="150"/>
        <v>281.80933156559087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0.22063008873942888</v>
      </c>
      <c r="DG167" s="21">
        <f>EXP(-LN(2)/25)*DG166+(1-EXP(-LN(2)/25))/(LN(2)/25)*Calculateur!DB167*Calculateur!DD167*VLOOKUP('Données projet'!$B$13,Paramètres!$A$1:$I$89,3,0)*0.475*44/12</f>
        <v>0.19127186191928666</v>
      </c>
      <c r="DH167" s="21">
        <f>EXP(-LN(2)/2)*DH166+(1-EXP(-LN(2)/2))/(LN(2)/2)*DB167*DE167*VLOOKUP('Données projet'!$B$13,Paramètres!$A$1:$I$89,3,0)*0.475*44/12</f>
        <v>6.6625419376236218E-20</v>
      </c>
      <c r="DI167" s="22">
        <f t="shared" si="175"/>
        <v>0.41190195065871554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6.2527760746888816E-13</v>
      </c>
      <c r="DP167" s="17">
        <f>DO167*VLOOKUP('Données projet'!$B$14,Paramètres!$A$1:$I$89,3,0)*VLOOKUP('Données projet'!$B$14,Paramètres!$A$1:$I$89,5,0)</f>
        <v>3.9017322706058616E-13</v>
      </c>
      <c r="DQ167" s="13">
        <f t="shared" si="176"/>
        <v>5.0025007393608908E-12</v>
      </c>
      <c r="DR167" s="20">
        <f t="shared" si="177"/>
        <v>9.3922404915174053E-12</v>
      </c>
      <c r="DS167" s="59">
        <f t="shared" si="125"/>
        <v>293.33333333334269</v>
      </c>
      <c r="DT167" s="59">
        <f ca="1">AVERAGE(OFFSET($DS$3,0,0,'Données projet'!$E$14+1,1))-AVERAGE(OFFSET($H$3,0,0,'Données projet'!$E$14+1,1))</f>
        <v>319.97171762304686</v>
      </c>
      <c r="DU167" s="59">
        <f t="shared" si="152"/>
        <v>337.89345858359621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0.48941513049744551</v>
      </c>
      <c r="EB167" s="21">
        <f>EXP(-LN(2)/25)*EB166+(1-EXP(-LN(2)/25))/(LN(2)/25)*Calculateur!DW167*Calculateur!DY167*VLOOKUP('Données projet'!$B$14,Paramètres!$A$1:$I$89,3,0)*0.475*44/12</f>
        <v>0.5061625611117051</v>
      </c>
      <c r="EC167" s="21">
        <f>EXP(-LN(2)/2)*EC166+(1-EXP(-LN(2)/2))/(LN(2)/2)*DW167*DZ167*VLOOKUP('Données projet'!$B$14,Paramètres!$A$1:$I$89,3,0)*0.475*44/12</f>
        <v>1.36818287708637E-19</v>
      </c>
      <c r="ED167" s="22">
        <f t="shared" si="178"/>
        <v>0.99557769160915055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>
        <f>EJ167*VLOOKUP('Données projet'!$B$15,Paramètres!$A$1:$I$89,3,0)*VLOOKUP('Données projet'!$B$15,Paramètres!$A$1:$I$89,5,0)</f>
        <v>0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258.46015871559956</v>
      </c>
      <c r="EP167" s="59">
        <f t="shared" si="154"/>
        <v>280.26155987300996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0.43725529510130962</v>
      </c>
      <c r="EW167" s="21">
        <f>EXP(-LN(2)/25)*EW166+(1-EXP(-LN(2)/25))/(LN(2)/25)*Calculateur!ER167*Calculateur!ET167*VLOOKUP('Données projet'!$B$15,Paramètres!$A$1:$I$89,3,0)*0.475*44/12</f>
        <v>0.30024333395900848</v>
      </c>
      <c r="EX167" s="21">
        <f>EXP(-LN(2)/2)*EX166+(1-EXP(-LN(2)/2))/(LN(2)/2)*ER167*EU167*VLOOKUP('Données projet'!$B$15,Paramètres!$A$1:$I$89,3,0)*0.475*44/12</f>
        <v>3.6901446891618503E-20</v>
      </c>
      <c r="EY167" s="22">
        <f t="shared" si="181"/>
        <v>0.73749862906031804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243.00000000000017</v>
      </c>
      <c r="O168" s="13">
        <f>N168*VLOOKUP('Données projet'!$B$9,Paramètres!$A$1:$I$89,3,0)*VLOOKUP('Données projet'!$B$9,Paramètres!$A$1:$I$89,5,0)</f>
        <v>212.28480000000016</v>
      </c>
      <c r="P168" s="13">
        <f t="shared" si="141"/>
        <v>52.434557099704236</v>
      </c>
      <c r="Q168" s="20">
        <f t="shared" si="162"/>
        <v>461.0528802819851</v>
      </c>
      <c r="R168" s="59">
        <f t="shared" si="109"/>
        <v>754.38621361531841</v>
      </c>
      <c r="S168" s="59">
        <f ca="1">AVERAGE(OFFSET($R$3,0,0,'Données projet'!$E$9+1,1))-AVERAGE(OFFSET($H$3,0,0,'Données projet'!$E$9+1,1))</f>
        <v>368.41876532159154</v>
      </c>
      <c r="T168" s="59">
        <f t="shared" si="142"/>
        <v>369.39570124551125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0.42496005313363383</v>
      </c>
      <c r="AA168" s="21">
        <f>EXP(-LN(2)/25)*AA167+(1-EXP(-LN(2)/25))/(LN(2)/25)*Calculateur!V168*Calculateur!X168*VLOOKUP('Données projet'!$B$9,Paramètres!$A$1:$I$89,3,0)*0.475*44/12</f>
        <v>0.38416311690189869</v>
      </c>
      <c r="AB168" s="21">
        <f>EXP(-LN(2)/2)*AB167+(1-EXP(-LN(2)/2))/(LN(2)/2)*V168*Y168*VLOOKUP('Données projet'!$B$9,Paramètres!$A$1:$I$89,3,0)*0.475*44/12</f>
        <v>8.5148769803768416E-20</v>
      </c>
      <c r="AC168" s="22">
        <f t="shared" si="163"/>
        <v>0.80912317003553258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-5.1159076974727213E-13</v>
      </c>
      <c r="AJ168" s="13">
        <f>AI168*VLOOKUP('Données projet'!$B$10,Paramètres!$A$1:$I$89,3,0)*VLOOKUP('Données projet'!$B$10,Paramètres!$A$1:$I$89,5,0)</f>
        <v>-4.4692569645121704E-13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402.82278346470082</v>
      </c>
      <c r="AO168" s="59">
        <f t="shared" si="144"/>
        <v>440.17787299198977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0.24723955190291061</v>
      </c>
      <c r="AV168" s="21">
        <f>EXP(-LN(2)/25)*AV167+(1-EXP(-LN(2)/25))/(LN(2)/25)*Calculateur!AQ168*Calculateur!AS168*VLOOKUP('Données projet'!$B$10,Paramètres!$A$1:$I$89,3,0)*0.475*44/12</f>
        <v>0.53361106009143944</v>
      </c>
      <c r="AW168" s="21">
        <f>EXP(-LN(2)/2)*AW167+(1-EXP(-LN(2)/2))/(LN(2)/2)*AQ168*AT168*VLOOKUP('Données projet'!$B$10,Paramètres!$A$1:$I$89,3,0)*0.475*44/12</f>
        <v>1.2647659350110413E-19</v>
      </c>
      <c r="AX168" s="21">
        <f t="shared" si="166"/>
        <v>0.78085061199435002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-3.4106051316484809E-13</v>
      </c>
      <c r="BE168" s="13">
        <f>BD168*VLOOKUP('Données projet'!$B$11,Paramètres!$A$1:$I$89,3,0)*VLOOKUP('Données projet'!$B$11,Paramètres!$A$1:$I$89,5,0)</f>
        <v>-3.0859155231155454E-13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469.68830256438338</v>
      </c>
      <c r="BJ168" s="59">
        <f t="shared" si="146"/>
        <v>332.61387922152159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0.1662036233007704</v>
      </c>
      <c r="BQ168" s="21">
        <f>EXP(-LN(2)/25)*BQ167+(1-EXP(-LN(2)/25))/(LN(2)/25)*Calculateur!BL168*Calculateur!BN168*VLOOKUP('Données projet'!$B$11,Paramètres!$A$1:$I$89,3,0)*0.475*44/12</f>
        <v>0.26721179322782812</v>
      </c>
      <c r="BR168" s="21">
        <f>EXP(-LN(2)/2)*BR167+(1-EXP(-LN(2)/2))/(LN(2)/2)*BL168*BO168*VLOOKUP('Données projet'!$B$11,Paramètres!$A$1:$I$89,3,0)*0.475*44/12</f>
        <v>1.0327371682280452E-19</v>
      </c>
      <c r="BS168" s="22">
        <f t="shared" si="169"/>
        <v>0.4334154165285985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1.1368683772161603E-13</v>
      </c>
      <c r="BZ168" s="13">
        <f>BY168*VLOOKUP('Données projet'!$B$12,Paramètres!$A$1:$I$89,3,0)*VLOOKUP('Données projet'!$B$12,Paramètres!$A$1:$I$89,5,0)</f>
        <v>1.0818439477588981E-13</v>
      </c>
      <c r="CA168" s="13">
        <f t="shared" si="170"/>
        <v>1.6104228458716316E-12</v>
      </c>
      <c r="CB168" s="20">
        <f t="shared" si="171"/>
        <v>2.9932409441277661E-12</v>
      </c>
      <c r="CC168" s="59">
        <f t="shared" si="119"/>
        <v>293.33333333333633</v>
      </c>
      <c r="CD168" s="59">
        <f ca="1">AVERAGE(OFFSET($CC$3,0,0,'Données projet'!$E$12+1,1))-AVERAGE(OFFSET($H$3,0,0,'Données projet'!$E$12+1,1))</f>
        <v>609.40025883662452</v>
      </c>
      <c r="CE168" s="59">
        <f t="shared" si="148"/>
        <v>294.48909834404577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9.336900218723046E-2</v>
      </c>
      <c r="CM168" s="21">
        <f>EXP(-LN(2)/2)*CM167+(1-EXP(-LN(2)/2))/(LN(2)/2)*CG168*CJ168*VLOOKUP('Données projet'!$B$12,Paramètres!$A$1:$I$89,3,0)*0.475*44/12</f>
        <v>3.7643679939338502E-20</v>
      </c>
      <c r="CN168" s="22">
        <f t="shared" si="172"/>
        <v>9.336900218723046E-2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-1.1368683772161603E-13</v>
      </c>
      <c r="CU168" s="17">
        <f>CT168*VLOOKUP('Données projet'!$B$13,Paramètres!$A$1:$I$89,3,0)*VLOOKUP('Données projet'!$B$13,Paramètres!$A$1:$I$89,5,0)</f>
        <v>-5.3205440053716299E-14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346.16623654404509</v>
      </c>
      <c r="CZ168" s="59">
        <f t="shared" si="150"/>
        <v>281.80933156559087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0.21630366727031503</v>
      </c>
      <c r="DG168" s="21">
        <f>EXP(-LN(2)/25)*DG167+(1-EXP(-LN(2)/25))/(LN(2)/25)*Calculateur!DB168*Calculateur!DD168*VLOOKUP('Données projet'!$B$13,Paramètres!$A$1:$I$89,3,0)*0.475*44/12</f>
        <v>0.1860415227965537</v>
      </c>
      <c r="DH168" s="21">
        <f>EXP(-LN(2)/2)*DH167+(1-EXP(-LN(2)/2))/(LN(2)/2)*DB168*DE168*VLOOKUP('Données projet'!$B$13,Paramètres!$A$1:$I$89,3,0)*0.475*44/12</f>
        <v>4.7111285840334228E-20</v>
      </c>
      <c r="DI168" s="22">
        <f t="shared" si="175"/>
        <v>0.40234519006686875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6.2527760746888816E-13</v>
      </c>
      <c r="DP168" s="17">
        <f>DO168*VLOOKUP('Données projet'!$B$14,Paramètres!$A$1:$I$89,3,0)*VLOOKUP('Données projet'!$B$14,Paramètres!$A$1:$I$89,5,0)</f>
        <v>3.9017322706058616E-13</v>
      </c>
      <c r="DQ168" s="13">
        <f t="shared" si="176"/>
        <v>5.0025007393608908E-12</v>
      </c>
      <c r="DR168" s="20">
        <f t="shared" si="177"/>
        <v>9.3922404915174053E-12</v>
      </c>
      <c r="DS168" s="59">
        <f t="shared" si="125"/>
        <v>293.33333333334269</v>
      </c>
      <c r="DT168" s="59">
        <f ca="1">AVERAGE(OFFSET($DS$3,0,0,'Données projet'!$E$14+1,1))-AVERAGE(OFFSET($H$3,0,0,'Données projet'!$E$14+1,1))</f>
        <v>319.97171762304686</v>
      </c>
      <c r="DU168" s="59">
        <f t="shared" si="152"/>
        <v>337.89345858359621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0.47981799830214444</v>
      </c>
      <c r="EB168" s="21">
        <f>EXP(-LN(2)/25)*EB167+(1-EXP(-LN(2)/25))/(LN(2)/25)*Calculateur!DW168*Calculateur!DY168*VLOOKUP('Données projet'!$B$14,Paramètres!$A$1:$I$89,3,0)*0.475*44/12</f>
        <v>0.49232151926017331</v>
      </c>
      <c r="EC168" s="21">
        <f>EXP(-LN(2)/2)*EC167+(1-EXP(-LN(2)/2))/(LN(2)/2)*DW168*DZ168*VLOOKUP('Données projet'!$B$14,Paramètres!$A$1:$I$89,3,0)*0.475*44/12</f>
        <v>9.674513902910929E-20</v>
      </c>
      <c r="ED168" s="22">
        <f t="shared" si="178"/>
        <v>0.97213951756231776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>
        <f>EJ168*VLOOKUP('Données projet'!$B$15,Paramètres!$A$1:$I$89,3,0)*VLOOKUP('Données projet'!$B$15,Paramètres!$A$1:$I$89,5,0)</f>
        <v>0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258.46015871559956</v>
      </c>
      <c r="EP168" s="59">
        <f t="shared" si="154"/>
        <v>280.26155987300996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0.42868098546376859</v>
      </c>
      <c r="EW168" s="21">
        <f>EXP(-LN(2)/25)*EW167+(1-EXP(-LN(2)/25))/(LN(2)/25)*Calculateur!ER168*Calculateur!ET168*VLOOKUP('Données projet'!$B$15,Paramètres!$A$1:$I$89,3,0)*0.475*44/12</f>
        <v>0.29203316420278869</v>
      </c>
      <c r="EX168" s="21">
        <f>EXP(-LN(2)/2)*EX167+(1-EXP(-LN(2)/2))/(LN(2)/2)*ER168*EU168*VLOOKUP('Données projet'!$B$15,Paramètres!$A$1:$I$89,3,0)*0.475*44/12</f>
        <v>2.6093263332658689E-20</v>
      </c>
      <c r="EY168" s="22">
        <f t="shared" si="181"/>
        <v>0.72071414966655722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243.00000000000017</v>
      </c>
      <c r="O169" s="13">
        <f>N169*VLOOKUP('Données projet'!$B$9,Paramètres!$A$1:$I$89,3,0)*VLOOKUP('Données projet'!$B$9,Paramètres!$A$1:$I$89,5,0)</f>
        <v>212.28480000000016</v>
      </c>
      <c r="P169" s="13">
        <f t="shared" si="141"/>
        <v>52.434557099704236</v>
      </c>
      <c r="Q169" s="20">
        <f t="shared" si="162"/>
        <v>461.0528802819851</v>
      </c>
      <c r="R169" s="59">
        <f t="shared" si="109"/>
        <v>754.38621361531841</v>
      </c>
      <c r="S169" s="59">
        <f ca="1">AVERAGE(OFFSET($R$3,0,0,'Données projet'!$E$9+1,1))-AVERAGE(OFFSET($H$3,0,0,'Données projet'!$E$9+1,1))</f>
        <v>368.41876532159154</v>
      </c>
      <c r="T169" s="59">
        <f t="shared" si="142"/>
        <v>369.39570124551125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0.41662684569172181</v>
      </c>
      <c r="AA169" s="21">
        <f>EXP(-LN(2)/25)*AA168+(1-EXP(-LN(2)/25))/(LN(2)/25)*Calculateur!V169*Calculateur!X169*VLOOKUP('Données projet'!$B$9,Paramètres!$A$1:$I$89,3,0)*0.475*44/12</f>
        <v>0.37365815626795595</v>
      </c>
      <c r="AB169" s="21">
        <f>EXP(-LN(2)/2)*AB168+(1-EXP(-LN(2)/2))/(LN(2)/2)*V169*Y169*VLOOKUP('Données projet'!$B$9,Paramètres!$A$1:$I$89,3,0)*0.475*44/12</f>
        <v>6.0209272537936978E-20</v>
      </c>
      <c r="AC169" s="22">
        <f t="shared" si="163"/>
        <v>0.79028500195967777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-5.1159076974727213E-13</v>
      </c>
      <c r="AJ169" s="13">
        <f>AI169*VLOOKUP('Données projet'!$B$10,Paramètres!$A$1:$I$89,3,0)*VLOOKUP('Données projet'!$B$10,Paramètres!$A$1:$I$89,5,0)</f>
        <v>-4.4692569645121704E-13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402.82278346470082</v>
      </c>
      <c r="AO169" s="59">
        <f t="shared" si="144"/>
        <v>440.17787299198977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0.24239133509133082</v>
      </c>
      <c r="AV169" s="21">
        <f>EXP(-LN(2)/25)*AV168+(1-EXP(-LN(2)/25))/(LN(2)/25)*Calculateur!AQ169*Calculateur!AS169*VLOOKUP('Données projet'!$B$10,Paramètres!$A$1:$I$89,3,0)*0.475*44/12</f>
        <v>0.51901943759185298</v>
      </c>
      <c r="AW169" s="21">
        <f>EXP(-LN(2)/2)*AW168+(1-EXP(-LN(2)/2))/(LN(2)/2)*AQ169*AT169*VLOOKUP('Données projet'!$B$10,Paramètres!$A$1:$I$89,3,0)*0.475*44/12</f>
        <v>8.9432456926005159E-20</v>
      </c>
      <c r="AX169" s="21">
        <f t="shared" si="166"/>
        <v>0.7614107726831838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-3.4106051316484809E-13</v>
      </c>
      <c r="BE169" s="13">
        <f>BD169*VLOOKUP('Données projet'!$B$11,Paramètres!$A$1:$I$89,3,0)*VLOOKUP('Données projet'!$B$11,Paramètres!$A$1:$I$89,5,0)</f>
        <v>-3.0859155231155454E-13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469.68830256438338</v>
      </c>
      <c r="BJ169" s="59">
        <f t="shared" si="146"/>
        <v>332.61387922152159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0.16294447162204265</v>
      </c>
      <c r="BQ169" s="21">
        <f>EXP(-LN(2)/25)*BQ168+(1-EXP(-LN(2)/25))/(LN(2)/25)*Calculateur!BL169*Calculateur!BN169*VLOOKUP('Données projet'!$B$11,Paramètres!$A$1:$I$89,3,0)*0.475*44/12</f>
        <v>0.25990487268995566</v>
      </c>
      <c r="BR169" s="21">
        <f>EXP(-LN(2)/2)*BR168+(1-EXP(-LN(2)/2))/(LN(2)/2)*BL169*BO169*VLOOKUP('Données projet'!$B$11,Paramètres!$A$1:$I$89,3,0)*0.475*44/12</f>
        <v>7.302554548374431E-20</v>
      </c>
      <c r="BS169" s="22">
        <f t="shared" si="169"/>
        <v>0.42284934431199828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1.1368683772161603E-13</v>
      </c>
      <c r="BZ169" s="13">
        <f>BY169*VLOOKUP('Données projet'!$B$12,Paramètres!$A$1:$I$89,3,0)*VLOOKUP('Données projet'!$B$12,Paramètres!$A$1:$I$89,5,0)</f>
        <v>1.0818439477588981E-13</v>
      </c>
      <c r="CA169" s="13">
        <f t="shared" si="170"/>
        <v>1.6104228458716316E-12</v>
      </c>
      <c r="CB169" s="20">
        <f t="shared" si="171"/>
        <v>2.9932409441277661E-12</v>
      </c>
      <c r="CC169" s="59">
        <f t="shared" si="119"/>
        <v>293.33333333333633</v>
      </c>
      <c r="CD169" s="59">
        <f ca="1">AVERAGE(OFFSET($CC$3,0,0,'Données projet'!$E$12+1,1))-AVERAGE(OFFSET($H$3,0,0,'Données projet'!$E$12+1,1))</f>
        <v>609.40025883662452</v>
      </c>
      <c r="CE169" s="59">
        <f t="shared" si="148"/>
        <v>294.48909834404577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9.0815821912358222E-2</v>
      </c>
      <c r="CM169" s="21">
        <f>EXP(-LN(2)/2)*CM168+(1-EXP(-LN(2)/2))/(LN(2)/2)*CG169*CJ169*VLOOKUP('Données projet'!$B$12,Paramètres!$A$1:$I$89,3,0)*0.475*44/12</f>
        <v>2.6618101353922259E-20</v>
      </c>
      <c r="CN169" s="22">
        <f t="shared" si="172"/>
        <v>9.0815821912358222E-2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-1.1368683772161603E-13</v>
      </c>
      <c r="CU169" s="17">
        <f>CT169*VLOOKUP('Données projet'!$B$13,Paramètres!$A$1:$I$89,3,0)*VLOOKUP('Données projet'!$B$13,Paramètres!$A$1:$I$89,5,0)</f>
        <v>-5.3205440053716299E-14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346.16623654404509</v>
      </c>
      <c r="CZ169" s="59">
        <f t="shared" si="150"/>
        <v>281.80933156559087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0.21206208428735396</v>
      </c>
      <c r="DG169" s="21">
        <f>EXP(-LN(2)/25)*DG168+(1-EXP(-LN(2)/25))/(LN(2)/25)*Calculateur!DB169*Calculateur!DD169*VLOOKUP('Données projet'!$B$13,Paramètres!$A$1:$I$89,3,0)*0.475*44/12</f>
        <v>0.18095420757218345</v>
      </c>
      <c r="DH169" s="21">
        <f>EXP(-LN(2)/2)*DH168+(1-EXP(-LN(2)/2))/(LN(2)/2)*DB169*DE169*VLOOKUP('Données projet'!$B$13,Paramètres!$A$1:$I$89,3,0)*0.475*44/12</f>
        <v>3.3312709688118109E-20</v>
      </c>
      <c r="DI169" s="22">
        <f t="shared" si="175"/>
        <v>0.3930162918595374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6.2527760746888816E-13</v>
      </c>
      <c r="DP169" s="17">
        <f>DO169*VLOOKUP('Données projet'!$B$14,Paramètres!$A$1:$I$89,3,0)*VLOOKUP('Données projet'!$B$14,Paramètres!$A$1:$I$89,5,0)</f>
        <v>3.9017322706058616E-13</v>
      </c>
      <c r="DQ169" s="13">
        <f t="shared" si="176"/>
        <v>5.0025007393608908E-12</v>
      </c>
      <c r="DR169" s="20">
        <f t="shared" si="177"/>
        <v>9.3922404915174053E-12</v>
      </c>
      <c r="DS169" s="59">
        <f t="shared" si="125"/>
        <v>293.33333333334269</v>
      </c>
      <c r="DT169" s="59">
        <f ca="1">AVERAGE(OFFSET($DS$3,0,0,'Données projet'!$E$14+1,1))-AVERAGE(OFFSET($H$3,0,0,'Données projet'!$E$14+1,1))</f>
        <v>319.97171762304686</v>
      </c>
      <c r="DU169" s="59">
        <f t="shared" si="152"/>
        <v>337.89345858359621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0.47040906001552057</v>
      </c>
      <c r="EB169" s="21">
        <f>EXP(-LN(2)/25)*EB168+(1-EXP(-LN(2)/25))/(LN(2)/25)*Calculateur!DW169*Calculateur!DY169*VLOOKUP('Données projet'!$B$14,Paramètres!$A$1:$I$89,3,0)*0.475*44/12</f>
        <v>0.47885896142594037</v>
      </c>
      <c r="EC169" s="21">
        <f>EXP(-LN(2)/2)*EC168+(1-EXP(-LN(2)/2))/(LN(2)/2)*DW169*DZ169*VLOOKUP('Données projet'!$B$14,Paramètres!$A$1:$I$89,3,0)*0.475*44/12</f>
        <v>6.8409143854318501E-20</v>
      </c>
      <c r="ED169" s="22">
        <f t="shared" si="178"/>
        <v>0.94926802144146094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>
        <f>EJ169*VLOOKUP('Données projet'!$B$15,Paramètres!$A$1:$I$89,3,0)*VLOOKUP('Données projet'!$B$15,Paramètres!$A$1:$I$89,5,0)</f>
        <v>0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258.46015871559956</v>
      </c>
      <c r="EP169" s="59">
        <f t="shared" si="154"/>
        <v>280.26155987300996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0.42027481280840723</v>
      </c>
      <c r="EW169" s="21">
        <f>EXP(-LN(2)/25)*EW168+(1-EXP(-LN(2)/25))/(LN(2)/25)*Calculateur!ER169*Calculateur!ET169*VLOOKUP('Données projet'!$B$15,Paramètres!$A$1:$I$89,3,0)*0.475*44/12</f>
        <v>0.28404750197030676</v>
      </c>
      <c r="EX169" s="21">
        <f>EXP(-LN(2)/2)*EX168+(1-EXP(-LN(2)/2))/(LN(2)/2)*ER169*EU169*VLOOKUP('Données projet'!$B$15,Paramètres!$A$1:$I$89,3,0)*0.475*44/12</f>
        <v>1.8450723445809251E-20</v>
      </c>
      <c r="EY169" s="22">
        <f t="shared" si="181"/>
        <v>0.70432231477871399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243.00000000000017</v>
      </c>
      <c r="O170" s="13">
        <f>N170*VLOOKUP('Données projet'!$B$9,Paramètres!$A$1:$I$89,3,0)*VLOOKUP('Données projet'!$B$9,Paramètres!$A$1:$I$89,5,0)</f>
        <v>212.28480000000016</v>
      </c>
      <c r="P170" s="13">
        <f t="shared" si="141"/>
        <v>52.434557099704236</v>
      </c>
      <c r="Q170" s="20">
        <f t="shared" si="162"/>
        <v>461.0528802819851</v>
      </c>
      <c r="R170" s="59">
        <f t="shared" si="109"/>
        <v>754.38621361531841</v>
      </c>
      <c r="S170" s="59">
        <f ca="1">AVERAGE(OFFSET($R$3,0,0,'Données projet'!$E$9+1,1))-AVERAGE(OFFSET($H$3,0,0,'Données projet'!$E$9+1,1))</f>
        <v>368.41876532159154</v>
      </c>
      <c r="T170" s="59">
        <f t="shared" si="142"/>
        <v>369.39570124551125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0.408457047364991</v>
      </c>
      <c r="AA170" s="21">
        <f>EXP(-LN(2)/25)*AA169+(1-EXP(-LN(2)/25))/(LN(2)/25)*Calculateur!V170*Calculateur!X170*VLOOKUP('Données projet'!$B$9,Paramètres!$A$1:$I$89,3,0)*0.475*44/12</f>
        <v>0.36344045433498029</v>
      </c>
      <c r="AB170" s="21">
        <f>EXP(-LN(2)/2)*AB169+(1-EXP(-LN(2)/2))/(LN(2)/2)*V170*Y170*VLOOKUP('Données projet'!$B$9,Paramètres!$A$1:$I$89,3,0)*0.475*44/12</f>
        <v>4.2574384901884208E-20</v>
      </c>
      <c r="AC170" s="22">
        <f t="shared" si="163"/>
        <v>0.77189750169997129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-5.1159076974727213E-13</v>
      </c>
      <c r="AJ170" s="13">
        <f>AI170*VLOOKUP('Données projet'!$B$10,Paramètres!$A$1:$I$89,3,0)*VLOOKUP('Données projet'!$B$10,Paramètres!$A$1:$I$89,5,0)</f>
        <v>-4.4692569645121704E-13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402.82278346470082</v>
      </c>
      <c r="AO170" s="59">
        <f t="shared" si="144"/>
        <v>440.17787299198977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0.23763818885430582</v>
      </c>
      <c r="AV170" s="21">
        <f>EXP(-LN(2)/25)*AV169+(1-EXP(-LN(2)/25))/(LN(2)/25)*Calculateur!AQ170*Calculateur!AS170*VLOOKUP('Données projet'!$B$10,Paramètres!$A$1:$I$89,3,0)*0.475*44/12</f>
        <v>0.50482682377685772</v>
      </c>
      <c r="AW170" s="21">
        <f>EXP(-LN(2)/2)*AW169+(1-EXP(-LN(2)/2))/(LN(2)/2)*AQ170*AT170*VLOOKUP('Données projet'!$B$10,Paramètres!$A$1:$I$89,3,0)*0.475*44/12</f>
        <v>6.3238296750552065E-20</v>
      </c>
      <c r="AX170" s="21">
        <f t="shared" si="166"/>
        <v>0.7424650126311636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-3.4106051316484809E-13</v>
      </c>
      <c r="BE170" s="13">
        <f>BD170*VLOOKUP('Données projet'!$B$11,Paramètres!$A$1:$I$89,3,0)*VLOOKUP('Données projet'!$B$11,Paramètres!$A$1:$I$89,5,0)</f>
        <v>-3.0859155231155454E-13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469.68830256438338</v>
      </c>
      <c r="BJ170" s="59">
        <f t="shared" si="146"/>
        <v>332.61387922152159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0.1597492299198485</v>
      </c>
      <c r="BQ170" s="21">
        <f>EXP(-LN(2)/25)*BQ169+(1-EXP(-LN(2)/25))/(LN(2)/25)*Calculateur!BL170*Calculateur!BN170*VLOOKUP('Données projet'!$B$11,Paramètres!$A$1:$I$89,3,0)*0.475*44/12</f>
        <v>0.25279776027844558</v>
      </c>
      <c r="BR170" s="21">
        <f>EXP(-LN(2)/2)*BR169+(1-EXP(-LN(2)/2))/(LN(2)/2)*BL170*BO170*VLOOKUP('Données projet'!$B$11,Paramètres!$A$1:$I$89,3,0)*0.475*44/12</f>
        <v>5.1636858411402262E-20</v>
      </c>
      <c r="BS170" s="22">
        <f t="shared" si="169"/>
        <v>0.41254699019829411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1.1368683772161603E-13</v>
      </c>
      <c r="BZ170" s="13">
        <f>BY170*VLOOKUP('Données projet'!$B$12,Paramètres!$A$1:$I$89,3,0)*VLOOKUP('Données projet'!$B$12,Paramètres!$A$1:$I$89,5,0)</f>
        <v>1.0818439477588981E-13</v>
      </c>
      <c r="CA170" s="13">
        <f t="shared" si="170"/>
        <v>1.6104228458716316E-12</v>
      </c>
      <c r="CB170" s="20">
        <f t="shared" si="171"/>
        <v>2.9932409441277661E-12</v>
      </c>
      <c r="CC170" s="59">
        <f t="shared" si="119"/>
        <v>293.33333333333633</v>
      </c>
      <c r="CD170" s="59">
        <f ca="1">AVERAGE(OFFSET($CC$3,0,0,'Données projet'!$E$12+1,1))-AVERAGE(OFFSET($H$3,0,0,'Données projet'!$E$12+1,1))</f>
        <v>609.40025883662452</v>
      </c>
      <c r="CE170" s="59">
        <f t="shared" si="148"/>
        <v>294.48909834404577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8.8332458486368268E-2</v>
      </c>
      <c r="CM170" s="21">
        <f>EXP(-LN(2)/2)*CM169+(1-EXP(-LN(2)/2))/(LN(2)/2)*CG170*CJ170*VLOOKUP('Données projet'!$B$12,Paramètres!$A$1:$I$89,3,0)*0.475*44/12</f>
        <v>1.8821839969669254E-20</v>
      </c>
      <c r="CN170" s="22">
        <f t="shared" si="172"/>
        <v>8.8332458486368268E-2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-1.1368683772161603E-13</v>
      </c>
      <c r="CU170" s="17">
        <f>CT170*VLOOKUP('Données projet'!$B$13,Paramètres!$A$1:$I$89,3,0)*VLOOKUP('Données projet'!$B$13,Paramètres!$A$1:$I$89,5,0)</f>
        <v>-5.3205440053716299E-14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346.16623654404509</v>
      </c>
      <c r="CZ170" s="59">
        <f t="shared" si="150"/>
        <v>281.80933156559087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0.20790367615957858</v>
      </c>
      <c r="DG170" s="21">
        <f>EXP(-LN(2)/25)*DG169+(1-EXP(-LN(2)/25))/(LN(2)/25)*Calculateur!DB170*Calculateur!DD170*VLOOKUP('Données projet'!$B$13,Paramètres!$A$1:$I$89,3,0)*0.475*44/12</f>
        <v>0.17600600525015389</v>
      </c>
      <c r="DH170" s="21">
        <f>EXP(-LN(2)/2)*DH169+(1-EXP(-LN(2)/2))/(LN(2)/2)*DB170*DE170*VLOOKUP('Données projet'!$B$13,Paramètres!$A$1:$I$89,3,0)*0.475*44/12</f>
        <v>2.3555642920167114E-20</v>
      </c>
      <c r="DI170" s="22">
        <f t="shared" si="175"/>
        <v>0.38390968140973247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6.2527760746888816E-13</v>
      </c>
      <c r="DP170" s="17">
        <f>DO170*VLOOKUP('Données projet'!$B$14,Paramètres!$A$1:$I$89,3,0)*VLOOKUP('Données projet'!$B$14,Paramètres!$A$1:$I$89,5,0)</f>
        <v>3.9017322706058616E-13</v>
      </c>
      <c r="DQ170" s="13">
        <f t="shared" si="176"/>
        <v>5.0025007393608908E-12</v>
      </c>
      <c r="DR170" s="20">
        <f t="shared" si="177"/>
        <v>9.3922404915174053E-12</v>
      </c>
      <c r="DS170" s="59">
        <f t="shared" si="125"/>
        <v>293.33333333334269</v>
      </c>
      <c r="DT170" s="59">
        <f ca="1">AVERAGE(OFFSET($DS$3,0,0,'Données projet'!$E$14+1,1))-AVERAGE(OFFSET($H$3,0,0,'Données projet'!$E$14+1,1))</f>
        <v>319.97171762304686</v>
      </c>
      <c r="DU170" s="59">
        <f t="shared" si="152"/>
        <v>337.89345858359621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0.46118462526981169</v>
      </c>
      <c r="EB170" s="21">
        <f>EXP(-LN(2)/25)*EB169+(1-EXP(-LN(2)/25))/(LN(2)/25)*Calculateur!DW170*Calculateur!DY170*VLOOKUP('Données projet'!$B$14,Paramètres!$A$1:$I$89,3,0)*0.475*44/12</f>
        <v>0.46576453794364969</v>
      </c>
      <c r="EC170" s="21">
        <f>EXP(-LN(2)/2)*EC169+(1-EXP(-LN(2)/2))/(LN(2)/2)*DW170*DZ170*VLOOKUP('Données projet'!$B$14,Paramètres!$A$1:$I$89,3,0)*0.475*44/12</f>
        <v>4.8372569514554645E-20</v>
      </c>
      <c r="ED170" s="22">
        <f t="shared" si="178"/>
        <v>0.92694916321346144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>
        <f>EJ170*VLOOKUP('Données projet'!$B$15,Paramètres!$A$1:$I$89,3,0)*VLOOKUP('Données projet'!$B$15,Paramètres!$A$1:$I$89,5,0)</f>
        <v>0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258.46015871559956</v>
      </c>
      <c r="EP170" s="59">
        <f t="shared" si="154"/>
        <v>280.26155987300996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0.41203348007155849</v>
      </c>
      <c r="EW170" s="21">
        <f>EXP(-LN(2)/25)*EW169+(1-EXP(-LN(2)/25))/(LN(2)/25)*Calculateur!ER170*Calculateur!ET170*VLOOKUP('Données projet'!$B$15,Paramètres!$A$1:$I$89,3,0)*0.475*44/12</f>
        <v>0.27628020809151982</v>
      </c>
      <c r="EX170" s="21">
        <f>EXP(-LN(2)/2)*EX169+(1-EXP(-LN(2)/2))/(LN(2)/2)*ER170*EU170*VLOOKUP('Données projet'!$B$15,Paramètres!$A$1:$I$89,3,0)*0.475*44/12</f>
        <v>1.3046631666329345E-20</v>
      </c>
      <c r="EY170" s="22">
        <f t="shared" si="181"/>
        <v>0.68831368816307825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243.00000000000017</v>
      </c>
      <c r="O171" s="13">
        <f>N171*VLOOKUP('Données projet'!$B$9,Paramètres!$A$1:$I$89,3,0)*VLOOKUP('Données projet'!$B$9,Paramètres!$A$1:$I$89,5,0)</f>
        <v>212.28480000000016</v>
      </c>
      <c r="P171" s="13">
        <f t="shared" si="141"/>
        <v>52.434557099704236</v>
      </c>
      <c r="Q171" s="20">
        <f t="shared" si="162"/>
        <v>461.0528802819851</v>
      </c>
      <c r="R171" s="59">
        <f t="shared" si="109"/>
        <v>754.38621361531841</v>
      </c>
      <c r="S171" s="59">
        <f ca="1">AVERAGE(OFFSET($R$3,0,0,'Données projet'!$E$9+1,1))-AVERAGE(OFFSET($H$3,0,0,'Données projet'!$E$9+1,1))</f>
        <v>368.41876532159154</v>
      </c>
      <c r="T171" s="59">
        <f t="shared" si="142"/>
        <v>369.39570124551125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0.40044745380036245</v>
      </c>
      <c r="AA171" s="21">
        <f>EXP(-LN(2)/25)*AA170+(1-EXP(-LN(2)/25))/(LN(2)/25)*Calculateur!V171*Calculateur!X171*VLOOKUP('Données projet'!$B$9,Paramètres!$A$1:$I$89,3,0)*0.475*44/12</f>
        <v>0.3535021559986874</v>
      </c>
      <c r="AB171" s="21">
        <f>EXP(-LN(2)/2)*AB170+(1-EXP(-LN(2)/2))/(LN(2)/2)*V171*Y171*VLOOKUP('Données projet'!$B$9,Paramètres!$A$1:$I$89,3,0)*0.475*44/12</f>
        <v>3.0104636268968489E-20</v>
      </c>
      <c r="AC171" s="22">
        <f t="shared" si="163"/>
        <v>0.7539496097990499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-5.1159076974727213E-13</v>
      </c>
      <c r="AJ171" s="13">
        <f>AI171*VLOOKUP('Données projet'!$B$10,Paramètres!$A$1:$I$89,3,0)*VLOOKUP('Données projet'!$B$10,Paramètres!$A$1:$I$89,5,0)</f>
        <v>-4.4692569645121704E-13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402.82278346470082</v>
      </c>
      <c r="AO171" s="59">
        <f t="shared" si="144"/>
        <v>440.17787299198977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0.23297824891585595</v>
      </c>
      <c r="AV171" s="21">
        <f>EXP(-LN(2)/25)*AV170+(1-EXP(-LN(2)/25))/(LN(2)/25)*Calculateur!AQ171*Calculateur!AS171*VLOOKUP('Données projet'!$B$10,Paramètres!$A$1:$I$89,3,0)*0.475*44/12</f>
        <v>0.49102230773299066</v>
      </c>
      <c r="AW171" s="21">
        <f>EXP(-LN(2)/2)*AW170+(1-EXP(-LN(2)/2))/(LN(2)/2)*AQ171*AT171*VLOOKUP('Données projet'!$B$10,Paramètres!$A$1:$I$89,3,0)*0.475*44/12</f>
        <v>4.471622846300258E-20</v>
      </c>
      <c r="AX171" s="21">
        <f t="shared" si="166"/>
        <v>0.72400055664884655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-3.4106051316484809E-13</v>
      </c>
      <c r="BE171" s="13">
        <f>BD171*VLOOKUP('Données projet'!$B$11,Paramètres!$A$1:$I$89,3,0)*VLOOKUP('Données projet'!$B$11,Paramètres!$A$1:$I$89,5,0)</f>
        <v>-3.0859155231155454E-13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469.68830256438338</v>
      </c>
      <c r="BJ171" s="59">
        <f t="shared" si="146"/>
        <v>332.61387922152159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0.15661664495852937</v>
      </c>
      <c r="BQ171" s="21">
        <f>EXP(-LN(2)/25)*BQ170+(1-EXP(-LN(2)/25))/(LN(2)/25)*Calculateur!BL171*Calculateur!BN171*VLOOKUP('Données projet'!$B$11,Paramètres!$A$1:$I$89,3,0)*0.475*44/12</f>
        <v>0.24588499222957505</v>
      </c>
      <c r="BR171" s="21">
        <f>EXP(-LN(2)/2)*BR170+(1-EXP(-LN(2)/2))/(LN(2)/2)*BL171*BO171*VLOOKUP('Données projet'!$B$11,Paramètres!$A$1:$I$89,3,0)*0.475*44/12</f>
        <v>3.6512772741872155E-20</v>
      </c>
      <c r="BS171" s="22">
        <f t="shared" si="169"/>
        <v>0.40250163718810439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1.1368683772161603E-13</v>
      </c>
      <c r="BZ171" s="13">
        <f>BY171*VLOOKUP('Données projet'!$B$12,Paramètres!$A$1:$I$89,3,0)*VLOOKUP('Données projet'!$B$12,Paramètres!$A$1:$I$89,5,0)</f>
        <v>1.0818439477588981E-13</v>
      </c>
      <c r="CA171" s="13">
        <f t="shared" si="170"/>
        <v>1.6104228458716316E-12</v>
      </c>
      <c r="CB171" s="20">
        <f t="shared" si="171"/>
        <v>2.9932409441277661E-12</v>
      </c>
      <c r="CC171" s="59">
        <f t="shared" si="119"/>
        <v>293.33333333333633</v>
      </c>
      <c r="CD171" s="59">
        <f ca="1">AVERAGE(OFFSET($CC$3,0,0,'Données projet'!$E$12+1,1))-AVERAGE(OFFSET($H$3,0,0,'Données projet'!$E$12+1,1))</f>
        <v>609.40025883662452</v>
      </c>
      <c r="CE171" s="59">
        <f t="shared" si="148"/>
        <v>294.48909834404577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8.5917002763856429E-2</v>
      </c>
      <c r="CM171" s="21">
        <f>EXP(-LN(2)/2)*CM170+(1-EXP(-LN(2)/2))/(LN(2)/2)*CG171*CJ171*VLOOKUP('Données projet'!$B$12,Paramètres!$A$1:$I$89,3,0)*0.475*44/12</f>
        <v>1.3309050676961133E-20</v>
      </c>
      <c r="CN171" s="22">
        <f t="shared" si="172"/>
        <v>8.5917002763856429E-2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-1.1368683772161603E-13</v>
      </c>
      <c r="CU171" s="17">
        <f>CT171*VLOOKUP('Données projet'!$B$13,Paramètres!$A$1:$I$89,3,0)*VLOOKUP('Données projet'!$B$13,Paramètres!$A$1:$I$89,5,0)</f>
        <v>-5.3205440053716299E-14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346.16623654404509</v>
      </c>
      <c r="CZ171" s="59">
        <f t="shared" si="150"/>
        <v>281.80933156559087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0.20382681187881038</v>
      </c>
      <c r="DG171" s="21">
        <f>EXP(-LN(2)/25)*DG170+(1-EXP(-LN(2)/25))/(LN(2)/25)*Calculateur!DB171*Calculateur!DD171*VLOOKUP('Données projet'!$B$13,Paramètres!$A$1:$I$89,3,0)*0.475*44/12</f>
        <v>0.17119311178083488</v>
      </c>
      <c r="DH171" s="21">
        <f>EXP(-LN(2)/2)*DH170+(1-EXP(-LN(2)/2))/(LN(2)/2)*DB171*DE171*VLOOKUP('Données projet'!$B$13,Paramètres!$A$1:$I$89,3,0)*0.475*44/12</f>
        <v>1.6656354844059055E-20</v>
      </c>
      <c r="DI171" s="22">
        <f t="shared" si="175"/>
        <v>0.37501992365964526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6.2527760746888816E-13</v>
      </c>
      <c r="DP171" s="17">
        <f>DO171*VLOOKUP('Données projet'!$B$14,Paramètres!$A$1:$I$89,3,0)*VLOOKUP('Données projet'!$B$14,Paramètres!$A$1:$I$89,5,0)</f>
        <v>3.9017322706058616E-13</v>
      </c>
      <c r="DQ171" s="13">
        <f t="shared" si="176"/>
        <v>5.0025007393608908E-12</v>
      </c>
      <c r="DR171" s="20">
        <f t="shared" si="177"/>
        <v>9.3922404915174053E-12</v>
      </c>
      <c r="DS171" s="59">
        <f t="shared" si="125"/>
        <v>293.33333333334269</v>
      </c>
      <c r="DT171" s="59">
        <f ca="1">AVERAGE(OFFSET($DS$3,0,0,'Données projet'!$E$14+1,1))-AVERAGE(OFFSET($H$3,0,0,'Données projet'!$E$14+1,1))</f>
        <v>319.97171762304686</v>
      </c>
      <c r="DU171" s="59">
        <f t="shared" si="152"/>
        <v>337.89345858359621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0.45214107606311654</v>
      </c>
      <c r="EB171" s="21">
        <f>EXP(-LN(2)/25)*EB170+(1-EXP(-LN(2)/25))/(LN(2)/25)*Calculateur!DW171*Calculateur!DY171*VLOOKUP('Données projet'!$B$14,Paramètres!$A$1:$I$89,3,0)*0.475*44/12</f>
        <v>0.45302818216008806</v>
      </c>
      <c r="EC171" s="21">
        <f>EXP(-LN(2)/2)*EC170+(1-EXP(-LN(2)/2))/(LN(2)/2)*DW171*DZ171*VLOOKUP('Données projet'!$B$14,Paramètres!$A$1:$I$89,3,0)*0.475*44/12</f>
        <v>3.420457192715925E-20</v>
      </c>
      <c r="ED171" s="22">
        <f t="shared" si="178"/>
        <v>0.9051692582232046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>
        <f>EJ171*VLOOKUP('Données projet'!$B$15,Paramètres!$A$1:$I$89,3,0)*VLOOKUP('Données projet'!$B$15,Paramètres!$A$1:$I$89,5,0)</f>
        <v>0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258.46015871559956</v>
      </c>
      <c r="EP171" s="59">
        <f t="shared" si="154"/>
        <v>280.26155987300996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0.4039537548429627</v>
      </c>
      <c r="EW171" s="21">
        <f>EXP(-LN(2)/25)*EW170+(1-EXP(-LN(2)/25))/(LN(2)/25)*Calculateur!ER171*Calculateur!ET171*VLOOKUP('Données projet'!$B$15,Paramètres!$A$1:$I$89,3,0)*0.475*44/12</f>
        <v>0.26872531127231253</v>
      </c>
      <c r="EX171" s="21">
        <f>EXP(-LN(2)/2)*EX170+(1-EXP(-LN(2)/2))/(LN(2)/2)*ER171*EU171*VLOOKUP('Données projet'!$B$15,Paramètres!$A$1:$I$89,3,0)*0.475*44/12</f>
        <v>9.2253617229046257E-21</v>
      </c>
      <c r="EY171" s="22">
        <f t="shared" si="181"/>
        <v>0.67267906611527528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243.00000000000017</v>
      </c>
      <c r="O172" s="13">
        <f>N172*VLOOKUP('Données projet'!$B$9,Paramètres!$A$1:$I$89,3,0)*VLOOKUP('Données projet'!$B$9,Paramètres!$A$1:$I$89,5,0)</f>
        <v>212.28480000000016</v>
      </c>
      <c r="P172" s="13">
        <f t="shared" si="141"/>
        <v>52.434557099704236</v>
      </c>
      <c r="Q172" s="20">
        <f t="shared" si="162"/>
        <v>461.0528802819851</v>
      </c>
      <c r="R172" s="59">
        <f t="shared" si="109"/>
        <v>754.38621361531841</v>
      </c>
      <c r="S172" s="59">
        <f ca="1">AVERAGE(OFFSET($R$3,0,0,'Données projet'!$E$9+1,1))-AVERAGE(OFFSET($H$3,0,0,'Données projet'!$E$9+1,1))</f>
        <v>368.41876532159154</v>
      </c>
      <c r="T172" s="59">
        <f t="shared" si="142"/>
        <v>369.39570124551125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0.39259492348016661</v>
      </c>
      <c r="AA172" s="21">
        <f>EXP(-LN(2)/25)*AA171+(1-EXP(-LN(2)/25))/(LN(2)/25)*Calculateur!V172*Calculateur!X172*VLOOKUP('Données projet'!$B$9,Paramètres!$A$1:$I$89,3,0)*0.475*44/12</f>
        <v>0.34383562095303283</v>
      </c>
      <c r="AB172" s="21">
        <f>EXP(-LN(2)/2)*AB171+(1-EXP(-LN(2)/2))/(LN(2)/2)*V172*Y172*VLOOKUP('Données projet'!$B$9,Paramètres!$A$1:$I$89,3,0)*0.475*44/12</f>
        <v>2.1287192450942104E-20</v>
      </c>
      <c r="AC172" s="22">
        <f t="shared" si="163"/>
        <v>0.73643054443319944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-5.1159076974727213E-13</v>
      </c>
      <c r="AJ172" s="13">
        <f>AI172*VLOOKUP('Données projet'!$B$10,Paramètres!$A$1:$I$89,3,0)*VLOOKUP('Données projet'!$B$10,Paramètres!$A$1:$I$89,5,0)</f>
        <v>-4.4692569645121704E-13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402.82278346470082</v>
      </c>
      <c r="AO172" s="59">
        <f t="shared" si="144"/>
        <v>440.17787299198977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0.22840968755731636</v>
      </c>
      <c r="AV172" s="21">
        <f>EXP(-LN(2)/25)*AV171+(1-EXP(-LN(2)/25))/(LN(2)/25)*Calculateur!AQ172*Calculateur!AS172*VLOOKUP('Données projet'!$B$10,Paramètres!$A$1:$I$89,3,0)*0.475*44/12</f>
        <v>0.47759527690629111</v>
      </c>
      <c r="AW172" s="21">
        <f>EXP(-LN(2)/2)*AW171+(1-EXP(-LN(2)/2))/(LN(2)/2)*AQ172*AT172*VLOOKUP('Données projet'!$B$10,Paramètres!$A$1:$I$89,3,0)*0.475*44/12</f>
        <v>3.1619148375276033E-20</v>
      </c>
      <c r="AX172" s="21">
        <f t="shared" si="166"/>
        <v>0.7060049644636075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-3.4106051316484809E-13</v>
      </c>
      <c r="BE172" s="13">
        <f>BD172*VLOOKUP('Données projet'!$B$11,Paramètres!$A$1:$I$89,3,0)*VLOOKUP('Données projet'!$B$11,Paramètres!$A$1:$I$89,5,0)</f>
        <v>-3.0859155231155454E-13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469.68830256438338</v>
      </c>
      <c r="BJ172" s="59">
        <f t="shared" si="146"/>
        <v>332.61387922152159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0.15354548807761356</v>
      </c>
      <c r="BQ172" s="21">
        <f>EXP(-LN(2)/25)*BQ171+(1-EXP(-LN(2)/25))/(LN(2)/25)*Calculateur!BL172*Calculateur!BN172*VLOOKUP('Données projet'!$B$11,Paramètres!$A$1:$I$89,3,0)*0.475*44/12</f>
        <v>0.23916125418652756</v>
      </c>
      <c r="BR172" s="21">
        <f>EXP(-LN(2)/2)*BR171+(1-EXP(-LN(2)/2))/(LN(2)/2)*BL172*BO172*VLOOKUP('Données projet'!$B$11,Paramètres!$A$1:$I$89,3,0)*0.475*44/12</f>
        <v>2.5818429205701131E-20</v>
      </c>
      <c r="BS172" s="22">
        <f t="shared" si="169"/>
        <v>0.39270674226414115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1.1368683772161603E-13</v>
      </c>
      <c r="BZ172" s="13">
        <f>BY172*VLOOKUP('Données projet'!$B$12,Paramètres!$A$1:$I$89,3,0)*VLOOKUP('Données projet'!$B$12,Paramètres!$A$1:$I$89,5,0)</f>
        <v>1.0818439477588981E-13</v>
      </c>
      <c r="CA172" s="13">
        <f t="shared" si="170"/>
        <v>1.6104228458716316E-12</v>
      </c>
      <c r="CB172" s="20">
        <f t="shared" si="171"/>
        <v>2.9932409441277661E-12</v>
      </c>
      <c r="CC172" s="59">
        <f t="shared" si="119"/>
        <v>293.33333333333633</v>
      </c>
      <c r="CD172" s="59">
        <f ca="1">AVERAGE(OFFSET($CC$3,0,0,'Données projet'!$E$12+1,1))-AVERAGE(OFFSET($H$3,0,0,'Données projet'!$E$12+1,1))</f>
        <v>609.40025883662452</v>
      </c>
      <c r="CE172" s="59">
        <f t="shared" si="148"/>
        <v>294.48909834404577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8.3567597805099966E-2</v>
      </c>
      <c r="CM172" s="21">
        <f>EXP(-LN(2)/2)*CM171+(1-EXP(-LN(2)/2))/(LN(2)/2)*CG172*CJ172*VLOOKUP('Données projet'!$B$12,Paramètres!$A$1:$I$89,3,0)*0.475*44/12</f>
        <v>9.4109199848346284E-21</v>
      </c>
      <c r="CN172" s="22">
        <f t="shared" si="172"/>
        <v>8.3567597805099966E-2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-1.1368683772161603E-13</v>
      </c>
      <c r="CU172" s="17">
        <f>CT172*VLOOKUP('Données projet'!$B$13,Paramètres!$A$1:$I$89,3,0)*VLOOKUP('Données projet'!$B$13,Paramètres!$A$1:$I$89,5,0)</f>
        <v>-5.3205440053716299E-14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346.16623654404509</v>
      </c>
      <c r="CZ172" s="59">
        <f t="shared" si="150"/>
        <v>281.80933156559087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0.19982989241994636</v>
      </c>
      <c r="DG172" s="21">
        <f>EXP(-LN(2)/25)*DG171+(1-EXP(-LN(2)/25))/(LN(2)/25)*Calculateur!DB172*Calculateur!DD172*VLOOKUP('Données projet'!$B$13,Paramètres!$A$1:$I$89,3,0)*0.475*44/12</f>
        <v>0.16651182713653348</v>
      </c>
      <c r="DH172" s="21">
        <f>EXP(-LN(2)/2)*DH171+(1-EXP(-LN(2)/2))/(LN(2)/2)*DB172*DE172*VLOOKUP('Données projet'!$B$13,Paramètres!$A$1:$I$89,3,0)*0.475*44/12</f>
        <v>1.1777821460083557E-20</v>
      </c>
      <c r="DI172" s="22">
        <f t="shared" si="175"/>
        <v>0.36634171955647987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6.2527760746888816E-13</v>
      </c>
      <c r="DP172" s="17">
        <f>DO172*VLOOKUP('Données projet'!$B$14,Paramètres!$A$1:$I$89,3,0)*VLOOKUP('Données projet'!$B$14,Paramètres!$A$1:$I$89,5,0)</f>
        <v>3.9017322706058616E-13</v>
      </c>
      <c r="DQ172" s="13">
        <f t="shared" si="176"/>
        <v>5.0025007393608908E-12</v>
      </c>
      <c r="DR172" s="20">
        <f t="shared" si="177"/>
        <v>9.3922404915174053E-12</v>
      </c>
      <c r="DS172" s="59">
        <f t="shared" si="125"/>
        <v>293.33333333334269</v>
      </c>
      <c r="DT172" s="59">
        <f ca="1">AVERAGE(OFFSET($DS$3,0,0,'Données projet'!$E$14+1,1))-AVERAGE(OFFSET($H$3,0,0,'Données projet'!$E$14+1,1))</f>
        <v>319.97171762304686</v>
      </c>
      <c r="DU172" s="59">
        <f t="shared" si="152"/>
        <v>337.89345858359621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0.44327486534034433</v>
      </c>
      <c r="EB172" s="21">
        <f>EXP(-LN(2)/25)*EB171+(1-EXP(-LN(2)/25))/(LN(2)/25)*Calculateur!DW172*Calculateur!DY172*VLOOKUP('Données projet'!$B$14,Paramètres!$A$1:$I$89,3,0)*0.475*44/12</f>
        <v>0.44064010269520376</v>
      </c>
      <c r="EC172" s="21">
        <f>EXP(-LN(2)/2)*EC171+(1-EXP(-LN(2)/2))/(LN(2)/2)*DW172*DZ172*VLOOKUP('Données projet'!$B$14,Paramètres!$A$1:$I$89,3,0)*0.475*44/12</f>
        <v>2.4186284757277323E-20</v>
      </c>
      <c r="ED172" s="22">
        <f t="shared" si="178"/>
        <v>0.88391496803554803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>
        <f>EJ172*VLOOKUP('Données projet'!$B$15,Paramètres!$A$1:$I$89,3,0)*VLOOKUP('Données projet'!$B$15,Paramètres!$A$1:$I$89,5,0)</f>
        <v>0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258.46015871559956</v>
      </c>
      <c r="EP172" s="59">
        <f t="shared" si="154"/>
        <v>280.26155987300996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0.39603246809795389</v>
      </c>
      <c r="EW172" s="21">
        <f>EXP(-LN(2)/25)*EW171+(1-EXP(-LN(2)/25))/(LN(2)/25)*Calculateur!ER172*Calculateur!ET172*VLOOKUP('Données projet'!$B$15,Paramètres!$A$1:$I$89,3,0)*0.475*44/12</f>
        <v>0.26137700350392118</v>
      </c>
      <c r="EX172" s="21">
        <f>EXP(-LN(2)/2)*EX171+(1-EXP(-LN(2)/2))/(LN(2)/2)*ER172*EU172*VLOOKUP('Données projet'!$B$15,Paramètres!$A$1:$I$89,3,0)*0.475*44/12</f>
        <v>6.5233158331646723E-21</v>
      </c>
      <c r="EY172" s="22">
        <f t="shared" si="181"/>
        <v>0.65740947160187502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243.00000000000017</v>
      </c>
      <c r="O173" s="13">
        <f>N173*VLOOKUP('Données projet'!$B$9,Paramètres!$A$1:$I$89,3,0)*VLOOKUP('Données projet'!$B$9,Paramètres!$A$1:$I$89,5,0)</f>
        <v>212.28480000000016</v>
      </c>
      <c r="P173" s="13">
        <f t="shared" si="141"/>
        <v>52.434557099704236</v>
      </c>
      <c r="Q173" s="20">
        <f t="shared" si="162"/>
        <v>461.0528802819851</v>
      </c>
      <c r="R173" s="59">
        <f t="shared" si="109"/>
        <v>754.38621361531841</v>
      </c>
      <c r="S173" s="59">
        <f ca="1">AVERAGE(OFFSET($R$3,0,0,'Données projet'!$E$9+1,1))-AVERAGE(OFFSET($H$3,0,0,'Données projet'!$E$9+1,1))</f>
        <v>368.41876532159154</v>
      </c>
      <c r="T173" s="59">
        <f t="shared" si="142"/>
        <v>369.39570124551125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0.38489637648997921</v>
      </c>
      <c r="AA173" s="21">
        <f>EXP(-LN(2)/25)*AA172+(1-EXP(-LN(2)/25))/(LN(2)/25)*Calculateur!V173*Calculateur!X173*VLOOKUP('Données projet'!$B$9,Paramètres!$A$1:$I$89,3,0)*0.475*44/12</f>
        <v>0.33443341781654268</v>
      </c>
      <c r="AB173" s="21">
        <f>EXP(-LN(2)/2)*AB172+(1-EXP(-LN(2)/2))/(LN(2)/2)*V173*Y173*VLOOKUP('Données projet'!$B$9,Paramètres!$A$1:$I$89,3,0)*0.475*44/12</f>
        <v>1.5052318134484244E-20</v>
      </c>
      <c r="AC173" s="22">
        <f t="shared" si="163"/>
        <v>0.71932979430652189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-5.1159076974727213E-13</v>
      </c>
      <c r="AJ173" s="13">
        <f>AI173*VLOOKUP('Données projet'!$B$10,Paramètres!$A$1:$I$89,3,0)*VLOOKUP('Données projet'!$B$10,Paramètres!$A$1:$I$89,5,0)</f>
        <v>-4.4692569645121704E-13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402.82278346470082</v>
      </c>
      <c r="AO173" s="59">
        <f t="shared" si="144"/>
        <v>440.17787299198977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0.22393071290047048</v>
      </c>
      <c r="AV173" s="21">
        <f>EXP(-LN(2)/25)*AV172+(1-EXP(-LN(2)/25))/(LN(2)/25)*Calculateur!AQ173*Calculateur!AS173*VLOOKUP('Données projet'!$B$10,Paramètres!$A$1:$I$89,3,0)*0.475*44/12</f>
        <v>0.46453540894364453</v>
      </c>
      <c r="AW173" s="21">
        <f>EXP(-LN(2)/2)*AW172+(1-EXP(-LN(2)/2))/(LN(2)/2)*AQ173*AT173*VLOOKUP('Données projet'!$B$10,Paramètres!$A$1:$I$89,3,0)*0.475*44/12</f>
        <v>2.235811423150129E-20</v>
      </c>
      <c r="AX173" s="21">
        <f t="shared" si="166"/>
        <v>0.68846612184411504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-3.4106051316484809E-13</v>
      </c>
      <c r="BE173" s="13">
        <f>BD173*VLOOKUP('Données projet'!$B$11,Paramètres!$A$1:$I$89,3,0)*VLOOKUP('Données projet'!$B$11,Paramètres!$A$1:$I$89,5,0)</f>
        <v>-3.0859155231155454E-13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469.68830256438338</v>
      </c>
      <c r="BJ173" s="59">
        <f t="shared" si="146"/>
        <v>332.61387922152159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0.15053455470991178</v>
      </c>
      <c r="BQ173" s="21">
        <f>EXP(-LN(2)/25)*BQ172+(1-EXP(-LN(2)/25))/(LN(2)/25)*Calculateur!BL173*Calculateur!BN173*VLOOKUP('Données projet'!$B$11,Paramètres!$A$1:$I$89,3,0)*0.475*44/12</f>
        <v>0.23262137711385322</v>
      </c>
      <c r="BR173" s="21">
        <f>EXP(-LN(2)/2)*BR172+(1-EXP(-LN(2)/2))/(LN(2)/2)*BL173*BO173*VLOOKUP('Données projet'!$B$11,Paramètres!$A$1:$I$89,3,0)*0.475*44/12</f>
        <v>1.8256386370936077E-20</v>
      </c>
      <c r="BS173" s="22">
        <f t="shared" si="169"/>
        <v>0.38315593182376501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1.1368683772161603E-13</v>
      </c>
      <c r="BZ173" s="13">
        <f>BY173*VLOOKUP('Données projet'!$B$12,Paramètres!$A$1:$I$89,3,0)*VLOOKUP('Données projet'!$B$12,Paramètres!$A$1:$I$89,5,0)</f>
        <v>1.0818439477588981E-13</v>
      </c>
      <c r="CA173" s="13">
        <f t="shared" si="170"/>
        <v>1.6104228458716316E-12</v>
      </c>
      <c r="CB173" s="20">
        <f t="shared" si="171"/>
        <v>2.9932409441277661E-12</v>
      </c>
      <c r="CC173" s="59">
        <f t="shared" si="119"/>
        <v>293.33333333333633</v>
      </c>
      <c r="CD173" s="59">
        <f ca="1">AVERAGE(OFFSET($CC$3,0,0,'Données projet'!$E$12+1,1))-AVERAGE(OFFSET($H$3,0,0,'Données projet'!$E$12+1,1))</f>
        <v>609.40025883662452</v>
      </c>
      <c r="CE173" s="59">
        <f t="shared" si="148"/>
        <v>294.48909834404577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8.1282437448490535E-2</v>
      </c>
      <c r="CM173" s="21">
        <f>EXP(-LN(2)/2)*CM172+(1-EXP(-LN(2)/2))/(LN(2)/2)*CG173*CJ173*VLOOKUP('Données projet'!$B$12,Paramètres!$A$1:$I$89,3,0)*0.475*44/12</f>
        <v>6.654525338480567E-21</v>
      </c>
      <c r="CN173" s="22">
        <f t="shared" si="172"/>
        <v>8.1282437448490535E-2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-1.1368683772161603E-13</v>
      </c>
      <c r="CU173" s="17">
        <f>CT173*VLOOKUP('Données projet'!$B$13,Paramètres!$A$1:$I$89,3,0)*VLOOKUP('Données projet'!$B$13,Paramètres!$A$1:$I$89,5,0)</f>
        <v>-5.3205440053716299E-14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346.16623654404509</v>
      </c>
      <c r="CZ173" s="59">
        <f t="shared" si="150"/>
        <v>281.80933156559087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0.19591135011379052</v>
      </c>
      <c r="DG173" s="21">
        <f>EXP(-LN(2)/25)*DG172+(1-EXP(-LN(2)/25))/(LN(2)/25)*Calculateur!DB173*Calculateur!DD173*VLOOKUP('Données projet'!$B$13,Paramètres!$A$1:$I$89,3,0)*0.475*44/12</f>
        <v>0.16195855246700855</v>
      </c>
      <c r="DH173" s="21">
        <f>EXP(-LN(2)/2)*DH172+(1-EXP(-LN(2)/2))/(LN(2)/2)*DB173*DE173*VLOOKUP('Données projet'!$B$13,Paramètres!$A$1:$I$89,3,0)*0.475*44/12</f>
        <v>8.3281774220295273E-21</v>
      </c>
      <c r="DI173" s="22">
        <f t="shared" si="175"/>
        <v>0.35786990258079909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6.2527760746888816E-13</v>
      </c>
      <c r="DP173" s="17">
        <f>DO173*VLOOKUP('Données projet'!$B$14,Paramètres!$A$1:$I$89,3,0)*VLOOKUP('Données projet'!$B$14,Paramètres!$A$1:$I$89,5,0)</f>
        <v>3.9017322706058616E-13</v>
      </c>
      <c r="DQ173" s="13">
        <f t="shared" si="176"/>
        <v>5.0025007393608908E-12</v>
      </c>
      <c r="DR173" s="20">
        <f t="shared" si="177"/>
        <v>9.3922404915174053E-12</v>
      </c>
      <c r="DS173" s="59">
        <f t="shared" si="125"/>
        <v>293.33333333334269</v>
      </c>
      <c r="DT173" s="59">
        <f ca="1">AVERAGE(OFFSET($DS$3,0,0,'Données projet'!$E$14+1,1))-AVERAGE(OFFSET($H$3,0,0,'Données projet'!$E$14+1,1))</f>
        <v>319.97171762304686</v>
      </c>
      <c r="DU173" s="59">
        <f t="shared" si="152"/>
        <v>337.89345858359621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0.43458251560199113</v>
      </c>
      <c r="EB173" s="21">
        <f>EXP(-LN(2)/25)*EB172+(1-EXP(-LN(2)/25))/(LN(2)/25)*Calculateur!DW173*Calculateur!DY173*VLOOKUP('Données projet'!$B$14,Paramètres!$A$1:$I$89,3,0)*0.475*44/12</f>
        <v>0.42859077591474753</v>
      </c>
      <c r="EC173" s="21">
        <f>EXP(-LN(2)/2)*EC172+(1-EXP(-LN(2)/2))/(LN(2)/2)*DW173*DZ173*VLOOKUP('Données projet'!$B$14,Paramètres!$A$1:$I$89,3,0)*0.475*44/12</f>
        <v>1.7102285963579625E-20</v>
      </c>
      <c r="ED173" s="22">
        <f t="shared" si="178"/>
        <v>0.86317329151673872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>
        <f>EJ173*VLOOKUP('Données projet'!$B$15,Paramètres!$A$1:$I$89,3,0)*VLOOKUP('Données projet'!$B$15,Paramètres!$A$1:$I$89,5,0)</f>
        <v>0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258.46015871559956</v>
      </c>
      <c r="EP173" s="59">
        <f t="shared" si="154"/>
        <v>280.26155987300996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0.38826651295450687</v>
      </c>
      <c r="EW173" s="21">
        <f>EXP(-LN(2)/25)*EW172+(1-EXP(-LN(2)/25))/(LN(2)/25)*Calculateur!ER173*Calculateur!ET173*VLOOKUP('Données projet'!$B$15,Paramètres!$A$1:$I$89,3,0)*0.475*44/12</f>
        <v>0.25422963559788725</v>
      </c>
      <c r="EX173" s="21">
        <f>EXP(-LN(2)/2)*EX172+(1-EXP(-LN(2)/2))/(LN(2)/2)*ER173*EU173*VLOOKUP('Données projet'!$B$15,Paramètres!$A$1:$I$89,3,0)*0.475*44/12</f>
        <v>4.6126808614523128E-21</v>
      </c>
      <c r="EY173" s="22">
        <f t="shared" si="181"/>
        <v>0.64249614855239412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243.00000000000017</v>
      </c>
      <c r="O174" s="13">
        <f>N174*VLOOKUP('Données projet'!$B$9,Paramètres!$A$1:$I$89,3,0)*VLOOKUP('Données projet'!$B$9,Paramètres!$A$1:$I$89,5,0)</f>
        <v>212.28480000000016</v>
      </c>
      <c r="P174" s="13">
        <f t="shared" si="141"/>
        <v>52.434557099704236</v>
      </c>
      <c r="Q174" s="20">
        <f t="shared" si="162"/>
        <v>461.0528802819851</v>
      </c>
      <c r="R174" s="59">
        <f t="shared" si="109"/>
        <v>754.38621361531841</v>
      </c>
      <c r="S174" s="59">
        <f ca="1">AVERAGE(OFFSET($R$3,0,0,'Données projet'!$E$9+1,1))-AVERAGE(OFFSET($H$3,0,0,'Données projet'!$E$9+1,1))</f>
        <v>368.41876532159154</v>
      </c>
      <c r="T174" s="59">
        <f t="shared" si="142"/>
        <v>369.39570124551125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0.37734879331061938</v>
      </c>
      <c r="AA174" s="21">
        <f>EXP(-LN(2)/25)*AA173+(1-EXP(-LN(2)/25))/(LN(2)/25)*Calculateur!V174*Calculateur!X174*VLOOKUP('Données projet'!$B$9,Paramètres!$A$1:$I$89,3,0)*0.475*44/12</f>
        <v>0.32528831841926026</v>
      </c>
      <c r="AB174" s="21">
        <f>EXP(-LN(2)/2)*AB173+(1-EXP(-LN(2)/2))/(LN(2)/2)*V174*Y174*VLOOKUP('Données projet'!$B$9,Paramètres!$A$1:$I$89,3,0)*0.475*44/12</f>
        <v>1.0643596225471052E-20</v>
      </c>
      <c r="AC174" s="22">
        <f t="shared" si="163"/>
        <v>0.70263711172987964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-5.1159076974727213E-13</v>
      </c>
      <c r="AJ174" s="13">
        <f>AI174*VLOOKUP('Données projet'!$B$10,Paramètres!$A$1:$I$89,3,0)*VLOOKUP('Données projet'!$B$10,Paramètres!$A$1:$I$89,5,0)</f>
        <v>-4.4692569645121704E-13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402.82278346470082</v>
      </c>
      <c r="AO174" s="59">
        <f t="shared" si="144"/>
        <v>440.17787299198977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0.21953956820474055</v>
      </c>
      <c r="AV174" s="21">
        <f>EXP(-LN(2)/25)*AV173+(1-EXP(-LN(2)/25))/(LN(2)/25)*Calculateur!AQ174*Calculateur!AS174*VLOOKUP('Données projet'!$B$10,Paramètres!$A$1:$I$89,3,0)*0.475*44/12</f>
        <v>0.45183266375722514</v>
      </c>
      <c r="AW174" s="21">
        <f>EXP(-LN(2)/2)*AW173+(1-EXP(-LN(2)/2))/(LN(2)/2)*AQ174*AT174*VLOOKUP('Données projet'!$B$10,Paramètres!$A$1:$I$89,3,0)*0.475*44/12</f>
        <v>1.5809574187638016E-20</v>
      </c>
      <c r="AX174" s="21">
        <f t="shared" si="166"/>
        <v>0.67137223196196572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-3.4106051316484809E-13</v>
      </c>
      <c r="BE174" s="13">
        <f>BD174*VLOOKUP('Données projet'!$B$11,Paramètres!$A$1:$I$89,3,0)*VLOOKUP('Données projet'!$B$11,Paramètres!$A$1:$I$89,5,0)</f>
        <v>-3.0859155231155454E-13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469.68830256438338</v>
      </c>
      <c r="BJ174" s="59">
        <f t="shared" si="146"/>
        <v>332.61387922152159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0.14758266390906261</v>
      </c>
      <c r="BQ174" s="21">
        <f>EXP(-LN(2)/25)*BQ173+(1-EXP(-LN(2)/25))/(LN(2)/25)*Calculateur!BL174*Calculateur!BN174*VLOOKUP('Données projet'!$B$11,Paramètres!$A$1:$I$89,3,0)*0.475*44/12</f>
        <v>0.22626033332364834</v>
      </c>
      <c r="BR174" s="21">
        <f>EXP(-LN(2)/2)*BR173+(1-EXP(-LN(2)/2))/(LN(2)/2)*BL174*BO174*VLOOKUP('Données projet'!$B$11,Paramètres!$A$1:$I$89,3,0)*0.475*44/12</f>
        <v>1.2909214602850566E-20</v>
      </c>
      <c r="BS174" s="22">
        <f t="shared" si="169"/>
        <v>0.37384299723271097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1.1368683772161603E-13</v>
      </c>
      <c r="BZ174" s="13">
        <f>BY174*VLOOKUP('Données projet'!$B$12,Paramètres!$A$1:$I$89,3,0)*VLOOKUP('Données projet'!$B$12,Paramètres!$A$1:$I$89,5,0)</f>
        <v>1.0818439477588981E-13</v>
      </c>
      <c r="CA174" s="13">
        <f t="shared" si="170"/>
        <v>1.6104228458716316E-12</v>
      </c>
      <c r="CB174" s="20">
        <f t="shared" si="171"/>
        <v>2.9932409441277661E-12</v>
      </c>
      <c r="CC174" s="59">
        <f t="shared" si="119"/>
        <v>293.33333333333633</v>
      </c>
      <c r="CD174" s="59">
        <f ca="1">AVERAGE(OFFSET($CC$3,0,0,'Données projet'!$E$12+1,1))-AVERAGE(OFFSET($H$3,0,0,'Données projet'!$E$12+1,1))</f>
        <v>609.40025883662452</v>
      </c>
      <c r="CE174" s="59">
        <f t="shared" si="148"/>
        <v>294.48909834404577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7.905976492200395E-2</v>
      </c>
      <c r="CM174" s="21">
        <f>EXP(-LN(2)/2)*CM173+(1-EXP(-LN(2)/2))/(LN(2)/2)*CG174*CJ174*VLOOKUP('Données projet'!$B$12,Paramètres!$A$1:$I$89,3,0)*0.475*44/12</f>
        <v>4.705459992417315E-21</v>
      </c>
      <c r="CN174" s="22">
        <f t="shared" si="172"/>
        <v>7.905976492200395E-2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-1.1368683772161603E-13</v>
      </c>
      <c r="CU174" s="17">
        <f>CT174*VLOOKUP('Données projet'!$B$13,Paramètres!$A$1:$I$89,3,0)*VLOOKUP('Données projet'!$B$13,Paramètres!$A$1:$I$89,5,0)</f>
        <v>-5.3205440053716299E-14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346.16623654404509</v>
      </c>
      <c r="CZ174" s="59">
        <f t="shared" si="150"/>
        <v>281.80933156559087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0.1920696480321836</v>
      </c>
      <c r="DG174" s="21">
        <f>EXP(-LN(2)/25)*DG173+(1-EXP(-LN(2)/25))/(LN(2)/25)*Calculateur!DB174*Calculateur!DD174*VLOOKUP('Données projet'!$B$13,Paramètres!$A$1:$I$89,3,0)*0.475*44/12</f>
        <v>0.1575297873327681</v>
      </c>
      <c r="DH174" s="21">
        <f>EXP(-LN(2)/2)*DH173+(1-EXP(-LN(2)/2))/(LN(2)/2)*DB174*DE174*VLOOKUP('Données projet'!$B$13,Paramètres!$A$1:$I$89,3,0)*0.475*44/12</f>
        <v>5.8889107300417785E-21</v>
      </c>
      <c r="DI174" s="22">
        <f t="shared" si="175"/>
        <v>0.34959943536495169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6.2527760746888816E-13</v>
      </c>
      <c r="DP174" s="17">
        <f>DO174*VLOOKUP('Données projet'!$B$14,Paramètres!$A$1:$I$89,3,0)*VLOOKUP('Données projet'!$B$14,Paramètres!$A$1:$I$89,5,0)</f>
        <v>3.9017322706058616E-13</v>
      </c>
      <c r="DQ174" s="13">
        <f t="shared" si="176"/>
        <v>5.0025007393608908E-12</v>
      </c>
      <c r="DR174" s="20">
        <f t="shared" si="177"/>
        <v>9.3922404915174053E-12</v>
      </c>
      <c r="DS174" s="59">
        <f t="shared" si="125"/>
        <v>293.33333333334269</v>
      </c>
      <c r="DT174" s="59">
        <f ca="1">AVERAGE(OFFSET($DS$3,0,0,'Données projet'!$E$14+1,1))-AVERAGE(OFFSET($H$3,0,0,'Données projet'!$E$14+1,1))</f>
        <v>319.97171762304686</v>
      </c>
      <c r="DU174" s="59">
        <f t="shared" si="152"/>
        <v>337.89345858359621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0.4260606175401972</v>
      </c>
      <c r="EB174" s="21">
        <f>EXP(-LN(2)/25)*EB173+(1-EXP(-LN(2)/25))/(LN(2)/25)*Calculateur!DW174*Calculateur!DY174*VLOOKUP('Données projet'!$B$14,Paramètres!$A$1:$I$89,3,0)*0.475*44/12</f>
        <v>0.41687093860874941</v>
      </c>
      <c r="EC174" s="21">
        <f>EXP(-LN(2)/2)*EC173+(1-EXP(-LN(2)/2))/(LN(2)/2)*DW174*DZ174*VLOOKUP('Données projet'!$B$14,Paramètres!$A$1:$I$89,3,0)*0.475*44/12</f>
        <v>1.2093142378638661E-20</v>
      </c>
      <c r="ED174" s="22">
        <f t="shared" si="178"/>
        <v>0.84293155614894655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>
        <f>EJ174*VLOOKUP('Données projet'!$B$15,Paramètres!$A$1:$I$89,3,0)*VLOOKUP('Données projet'!$B$15,Paramètres!$A$1:$I$89,5,0)</f>
        <v>0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258.46015871559956</v>
      </c>
      <c r="EP174" s="59">
        <f t="shared" si="154"/>
        <v>280.26155987300996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0.38065284345465794</v>
      </c>
      <c r="EW174" s="21">
        <f>EXP(-LN(2)/25)*EW173+(1-EXP(-LN(2)/25))/(LN(2)/25)*Calculateur!ER174*Calculateur!ET174*VLOOKUP('Données projet'!$B$15,Paramètres!$A$1:$I$89,3,0)*0.475*44/12</f>
        <v>0.24727771284310754</v>
      </c>
      <c r="EX174" s="21">
        <f>EXP(-LN(2)/2)*EX173+(1-EXP(-LN(2)/2))/(LN(2)/2)*ER174*EU174*VLOOKUP('Données projet'!$B$15,Paramètres!$A$1:$I$89,3,0)*0.475*44/12</f>
        <v>3.2616579165823361E-21</v>
      </c>
      <c r="EY174" s="22">
        <f t="shared" si="181"/>
        <v>0.62793055629776551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243.00000000000017</v>
      </c>
      <c r="O175" s="13">
        <f>N175*VLOOKUP('Données projet'!$B$9,Paramètres!$A$1:$I$89,3,0)*VLOOKUP('Données projet'!$B$9,Paramètres!$A$1:$I$89,5,0)</f>
        <v>212.28480000000016</v>
      </c>
      <c r="P175" s="13">
        <f t="shared" si="141"/>
        <v>52.434557099704236</v>
      </c>
      <c r="Q175" s="20">
        <f t="shared" si="162"/>
        <v>461.0528802819851</v>
      </c>
      <c r="R175" s="59">
        <f t="shared" si="109"/>
        <v>754.38621361531841</v>
      </c>
      <c r="S175" s="59">
        <f ca="1">AVERAGE(OFFSET($R$3,0,0,'Données projet'!$E$9+1,1))-AVERAGE(OFFSET($H$3,0,0,'Données projet'!$E$9+1,1))</f>
        <v>368.41876532159154</v>
      </c>
      <c r="T175" s="59">
        <f t="shared" si="142"/>
        <v>369.39570124551125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0.36994921363383565</v>
      </c>
      <c r="AA175" s="21">
        <f>EXP(-LN(2)/25)*AA174+(1-EXP(-LN(2)/25))/(LN(2)/25)*Calculateur!V175*Calculateur!X175*VLOOKUP('Données projet'!$B$9,Paramètres!$A$1:$I$89,3,0)*0.475*44/12</f>
        <v>0.31639329224591639</v>
      </c>
      <c r="AB175" s="21">
        <f>EXP(-LN(2)/2)*AB174+(1-EXP(-LN(2)/2))/(LN(2)/2)*V175*Y175*VLOOKUP('Données projet'!$B$9,Paramètres!$A$1:$I$89,3,0)*0.475*44/12</f>
        <v>7.5261590672421222E-21</v>
      </c>
      <c r="AC175" s="22">
        <f t="shared" si="163"/>
        <v>0.6863425058797521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-5.1159076974727213E-13</v>
      </c>
      <c r="AJ175" s="13">
        <f>AI175*VLOOKUP('Données projet'!$B$10,Paramètres!$A$1:$I$89,3,0)*VLOOKUP('Données projet'!$B$10,Paramètres!$A$1:$I$89,5,0)</f>
        <v>-4.4692569645121704E-13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402.82278346470082</v>
      </c>
      <c r="AO175" s="59">
        <f t="shared" si="144"/>
        <v>440.17787299198977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0.21523453117816008</v>
      </c>
      <c r="AV175" s="21">
        <f>EXP(-LN(2)/25)*AV174+(1-EXP(-LN(2)/25))/(LN(2)/25)*Calculateur!AQ175*Calculateur!AS175*VLOOKUP('Données projet'!$B$10,Paramètres!$A$1:$I$89,3,0)*0.475*44/12</f>
        <v>0.43947727580593671</v>
      </c>
      <c r="AW175" s="21">
        <f>EXP(-LN(2)/2)*AW174+(1-EXP(-LN(2)/2))/(LN(2)/2)*AQ175*AT175*VLOOKUP('Données projet'!$B$10,Paramètres!$A$1:$I$89,3,0)*0.475*44/12</f>
        <v>1.1179057115750645E-20</v>
      </c>
      <c r="AX175" s="21">
        <f t="shared" si="166"/>
        <v>0.65471180698409681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-3.4106051316484809E-13</v>
      </c>
      <c r="BE175" s="13">
        <f>BD175*VLOOKUP('Données projet'!$B$11,Paramètres!$A$1:$I$89,3,0)*VLOOKUP('Données projet'!$B$11,Paramètres!$A$1:$I$89,5,0)</f>
        <v>-3.0859155231155454E-13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469.68830256438338</v>
      </c>
      <c r="BJ175" s="59">
        <f t="shared" si="146"/>
        <v>332.61387922152159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0.14468865788634247</v>
      </c>
      <c r="BQ175" s="21">
        <f>EXP(-LN(2)/25)*BQ174+(1-EXP(-LN(2)/25))/(LN(2)/25)*Calculateur!BL175*Calculateur!BN175*VLOOKUP('Données projet'!$B$11,Paramètres!$A$1:$I$89,3,0)*0.475*44/12</f>
        <v>0.22007323261039938</v>
      </c>
      <c r="BR175" s="21">
        <f>EXP(-LN(2)/2)*BR174+(1-EXP(-LN(2)/2))/(LN(2)/2)*BL175*BO175*VLOOKUP('Données projet'!$B$11,Paramètres!$A$1:$I$89,3,0)*0.475*44/12</f>
        <v>9.1281931854680387E-21</v>
      </c>
      <c r="BS175" s="22">
        <f t="shared" si="169"/>
        <v>0.36476189049674185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1.1368683772161603E-13</v>
      </c>
      <c r="BZ175" s="13">
        <f>BY175*VLOOKUP('Données projet'!$B$12,Paramètres!$A$1:$I$89,3,0)*VLOOKUP('Données projet'!$B$12,Paramètres!$A$1:$I$89,5,0)</f>
        <v>1.0818439477588981E-13</v>
      </c>
      <c r="CA175" s="13">
        <f t="shared" si="170"/>
        <v>1.6104228458716316E-12</v>
      </c>
      <c r="CB175" s="20">
        <f t="shared" si="171"/>
        <v>2.9932409441277661E-12</v>
      </c>
      <c r="CC175" s="59">
        <f t="shared" si="119"/>
        <v>293.33333333333633</v>
      </c>
      <c r="CD175" s="59">
        <f ca="1">AVERAGE(OFFSET($CC$3,0,0,'Données projet'!$E$12+1,1))-AVERAGE(OFFSET($H$3,0,0,'Données projet'!$E$12+1,1))</f>
        <v>609.40025883662452</v>
      </c>
      <c r="CE175" s="59">
        <f t="shared" si="148"/>
        <v>294.48909834404577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7.6897871492639408E-2</v>
      </c>
      <c r="CM175" s="21">
        <f>EXP(-LN(2)/2)*CM174+(1-EXP(-LN(2)/2))/(LN(2)/2)*CG175*CJ175*VLOOKUP('Données projet'!$B$12,Paramètres!$A$1:$I$89,3,0)*0.475*44/12</f>
        <v>3.3272626692402843E-21</v>
      </c>
      <c r="CN175" s="22">
        <f t="shared" si="172"/>
        <v>7.6897871492639408E-2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-1.1368683772161603E-13</v>
      </c>
      <c r="CU175" s="17">
        <f>CT175*VLOOKUP('Données projet'!$B$13,Paramètres!$A$1:$I$89,3,0)*VLOOKUP('Données projet'!$B$13,Paramètres!$A$1:$I$89,5,0)</f>
        <v>-5.3205440053716299E-14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346.16623654404509</v>
      </c>
      <c r="CZ175" s="59">
        <f t="shared" si="150"/>
        <v>281.80933156559087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0.18830327938519009</v>
      </c>
      <c r="DG175" s="21">
        <f>EXP(-LN(2)/25)*DG174+(1-EXP(-LN(2)/25))/(LN(2)/25)*Calculateur!DB175*Calculateur!DD175*VLOOKUP('Données projet'!$B$13,Paramètres!$A$1:$I$89,3,0)*0.475*44/12</f>
        <v>0.15322212701402207</v>
      </c>
      <c r="DH175" s="21">
        <f>EXP(-LN(2)/2)*DH174+(1-EXP(-LN(2)/2))/(LN(2)/2)*DB175*DE175*VLOOKUP('Données projet'!$B$13,Paramètres!$A$1:$I$89,3,0)*0.475*44/12</f>
        <v>4.1640887110147636E-21</v>
      </c>
      <c r="DI175" s="22">
        <f t="shared" si="175"/>
        <v>0.34152540639921214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6.2527760746888816E-13</v>
      </c>
      <c r="DP175" s="17">
        <f>DO175*VLOOKUP('Données projet'!$B$14,Paramètres!$A$1:$I$89,3,0)*VLOOKUP('Données projet'!$B$14,Paramètres!$A$1:$I$89,5,0)</f>
        <v>3.9017322706058616E-13</v>
      </c>
      <c r="DQ175" s="13">
        <f t="shared" si="176"/>
        <v>5.0025007393608908E-12</v>
      </c>
      <c r="DR175" s="20">
        <f t="shared" si="177"/>
        <v>9.3922404915174053E-12</v>
      </c>
      <c r="DS175" s="59">
        <f t="shared" si="125"/>
        <v>293.33333333334269</v>
      </c>
      <c r="DT175" s="59">
        <f ca="1">AVERAGE(OFFSET($DS$3,0,0,'Données projet'!$E$14+1,1))-AVERAGE(OFFSET($H$3,0,0,'Données projet'!$E$14+1,1))</f>
        <v>319.97171762304686</v>
      </c>
      <c r="DU175" s="59">
        <f t="shared" si="152"/>
        <v>337.89345858359621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0.41770582870155049</v>
      </c>
      <c r="EB175" s="21">
        <f>EXP(-LN(2)/25)*EB174+(1-EXP(-LN(2)/25))/(LN(2)/25)*Calculateur!DW175*Calculateur!DY175*VLOOKUP('Données projet'!$B$14,Paramètres!$A$1:$I$89,3,0)*0.475*44/12</f>
        <v>0.40547158087020324</v>
      </c>
      <c r="EC175" s="21">
        <f>EXP(-LN(2)/2)*EC174+(1-EXP(-LN(2)/2))/(LN(2)/2)*DW175*DZ175*VLOOKUP('Données projet'!$B$14,Paramètres!$A$1:$I$89,3,0)*0.475*44/12</f>
        <v>8.5511429817898126E-21</v>
      </c>
      <c r="ED175" s="22">
        <f t="shared" si="178"/>
        <v>0.82317740957175367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>
        <f>EJ175*VLOOKUP('Données projet'!$B$15,Paramètres!$A$1:$I$89,3,0)*VLOOKUP('Données projet'!$B$15,Paramètres!$A$1:$I$89,5,0)</f>
        <v>0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258.46015871559956</v>
      </c>
      <c r="EP175" s="59">
        <f t="shared" si="154"/>
        <v>280.26155987300996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0.37318847336982119</v>
      </c>
      <c r="EW175" s="21">
        <f>EXP(-LN(2)/25)*EW174+(1-EXP(-LN(2)/25))/(LN(2)/25)*Calculateur!ER175*Calculateur!ET175*VLOOKUP('Données projet'!$B$15,Paramètres!$A$1:$I$89,3,0)*0.475*44/12</f>
        <v>0.24051589078164301</v>
      </c>
      <c r="EX175" s="21">
        <f>EXP(-LN(2)/2)*EX174+(1-EXP(-LN(2)/2))/(LN(2)/2)*ER175*EU175*VLOOKUP('Données projet'!$B$15,Paramètres!$A$1:$I$89,3,0)*0.475*44/12</f>
        <v>2.3063404307261564E-21</v>
      </c>
      <c r="EY175" s="22">
        <f t="shared" si="181"/>
        <v>0.61370436415146423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243.00000000000017</v>
      </c>
      <c r="O176" s="13">
        <f>N176*VLOOKUP('Données projet'!$B$9,Paramètres!$A$1:$I$89,3,0)*VLOOKUP('Données projet'!$B$9,Paramètres!$A$1:$I$89,5,0)</f>
        <v>212.28480000000016</v>
      </c>
      <c r="P176" s="13">
        <f t="shared" si="141"/>
        <v>52.434557099704236</v>
      </c>
      <c r="Q176" s="20">
        <f t="shared" si="162"/>
        <v>461.0528802819851</v>
      </c>
      <c r="R176" s="59">
        <f t="shared" si="109"/>
        <v>754.38621361531841</v>
      </c>
      <c r="S176" s="59">
        <f ca="1">AVERAGE(OFFSET($R$3,0,0,'Données projet'!$E$9+1,1))-AVERAGE(OFFSET($H$3,0,0,'Données projet'!$E$9+1,1))</f>
        <v>368.41876532159154</v>
      </c>
      <c r="T176" s="59">
        <f t="shared" si="142"/>
        <v>369.39570124551125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0.3626947352012157</v>
      </c>
      <c r="AA176" s="21">
        <f>EXP(-LN(2)/25)*AA175+(1-EXP(-LN(2)/25))/(LN(2)/25)*Calculateur!V176*Calculateur!X176*VLOOKUP('Données projet'!$B$9,Paramètres!$A$1:$I$89,3,0)*0.475*44/12</f>
        <v>0.30774150103105169</v>
      </c>
      <c r="AB176" s="21">
        <f>EXP(-LN(2)/2)*AB175+(1-EXP(-LN(2)/2))/(LN(2)/2)*V176*Y176*VLOOKUP('Données projet'!$B$9,Paramètres!$A$1:$I$89,3,0)*0.475*44/12</f>
        <v>5.321798112735526E-21</v>
      </c>
      <c r="AC176" s="22">
        <f t="shared" si="163"/>
        <v>0.67043623623226734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-5.1159076974727213E-13</v>
      </c>
      <c r="AJ176" s="13">
        <f>AI176*VLOOKUP('Données projet'!$B$10,Paramètres!$A$1:$I$89,3,0)*VLOOKUP('Données projet'!$B$10,Paramètres!$A$1:$I$89,5,0)</f>
        <v>-4.4692569645121704E-13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402.82278346470082</v>
      </c>
      <c r="AO176" s="59">
        <f t="shared" si="144"/>
        <v>440.17787299198977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0.21101391330185754</v>
      </c>
      <c r="AV176" s="21">
        <f>EXP(-LN(2)/25)*AV175+(1-EXP(-LN(2)/25))/(LN(2)/25)*Calculateur!AQ176*Calculateur!AS176*VLOOKUP('Données projet'!$B$10,Paramètres!$A$1:$I$89,3,0)*0.475*44/12</f>
        <v>0.42745974658791785</v>
      </c>
      <c r="AW176" s="21">
        <f>EXP(-LN(2)/2)*AW175+(1-EXP(-LN(2)/2))/(LN(2)/2)*AQ176*AT176*VLOOKUP('Données projet'!$B$10,Paramètres!$A$1:$I$89,3,0)*0.475*44/12</f>
        <v>7.9047870938190082E-21</v>
      </c>
      <c r="AX176" s="21">
        <f t="shared" si="166"/>
        <v>0.63847365988977534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-3.4106051316484809E-13</v>
      </c>
      <c r="BE176" s="13">
        <f>BD176*VLOOKUP('Données projet'!$B$11,Paramètres!$A$1:$I$89,3,0)*VLOOKUP('Données projet'!$B$11,Paramètres!$A$1:$I$89,5,0)</f>
        <v>-3.0859155231155454E-13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469.68830256438338</v>
      </c>
      <c r="BJ176" s="59">
        <f t="shared" si="146"/>
        <v>332.61387922152159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0.14185140155655851</v>
      </c>
      <c r="BQ176" s="21">
        <f>EXP(-LN(2)/25)*BQ175+(1-EXP(-LN(2)/25))/(LN(2)/25)*Calculateur!BL176*Calculateur!BN176*VLOOKUP('Données projet'!$B$11,Paramètres!$A$1:$I$89,3,0)*0.475*44/12</f>
        <v>0.21405531849151968</v>
      </c>
      <c r="BR176" s="21">
        <f>EXP(-LN(2)/2)*BR175+(1-EXP(-LN(2)/2))/(LN(2)/2)*BL176*BO176*VLOOKUP('Données projet'!$B$11,Paramètres!$A$1:$I$89,3,0)*0.475*44/12</f>
        <v>6.4546073014252828E-21</v>
      </c>
      <c r="BS176" s="22">
        <f t="shared" si="169"/>
        <v>0.35590672004807822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1.1368683772161603E-13</v>
      </c>
      <c r="BZ176" s="13">
        <f>BY176*VLOOKUP('Données projet'!$B$12,Paramètres!$A$1:$I$89,3,0)*VLOOKUP('Données projet'!$B$12,Paramètres!$A$1:$I$89,5,0)</f>
        <v>1.0818439477588981E-13</v>
      </c>
      <c r="CA176" s="13">
        <f t="shared" si="170"/>
        <v>1.6104228458716316E-12</v>
      </c>
      <c r="CB176" s="20">
        <f t="shared" si="171"/>
        <v>2.9932409441277661E-12</v>
      </c>
      <c r="CC176" s="59">
        <f t="shared" si="119"/>
        <v>293.33333333333633</v>
      </c>
      <c r="CD176" s="59">
        <f ca="1">AVERAGE(OFFSET($CC$3,0,0,'Données projet'!$E$12+1,1))-AVERAGE(OFFSET($H$3,0,0,'Données projet'!$E$12+1,1))</f>
        <v>609.40025883662452</v>
      </c>
      <c r="CE176" s="59">
        <f t="shared" si="148"/>
        <v>294.48909834404577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7.479509515278987E-2</v>
      </c>
      <c r="CM176" s="21">
        <f>EXP(-LN(2)/2)*CM175+(1-EXP(-LN(2)/2))/(LN(2)/2)*CG176*CJ176*VLOOKUP('Données projet'!$B$12,Paramètres!$A$1:$I$89,3,0)*0.475*44/12</f>
        <v>2.3527299962086579E-21</v>
      </c>
      <c r="CN176" s="22">
        <f t="shared" si="172"/>
        <v>7.479509515278987E-2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-1.1368683772161603E-13</v>
      </c>
      <c r="CU176" s="17">
        <f>CT176*VLOOKUP('Données projet'!$B$13,Paramètres!$A$1:$I$89,3,0)*VLOOKUP('Données projet'!$B$13,Paramètres!$A$1:$I$89,5,0)</f>
        <v>-5.3205440053716299E-14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346.16623654404509</v>
      </c>
      <c r="CZ176" s="59">
        <f t="shared" si="150"/>
        <v>281.80933156559087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0.18461076693010608</v>
      </c>
      <c r="DG176" s="21">
        <f>EXP(-LN(2)/25)*DG175+(1-EXP(-LN(2)/25))/(LN(2)/25)*Calculateur!DB176*Calculateur!DD176*VLOOKUP('Données projet'!$B$13,Paramètres!$A$1:$I$89,3,0)*0.475*44/12</f>
        <v>0.14903225989322216</v>
      </c>
      <c r="DH176" s="21">
        <f>EXP(-LN(2)/2)*DH175+(1-EXP(-LN(2)/2))/(LN(2)/2)*DB176*DE176*VLOOKUP('Données projet'!$B$13,Paramètres!$A$1:$I$89,3,0)*0.475*44/12</f>
        <v>2.9444553650208892E-21</v>
      </c>
      <c r="DI176" s="22">
        <f t="shared" si="175"/>
        <v>0.33364302682332825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6.2527760746888816E-13</v>
      </c>
      <c r="DP176" s="17">
        <f>DO176*VLOOKUP('Données projet'!$B$14,Paramètres!$A$1:$I$89,3,0)*VLOOKUP('Données projet'!$B$14,Paramètres!$A$1:$I$89,5,0)</f>
        <v>3.9017322706058616E-13</v>
      </c>
      <c r="DQ176" s="13">
        <f t="shared" si="176"/>
        <v>5.0025007393608908E-12</v>
      </c>
      <c r="DR176" s="20">
        <f t="shared" si="177"/>
        <v>9.3922404915174053E-12</v>
      </c>
      <c r="DS176" s="59">
        <f t="shared" si="125"/>
        <v>293.33333333334269</v>
      </c>
      <c r="DT176" s="59">
        <f ca="1">AVERAGE(OFFSET($DS$3,0,0,'Données projet'!$E$14+1,1))-AVERAGE(OFFSET($H$3,0,0,'Données projet'!$E$14+1,1))</f>
        <v>319.97171762304686</v>
      </c>
      <c r="DU176" s="59">
        <f t="shared" si="152"/>
        <v>337.89345858359621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0.4095148721761116</v>
      </c>
      <c r="EB176" s="21">
        <f>EXP(-LN(2)/25)*EB175+(1-EXP(-LN(2)/25))/(LN(2)/25)*Calculateur!DW176*Calculateur!DY176*VLOOKUP('Données projet'!$B$14,Paramètres!$A$1:$I$89,3,0)*0.475*44/12</f>
        <v>0.3943839391684838</v>
      </c>
      <c r="EC176" s="21">
        <f>EXP(-LN(2)/2)*EC175+(1-EXP(-LN(2)/2))/(LN(2)/2)*DW176*DZ176*VLOOKUP('Données projet'!$B$14,Paramètres!$A$1:$I$89,3,0)*0.475*44/12</f>
        <v>6.0465711893193307E-21</v>
      </c>
      <c r="ED176" s="22">
        <f t="shared" si="178"/>
        <v>0.8038988113445954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>
        <f>EJ176*VLOOKUP('Données projet'!$B$15,Paramètres!$A$1:$I$89,3,0)*VLOOKUP('Données projet'!$B$15,Paramètres!$A$1:$I$89,5,0)</f>
        <v>0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258.46015871559956</v>
      </c>
      <c r="EP176" s="59">
        <f t="shared" si="154"/>
        <v>280.26155987300996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0.36587047502953191</v>
      </c>
      <c r="EW176" s="21">
        <f>EXP(-LN(2)/25)*EW175+(1-EXP(-LN(2)/25))/(LN(2)/25)*Calculateur!ER176*Calculateur!ET176*VLOOKUP('Données projet'!$B$15,Paramètres!$A$1:$I$89,3,0)*0.475*44/12</f>
        <v>0.233938971100038</v>
      </c>
      <c r="EX176" s="21">
        <f>EXP(-LN(2)/2)*EX175+(1-EXP(-LN(2)/2))/(LN(2)/2)*ER176*EU176*VLOOKUP('Données projet'!$B$15,Paramètres!$A$1:$I$89,3,0)*0.475*44/12</f>
        <v>1.6308289582911681E-21</v>
      </c>
      <c r="EY176" s="22">
        <f t="shared" si="181"/>
        <v>0.59980944612956988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243.00000000000017</v>
      </c>
      <c r="O177" s="13">
        <f>N177*VLOOKUP('Données projet'!$B$9,Paramètres!$A$1:$I$89,3,0)*VLOOKUP('Données projet'!$B$9,Paramètres!$A$1:$I$89,5,0)</f>
        <v>212.28480000000016</v>
      </c>
      <c r="P177" s="13">
        <f t="shared" si="141"/>
        <v>52.434557099704236</v>
      </c>
      <c r="Q177" s="20">
        <f t="shared" si="162"/>
        <v>461.0528802819851</v>
      </c>
      <c r="R177" s="59">
        <f t="shared" si="109"/>
        <v>754.38621361531841</v>
      </c>
      <c r="S177" s="59">
        <f ca="1">AVERAGE(OFFSET($R$3,0,0,'Données projet'!$E$9+1,1))-AVERAGE(OFFSET($H$3,0,0,'Données projet'!$E$9+1,1))</f>
        <v>368.41876532159154</v>
      </c>
      <c r="T177" s="59">
        <f t="shared" si="142"/>
        <v>369.39570124551125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0.35558251266586449</v>
      </c>
      <c r="AA177" s="21">
        <f>EXP(-LN(2)/25)*AA176+(1-EXP(-LN(2)/25))/(LN(2)/25)*Calculateur!V177*Calculateur!X177*VLOOKUP('Données projet'!$B$9,Paramètres!$A$1:$I$89,3,0)*0.475*44/12</f>
        <v>0.2993262935019354</v>
      </c>
      <c r="AB177" s="21">
        <f>EXP(-LN(2)/2)*AB176+(1-EXP(-LN(2)/2))/(LN(2)/2)*V177*Y177*VLOOKUP('Données projet'!$B$9,Paramètres!$A$1:$I$89,3,0)*0.475*44/12</f>
        <v>3.7630795336210611E-21</v>
      </c>
      <c r="AC177" s="22">
        <f t="shared" si="163"/>
        <v>0.6549088061677999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-5.1159076974727213E-13</v>
      </c>
      <c r="AJ177" s="13">
        <f>AI177*VLOOKUP('Données projet'!$B$10,Paramètres!$A$1:$I$89,3,0)*VLOOKUP('Données projet'!$B$10,Paramètres!$A$1:$I$89,5,0)</f>
        <v>-4.4692569645121704E-13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402.82278346470082</v>
      </c>
      <c r="AO177" s="59">
        <f t="shared" si="144"/>
        <v>440.17787299198977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0.20687605916778659</v>
      </c>
      <c r="AV177" s="21">
        <f>EXP(-LN(2)/25)*AV176+(1-EXP(-LN(2)/25))/(LN(2)/25)*Calculateur!AQ177*Calculateur!AS177*VLOOKUP('Données projet'!$B$10,Paramètres!$A$1:$I$89,3,0)*0.475*44/12</f>
        <v>0.41577083733834014</v>
      </c>
      <c r="AW177" s="21">
        <f>EXP(-LN(2)/2)*AW176+(1-EXP(-LN(2)/2))/(LN(2)/2)*AQ177*AT177*VLOOKUP('Données projet'!$B$10,Paramètres!$A$1:$I$89,3,0)*0.475*44/12</f>
        <v>5.5895285578753224E-21</v>
      </c>
      <c r="AX177" s="21">
        <f t="shared" si="166"/>
        <v>0.6226468965061267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-3.4106051316484809E-13</v>
      </c>
      <c r="BE177" s="13">
        <f>BD177*VLOOKUP('Données projet'!$B$11,Paramètres!$A$1:$I$89,3,0)*VLOOKUP('Données projet'!$B$11,Paramètres!$A$1:$I$89,5,0)</f>
        <v>-3.0859155231155454E-13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469.68830256438338</v>
      </c>
      <c r="BJ177" s="59">
        <f t="shared" si="146"/>
        <v>332.61387922152159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0.13906978209284612</v>
      </c>
      <c r="BQ177" s="21">
        <f>EXP(-LN(2)/25)*BQ176+(1-EXP(-LN(2)/25))/(LN(2)/25)*Calculateur!BL177*Calculateur!BN177*VLOOKUP('Données projet'!$B$11,Paramètres!$A$1:$I$89,3,0)*0.475*44/12</f>
        <v>0.20820196455068909</v>
      </c>
      <c r="BR177" s="21">
        <f>EXP(-LN(2)/2)*BR176+(1-EXP(-LN(2)/2))/(LN(2)/2)*BL177*BO177*VLOOKUP('Données projet'!$B$11,Paramètres!$A$1:$I$89,3,0)*0.475*44/12</f>
        <v>4.5640965927340194E-21</v>
      </c>
      <c r="BS177" s="22">
        <f t="shared" si="169"/>
        <v>0.34727174664353522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1.1368683772161603E-13</v>
      </c>
      <c r="BZ177" s="13">
        <f>BY177*VLOOKUP('Données projet'!$B$12,Paramètres!$A$1:$I$89,3,0)*VLOOKUP('Données projet'!$B$12,Paramètres!$A$1:$I$89,5,0)</f>
        <v>1.0818439477588981E-13</v>
      </c>
      <c r="CA177" s="13">
        <f t="shared" si="170"/>
        <v>1.6104228458716316E-12</v>
      </c>
      <c r="CB177" s="20">
        <f t="shared" si="171"/>
        <v>2.9932409441277661E-12</v>
      </c>
      <c r="CC177" s="59">
        <f t="shared" si="119"/>
        <v>293.33333333333633</v>
      </c>
      <c r="CD177" s="59">
        <f ca="1">AVERAGE(OFFSET($CC$3,0,0,'Données projet'!$E$12+1,1))-AVERAGE(OFFSET($H$3,0,0,'Données projet'!$E$12+1,1))</f>
        <v>609.40025883662452</v>
      </c>
      <c r="CE177" s="59">
        <f t="shared" si="148"/>
        <v>294.48909834404577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7.2749819342533717E-2</v>
      </c>
      <c r="CM177" s="21">
        <f>EXP(-LN(2)/2)*CM176+(1-EXP(-LN(2)/2))/(LN(2)/2)*CG177*CJ177*VLOOKUP('Données projet'!$B$12,Paramètres!$A$1:$I$89,3,0)*0.475*44/12</f>
        <v>1.6636313346201423E-21</v>
      </c>
      <c r="CN177" s="22">
        <f t="shared" si="172"/>
        <v>7.2749819342533717E-2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-1.1368683772161603E-13</v>
      </c>
      <c r="CU177" s="17">
        <f>CT177*VLOOKUP('Données projet'!$B$13,Paramètres!$A$1:$I$89,3,0)*VLOOKUP('Données projet'!$B$13,Paramètres!$A$1:$I$89,5,0)</f>
        <v>-5.3205440053716299E-14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346.16623654404509</v>
      </c>
      <c r="CZ177" s="59">
        <f t="shared" si="150"/>
        <v>281.80933156559087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0.18099066239205605</v>
      </c>
      <c r="DG177" s="21">
        <f>EXP(-LN(2)/25)*DG176+(1-EXP(-LN(2)/25))/(LN(2)/25)*Calculateur!DB177*Calculateur!DD177*VLOOKUP('Données projet'!$B$13,Paramètres!$A$1:$I$89,3,0)*0.475*44/12</f>
        <v>0.14495696490917606</v>
      </c>
      <c r="DH177" s="21">
        <f>EXP(-LN(2)/2)*DH176+(1-EXP(-LN(2)/2))/(LN(2)/2)*DB177*DE177*VLOOKUP('Données projet'!$B$13,Paramètres!$A$1:$I$89,3,0)*0.475*44/12</f>
        <v>2.0820443555073818E-21</v>
      </c>
      <c r="DI177" s="22">
        <f t="shared" si="175"/>
        <v>0.32594762730123211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6.2527760746888816E-13</v>
      </c>
      <c r="DP177" s="17">
        <f>DO177*VLOOKUP('Données projet'!$B$14,Paramètres!$A$1:$I$89,3,0)*VLOOKUP('Données projet'!$B$14,Paramètres!$A$1:$I$89,5,0)</f>
        <v>3.9017322706058616E-13</v>
      </c>
      <c r="DQ177" s="13">
        <f t="shared" si="176"/>
        <v>5.0025007393608908E-12</v>
      </c>
      <c r="DR177" s="20">
        <f t="shared" si="177"/>
        <v>9.3922404915174053E-12</v>
      </c>
      <c r="DS177" s="59">
        <f t="shared" si="125"/>
        <v>293.33333333334269</v>
      </c>
      <c r="DT177" s="59">
        <f ca="1">AVERAGE(OFFSET($DS$3,0,0,'Données projet'!$E$14+1,1))-AVERAGE(OFFSET($H$3,0,0,'Données projet'!$E$14+1,1))</f>
        <v>319.97171762304686</v>
      </c>
      <c r="DU177" s="59">
        <f t="shared" si="152"/>
        <v>337.89345858359621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0.4014845353121464</v>
      </c>
      <c r="EB177" s="21">
        <f>EXP(-LN(2)/25)*EB176+(1-EXP(-LN(2)/25))/(LN(2)/25)*Calculateur!DW177*Calculateur!DY177*VLOOKUP('Données projet'!$B$14,Paramètres!$A$1:$I$89,3,0)*0.475*44/12</f>
        <v>0.38359948961217161</v>
      </c>
      <c r="EC177" s="21">
        <f>EXP(-LN(2)/2)*EC176+(1-EXP(-LN(2)/2))/(LN(2)/2)*DW177*DZ177*VLOOKUP('Données projet'!$B$14,Paramètres!$A$1:$I$89,3,0)*0.475*44/12</f>
        <v>4.2755714908949063E-21</v>
      </c>
      <c r="ED177" s="22">
        <f t="shared" si="178"/>
        <v>0.78508402492431806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>
        <f>EJ177*VLOOKUP('Données projet'!$B$15,Paramètres!$A$1:$I$89,3,0)*VLOOKUP('Données projet'!$B$15,Paramètres!$A$1:$I$89,5,0)</f>
        <v>0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258.46015871559956</v>
      </c>
      <c r="EP177" s="59">
        <f t="shared" si="154"/>
        <v>280.26155987300996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0.35869597817315746</v>
      </c>
      <c r="EW177" s="21">
        <f>EXP(-LN(2)/25)*EW176+(1-EXP(-LN(2)/25))/(LN(2)/25)*Calculateur!ER177*Calculateur!ET177*VLOOKUP('Données projet'!$B$15,Paramètres!$A$1:$I$89,3,0)*0.475*44/12</f>
        <v>0.22754189763299165</v>
      </c>
      <c r="EX177" s="21">
        <f>EXP(-LN(2)/2)*EX176+(1-EXP(-LN(2)/2))/(LN(2)/2)*ER177*EU177*VLOOKUP('Données projet'!$B$15,Paramètres!$A$1:$I$89,3,0)*0.475*44/12</f>
        <v>1.1531702153630782E-21</v>
      </c>
      <c r="EY177" s="22">
        <f t="shared" si="181"/>
        <v>0.58623787580614906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243.00000000000017</v>
      </c>
      <c r="O178" s="13">
        <f>N178*VLOOKUP('Données projet'!$B$9,Paramètres!$A$1:$I$89,3,0)*VLOOKUP('Données projet'!$B$9,Paramètres!$A$1:$I$89,5,0)</f>
        <v>212.28480000000016</v>
      </c>
      <c r="P178" s="13">
        <f t="shared" si="141"/>
        <v>52.434557099704236</v>
      </c>
      <c r="Q178" s="20">
        <f t="shared" si="162"/>
        <v>461.0528802819851</v>
      </c>
      <c r="R178" s="59">
        <f t="shared" si="109"/>
        <v>754.38621361531841</v>
      </c>
      <c r="S178" s="59">
        <f ca="1">AVERAGE(OFFSET($R$3,0,0,'Données projet'!$E$9+1,1))-AVERAGE(OFFSET($H$3,0,0,'Données projet'!$E$9+1,1))</f>
        <v>368.41876532159154</v>
      </c>
      <c r="T178" s="59">
        <f t="shared" si="142"/>
        <v>369.39570124551125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0.34860975647640413</v>
      </c>
      <c r="AA178" s="21">
        <f>EXP(-LN(2)/25)*AA177+(1-EXP(-LN(2)/25))/(LN(2)/25)*Calculateur!V178*Calculateur!X178*VLOOKUP('Données projet'!$B$9,Paramètres!$A$1:$I$89,3,0)*0.475*44/12</f>
        <v>0.29114120026523932</v>
      </c>
      <c r="AB178" s="21">
        <f>EXP(-LN(2)/2)*AB177+(1-EXP(-LN(2)/2))/(LN(2)/2)*V178*Y178*VLOOKUP('Données projet'!$B$9,Paramètres!$A$1:$I$89,3,0)*0.475*44/12</f>
        <v>2.660899056367763E-21</v>
      </c>
      <c r="AC178" s="22">
        <f t="shared" si="163"/>
        <v>0.63975095674164351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-5.1159076974727213E-13</v>
      </c>
      <c r="AJ178" s="13">
        <f>AI178*VLOOKUP('Données projet'!$B$10,Paramètres!$A$1:$I$89,3,0)*VLOOKUP('Données projet'!$B$10,Paramètres!$A$1:$I$89,5,0)</f>
        <v>-4.4692569645121704E-13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402.82278346470082</v>
      </c>
      <c r="AO178" s="59">
        <f t="shared" si="144"/>
        <v>440.17787299198977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0.20281934582944297</v>
      </c>
      <c r="AV178" s="21">
        <f>EXP(-LN(2)/25)*AV177+(1-EXP(-LN(2)/25))/(LN(2)/25)*Calculateur!AQ178*Calculateur!AS178*VLOOKUP('Données projet'!$B$10,Paramètres!$A$1:$I$89,3,0)*0.475*44/12</f>
        <v>0.40440156192688514</v>
      </c>
      <c r="AW178" s="21">
        <f>EXP(-LN(2)/2)*AW177+(1-EXP(-LN(2)/2))/(LN(2)/2)*AQ178*AT178*VLOOKUP('Données projet'!$B$10,Paramètres!$A$1:$I$89,3,0)*0.475*44/12</f>
        <v>3.9523935469095041E-21</v>
      </c>
      <c r="AX178" s="21">
        <f t="shared" si="166"/>
        <v>0.60722090775632809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-3.4106051316484809E-13</v>
      </c>
      <c r="BE178" s="13">
        <f>BD178*VLOOKUP('Données projet'!$B$11,Paramètres!$A$1:$I$89,3,0)*VLOOKUP('Données projet'!$B$11,Paramètres!$A$1:$I$89,5,0)</f>
        <v>-3.0859155231155454E-13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469.68830256438338</v>
      </c>
      <c r="BJ178" s="59">
        <f t="shared" si="146"/>
        <v>332.61387922152159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0.13634270849019681</v>
      </c>
      <c r="BQ178" s="21">
        <f>EXP(-LN(2)/25)*BQ177+(1-EXP(-LN(2)/25))/(LN(2)/25)*Calculateur!BL178*Calculateur!BN178*VLOOKUP('Données projet'!$B$11,Paramètres!$A$1:$I$89,3,0)*0.475*44/12</f>
        <v>0.20250867088118504</v>
      </c>
      <c r="BR178" s="21">
        <f>EXP(-LN(2)/2)*BR177+(1-EXP(-LN(2)/2))/(LN(2)/2)*BL178*BO178*VLOOKUP('Données projet'!$B$11,Paramètres!$A$1:$I$89,3,0)*0.475*44/12</f>
        <v>3.2273036507126414E-21</v>
      </c>
      <c r="BS178" s="22">
        <f t="shared" si="169"/>
        <v>0.33885137937138188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1.1368683772161603E-13</v>
      </c>
      <c r="BZ178" s="13">
        <f>BY178*VLOOKUP('Données projet'!$B$12,Paramètres!$A$1:$I$89,3,0)*VLOOKUP('Données projet'!$B$12,Paramètres!$A$1:$I$89,5,0)</f>
        <v>1.0818439477588981E-13</v>
      </c>
      <c r="CA178" s="13">
        <f t="shared" si="170"/>
        <v>1.6104228458716316E-12</v>
      </c>
      <c r="CB178" s="20">
        <f t="shared" si="171"/>
        <v>2.9932409441277661E-12</v>
      </c>
      <c r="CC178" s="59">
        <f t="shared" si="119"/>
        <v>293.33333333333633</v>
      </c>
      <c r="CD178" s="59">
        <f ca="1">AVERAGE(OFFSET($CC$3,0,0,'Données projet'!$E$12+1,1))-AVERAGE(OFFSET($H$3,0,0,'Données projet'!$E$12+1,1))</f>
        <v>609.40025883662452</v>
      </c>
      <c r="CE178" s="59">
        <f t="shared" si="148"/>
        <v>294.48909834404577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7.0760471706865405E-2</v>
      </c>
      <c r="CM178" s="21">
        <f>EXP(-LN(2)/2)*CM177+(1-EXP(-LN(2)/2))/(LN(2)/2)*CG178*CJ178*VLOOKUP('Données projet'!$B$12,Paramètres!$A$1:$I$89,3,0)*0.475*44/12</f>
        <v>1.1763649981043291E-21</v>
      </c>
      <c r="CN178" s="22">
        <f t="shared" si="172"/>
        <v>7.0760471706865405E-2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-1.1368683772161603E-13</v>
      </c>
      <c r="CU178" s="17">
        <f>CT178*VLOOKUP('Données projet'!$B$13,Paramètres!$A$1:$I$89,3,0)*VLOOKUP('Données projet'!$B$13,Paramètres!$A$1:$I$89,5,0)</f>
        <v>-5.3205440053716299E-14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346.16623654404509</v>
      </c>
      <c r="CZ178" s="59">
        <f t="shared" si="150"/>
        <v>281.80933156559087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0.17744154589595146</v>
      </c>
      <c r="DG178" s="21">
        <f>EXP(-LN(2)/25)*DG177+(1-EXP(-LN(2)/25))/(LN(2)/25)*Calculateur!DB178*Calculateur!DD178*VLOOKUP('Données projet'!$B$13,Paramètres!$A$1:$I$89,3,0)*0.475*44/12</f>
        <v>0.14099310908077917</v>
      </c>
      <c r="DH178" s="21">
        <f>EXP(-LN(2)/2)*DH177+(1-EXP(-LN(2)/2))/(LN(2)/2)*DB178*DE178*VLOOKUP('Données projet'!$B$13,Paramètres!$A$1:$I$89,3,0)*0.475*44/12</f>
        <v>1.4722276825104446E-21</v>
      </c>
      <c r="DI178" s="22">
        <f t="shared" si="175"/>
        <v>0.31843465497673062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6.2527760746888816E-13</v>
      </c>
      <c r="DP178" s="17">
        <f>DO178*VLOOKUP('Données projet'!$B$14,Paramètres!$A$1:$I$89,3,0)*VLOOKUP('Données projet'!$B$14,Paramètres!$A$1:$I$89,5,0)</f>
        <v>3.9017322706058616E-13</v>
      </c>
      <c r="DQ178" s="13">
        <f t="shared" si="176"/>
        <v>5.0025007393608908E-12</v>
      </c>
      <c r="DR178" s="20">
        <f t="shared" si="177"/>
        <v>9.3922404915174053E-12</v>
      </c>
      <c r="DS178" s="59">
        <f t="shared" si="125"/>
        <v>293.33333333334269</v>
      </c>
      <c r="DT178" s="59">
        <f ca="1">AVERAGE(OFFSET($DS$3,0,0,'Données projet'!$E$14+1,1))-AVERAGE(OFFSET($H$3,0,0,'Données projet'!$E$14+1,1))</f>
        <v>319.97171762304686</v>
      </c>
      <c r="DU178" s="59">
        <f t="shared" si="152"/>
        <v>337.89345858359621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0.39361166845606171</v>
      </c>
      <c r="EB178" s="21">
        <f>EXP(-LN(2)/25)*EB177+(1-EXP(-LN(2)/25))/(LN(2)/25)*Calculateur!DW178*Calculateur!DY178*VLOOKUP('Données projet'!$B$14,Paramètres!$A$1:$I$89,3,0)*0.475*44/12</f>
        <v>0.37310994139610637</v>
      </c>
      <c r="EC178" s="21">
        <f>EXP(-LN(2)/2)*EC177+(1-EXP(-LN(2)/2))/(LN(2)/2)*DW178*DZ178*VLOOKUP('Données projet'!$B$14,Paramètres!$A$1:$I$89,3,0)*0.475*44/12</f>
        <v>3.0232855946596653E-21</v>
      </c>
      <c r="ED178" s="22">
        <f t="shared" si="178"/>
        <v>0.76672160985216808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>
        <f>EJ178*VLOOKUP('Données projet'!$B$15,Paramètres!$A$1:$I$89,3,0)*VLOOKUP('Données projet'!$B$15,Paramètres!$A$1:$I$89,5,0)</f>
        <v>0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258.46015871559956</v>
      </c>
      <c r="EP178" s="59">
        <f t="shared" si="154"/>
        <v>280.26155987300996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0.35166216882412549</v>
      </c>
      <c r="EW178" s="21">
        <f>EXP(-LN(2)/25)*EW177+(1-EXP(-LN(2)/25))/(LN(2)/25)*Calculateur!ER178*Calculateur!ET178*VLOOKUP('Données projet'!$B$15,Paramètres!$A$1:$I$89,3,0)*0.475*44/12</f>
        <v>0.22131975247630914</v>
      </c>
      <c r="EX178" s="21">
        <f>EXP(-LN(2)/2)*EX177+(1-EXP(-LN(2)/2))/(LN(2)/2)*ER178*EU178*VLOOKUP('Données projet'!$B$15,Paramètres!$A$1:$I$89,3,0)*0.475*44/12</f>
        <v>8.1541447914558404E-22</v>
      </c>
      <c r="EY178" s="22">
        <f t="shared" si="181"/>
        <v>0.57298192130043457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243.00000000000017</v>
      </c>
      <c r="O179" s="13">
        <f>N179*VLOOKUP('Données projet'!$B$9,Paramètres!$A$1:$I$89,3,0)*VLOOKUP('Données projet'!$B$9,Paramètres!$A$1:$I$89,5,0)</f>
        <v>212.28480000000016</v>
      </c>
      <c r="P179" s="13">
        <f t="shared" si="141"/>
        <v>52.434557099704236</v>
      </c>
      <c r="Q179" s="20">
        <f t="shared" si="162"/>
        <v>461.0528802819851</v>
      </c>
      <c r="R179" s="59">
        <f t="shared" si="109"/>
        <v>754.38621361531841</v>
      </c>
      <c r="S179" s="59">
        <f ca="1">AVERAGE(OFFSET($R$3,0,0,'Données projet'!$E$9+1,1))-AVERAGE(OFFSET($H$3,0,0,'Données projet'!$E$9+1,1))</f>
        <v>368.41876532159154</v>
      </c>
      <c r="T179" s="59">
        <f t="shared" si="142"/>
        <v>369.39570124551125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0.34177373178285775</v>
      </c>
      <c r="AA179" s="21">
        <f>EXP(-LN(2)/25)*AA178+(1-EXP(-LN(2)/25))/(LN(2)/25)*Calculateur!V179*Calculateur!X179*VLOOKUP('Données projet'!$B$9,Paramètres!$A$1:$I$89,3,0)*0.475*44/12</f>
        <v>0.28317992883353604</v>
      </c>
      <c r="AB179" s="21">
        <f>EXP(-LN(2)/2)*AB178+(1-EXP(-LN(2)/2))/(LN(2)/2)*V179*Y179*VLOOKUP('Données projet'!$B$9,Paramètres!$A$1:$I$89,3,0)*0.475*44/12</f>
        <v>1.8815397668105306E-21</v>
      </c>
      <c r="AC179" s="22">
        <f t="shared" si="163"/>
        <v>0.62495366061639379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-5.1159076974727213E-13</v>
      </c>
      <c r="AJ179" s="13">
        <f>AI179*VLOOKUP('Données projet'!$B$10,Paramètres!$A$1:$I$89,3,0)*VLOOKUP('Données projet'!$B$10,Paramètres!$A$1:$I$89,5,0)</f>
        <v>-4.4692569645121704E-13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402.82278346470082</v>
      </c>
      <c r="AO179" s="59">
        <f t="shared" si="144"/>
        <v>440.17787299198977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0.19884218216531344</v>
      </c>
      <c r="AV179" s="21">
        <f>EXP(-LN(2)/25)*AV178+(1-EXP(-LN(2)/25))/(LN(2)/25)*Calculateur!AQ179*Calculateur!AS179*VLOOKUP('Données projet'!$B$10,Paramètres!$A$1:$I$89,3,0)*0.475*44/12</f>
        <v>0.39334317994944062</v>
      </c>
      <c r="AW179" s="21">
        <f>EXP(-LN(2)/2)*AW178+(1-EXP(-LN(2)/2))/(LN(2)/2)*AQ179*AT179*VLOOKUP('Données projet'!$B$10,Paramètres!$A$1:$I$89,3,0)*0.475*44/12</f>
        <v>2.7947642789376612E-21</v>
      </c>
      <c r="AX179" s="21">
        <f t="shared" si="166"/>
        <v>0.59218536211475403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-3.4106051316484809E-13</v>
      </c>
      <c r="BE179" s="13">
        <f>BD179*VLOOKUP('Données projet'!$B$11,Paramètres!$A$1:$I$89,3,0)*VLOOKUP('Données projet'!$B$11,Paramètres!$A$1:$I$89,5,0)</f>
        <v>-3.0859155231155454E-13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469.68830256438338</v>
      </c>
      <c r="BJ179" s="59">
        <f t="shared" si="146"/>
        <v>332.61387922152159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0.13366911113754479</v>
      </c>
      <c r="BQ179" s="21">
        <f>EXP(-LN(2)/25)*BQ178+(1-EXP(-LN(2)/25))/(LN(2)/25)*Calculateur!BL179*Calculateur!BN179*VLOOKUP('Données projet'!$B$11,Paramètres!$A$1:$I$89,3,0)*0.475*44/12</f>
        <v>0.19697106062647088</v>
      </c>
      <c r="BR179" s="21">
        <f>EXP(-LN(2)/2)*BR178+(1-EXP(-LN(2)/2))/(LN(2)/2)*BL179*BO179*VLOOKUP('Données projet'!$B$11,Paramètres!$A$1:$I$89,3,0)*0.475*44/12</f>
        <v>2.2820482963670097E-21</v>
      </c>
      <c r="BS179" s="22">
        <f t="shared" si="169"/>
        <v>0.33064017176401567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1.1368683772161603E-13</v>
      </c>
      <c r="BZ179" s="13">
        <f>BY179*VLOOKUP('Données projet'!$B$12,Paramètres!$A$1:$I$89,3,0)*VLOOKUP('Données projet'!$B$12,Paramètres!$A$1:$I$89,5,0)</f>
        <v>1.0818439477588981E-13</v>
      </c>
      <c r="CA179" s="13">
        <f t="shared" si="170"/>
        <v>1.6104228458716316E-12</v>
      </c>
      <c r="CB179" s="20">
        <f t="shared" si="171"/>
        <v>2.9932409441277661E-12</v>
      </c>
      <c r="CC179" s="59">
        <f t="shared" si="119"/>
        <v>293.33333333333633</v>
      </c>
      <c r="CD179" s="59">
        <f ca="1">AVERAGE(OFFSET($CC$3,0,0,'Données projet'!$E$12+1,1))-AVERAGE(OFFSET($H$3,0,0,'Données projet'!$E$12+1,1))</f>
        <v>609.40025883662452</v>
      </c>
      <c r="CE179" s="59">
        <f t="shared" si="148"/>
        <v>294.48909834404577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6.8825522886909685E-2</v>
      </c>
      <c r="CM179" s="21">
        <f>EXP(-LN(2)/2)*CM178+(1-EXP(-LN(2)/2))/(LN(2)/2)*CG179*CJ179*VLOOKUP('Données projet'!$B$12,Paramètres!$A$1:$I$89,3,0)*0.475*44/12</f>
        <v>8.3181566731007125E-22</v>
      </c>
      <c r="CN179" s="22">
        <f t="shared" si="172"/>
        <v>6.8825522886909685E-2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-1.1368683772161603E-13</v>
      </c>
      <c r="CU179" s="17">
        <f>CT179*VLOOKUP('Données projet'!$B$13,Paramètres!$A$1:$I$89,3,0)*VLOOKUP('Données projet'!$B$13,Paramètres!$A$1:$I$89,5,0)</f>
        <v>-5.3205440053716299E-14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346.16623654404509</v>
      </c>
      <c r="CZ179" s="59">
        <f t="shared" si="150"/>
        <v>281.80933156559087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0.17396202540958816</v>
      </c>
      <c r="DG179" s="21">
        <f>EXP(-LN(2)/25)*DG178+(1-EXP(-LN(2)/25))/(LN(2)/25)*Calculateur!DB179*Calculateur!DD179*VLOOKUP('Données projet'!$B$13,Paramètres!$A$1:$I$89,3,0)*0.475*44/12</f>
        <v>0.13713764509845991</v>
      </c>
      <c r="DH179" s="21">
        <f>EXP(-LN(2)/2)*DH178+(1-EXP(-LN(2)/2))/(LN(2)/2)*DB179*DE179*VLOOKUP('Données projet'!$B$13,Paramètres!$A$1:$I$89,3,0)*0.475*44/12</f>
        <v>1.0410221777536909E-21</v>
      </c>
      <c r="DI179" s="22">
        <f t="shared" si="175"/>
        <v>0.3110996705080481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6.2527760746888816E-13</v>
      </c>
      <c r="DP179" s="17">
        <f>DO179*VLOOKUP('Données projet'!$B$14,Paramètres!$A$1:$I$89,3,0)*VLOOKUP('Données projet'!$B$14,Paramètres!$A$1:$I$89,5,0)</f>
        <v>3.9017322706058616E-13</v>
      </c>
      <c r="DQ179" s="13">
        <f t="shared" si="176"/>
        <v>5.0025007393608908E-12</v>
      </c>
      <c r="DR179" s="20">
        <f t="shared" si="177"/>
        <v>9.3922404915174053E-12</v>
      </c>
      <c r="DS179" s="59">
        <f t="shared" si="125"/>
        <v>293.33333333334269</v>
      </c>
      <c r="DT179" s="59">
        <f ca="1">AVERAGE(OFFSET($DS$3,0,0,'Données projet'!$E$14+1,1))-AVERAGE(OFFSET($H$3,0,0,'Données projet'!$E$14+1,1))</f>
        <v>319.97171762304686</v>
      </c>
      <c r="DU179" s="59">
        <f t="shared" si="152"/>
        <v>337.89345858359621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0.38589318371705023</v>
      </c>
      <c r="EB179" s="21">
        <f>EXP(-LN(2)/25)*EB178+(1-EXP(-LN(2)/25))/(LN(2)/25)*Calculateur!DW179*Calculateur!DY179*VLOOKUP('Données projet'!$B$14,Paramètres!$A$1:$I$89,3,0)*0.475*44/12</f>
        <v>0.36290723042763079</v>
      </c>
      <c r="EC179" s="21">
        <f>EXP(-LN(2)/2)*EC178+(1-EXP(-LN(2)/2))/(LN(2)/2)*DW179*DZ179*VLOOKUP('Données projet'!$B$14,Paramètres!$A$1:$I$89,3,0)*0.475*44/12</f>
        <v>2.1377857454474532E-21</v>
      </c>
      <c r="ED179" s="22">
        <f t="shared" si="178"/>
        <v>0.74880041414468101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>
        <f>EJ179*VLOOKUP('Données projet'!$B$15,Paramètres!$A$1:$I$89,3,0)*VLOOKUP('Données projet'!$B$15,Paramètres!$A$1:$I$89,5,0)</f>
        <v>0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258.46015871559956</v>
      </c>
      <c r="EP179" s="59">
        <f t="shared" si="154"/>
        <v>280.26155987300996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0.34476628818622795</v>
      </c>
      <c r="EW179" s="21">
        <f>EXP(-LN(2)/25)*EW178+(1-EXP(-LN(2)/25))/(LN(2)/25)*Calculateur!ER179*Calculateur!ET179*VLOOKUP('Données projet'!$B$15,Paramètres!$A$1:$I$89,3,0)*0.475*44/12</f>
        <v>0.21526775220614452</v>
      </c>
      <c r="EX179" s="21">
        <f>EXP(-LN(2)/2)*EX178+(1-EXP(-LN(2)/2))/(LN(2)/2)*ER179*EU179*VLOOKUP('Données projet'!$B$15,Paramètres!$A$1:$I$89,3,0)*0.475*44/12</f>
        <v>5.765851076815391E-22</v>
      </c>
      <c r="EY179" s="22">
        <f t="shared" si="181"/>
        <v>0.56003404039237248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243.00000000000017</v>
      </c>
      <c r="O180" s="13">
        <f>N180*VLOOKUP('Données projet'!$B$9,Paramètres!$A$1:$I$89,3,0)*VLOOKUP('Données projet'!$B$9,Paramètres!$A$1:$I$89,5,0)</f>
        <v>212.28480000000016</v>
      </c>
      <c r="P180" s="13">
        <f t="shared" si="141"/>
        <v>52.434557099704236</v>
      </c>
      <c r="Q180" s="20">
        <f t="shared" si="162"/>
        <v>461.0528802819851</v>
      </c>
      <c r="R180" s="59">
        <f t="shared" si="109"/>
        <v>754.38621361531841</v>
      </c>
      <c r="S180" s="59">
        <f ca="1">AVERAGE(OFFSET($R$3,0,0,'Données projet'!$E$9+1,1))-AVERAGE(OFFSET($H$3,0,0,'Données projet'!$E$9+1,1))</f>
        <v>368.41876532159154</v>
      </c>
      <c r="T180" s="59">
        <f t="shared" si="142"/>
        <v>369.39570124551125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0.33507175736398842</v>
      </c>
      <c r="AA180" s="21">
        <f>EXP(-LN(2)/25)*AA179+(1-EXP(-LN(2)/25))/(LN(2)/25)*Calculateur!V180*Calculateur!X180*VLOOKUP('Données projet'!$B$9,Paramètres!$A$1:$I$89,3,0)*0.475*44/12</f>
        <v>0.27543635878779776</v>
      </c>
      <c r="AB180" s="21">
        <f>EXP(-LN(2)/2)*AB179+(1-EXP(-LN(2)/2))/(LN(2)/2)*V180*Y180*VLOOKUP('Données projet'!$B$9,Paramètres!$A$1:$I$89,3,0)*0.475*44/12</f>
        <v>1.3304495281838815E-21</v>
      </c>
      <c r="AC180" s="22">
        <f t="shared" si="163"/>
        <v>0.61050811615178624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-5.1159076974727213E-13</v>
      </c>
      <c r="AJ180" s="13">
        <f>AI180*VLOOKUP('Données projet'!$B$10,Paramètres!$A$1:$I$89,3,0)*VLOOKUP('Données projet'!$B$10,Paramètres!$A$1:$I$89,5,0)</f>
        <v>-4.4692569645121704E-13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402.82278346470082</v>
      </c>
      <c r="AO180" s="59">
        <f t="shared" si="144"/>
        <v>440.17787299198977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0.19494300825480718</v>
      </c>
      <c r="AV180" s="21">
        <f>EXP(-LN(2)/25)*AV179+(1-EXP(-LN(2)/25))/(LN(2)/25)*Calculateur!AQ180*Calculateur!AS180*VLOOKUP('Données projet'!$B$10,Paramètres!$A$1:$I$89,3,0)*0.475*44/12</f>
        <v>0.38258719000870434</v>
      </c>
      <c r="AW180" s="21">
        <f>EXP(-LN(2)/2)*AW179+(1-EXP(-LN(2)/2))/(LN(2)/2)*AQ180*AT180*VLOOKUP('Données projet'!$B$10,Paramètres!$A$1:$I$89,3,0)*0.475*44/12</f>
        <v>1.976196773454752E-21</v>
      </c>
      <c r="AX180" s="21">
        <f t="shared" si="166"/>
        <v>0.57753019826351149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-3.4106051316484809E-13</v>
      </c>
      <c r="BE180" s="13">
        <f>BD180*VLOOKUP('Données projet'!$B$11,Paramètres!$A$1:$I$89,3,0)*VLOOKUP('Données projet'!$B$11,Paramètres!$A$1:$I$89,5,0)</f>
        <v>-3.0859155231155454E-13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469.68830256438338</v>
      </c>
      <c r="BJ180" s="59">
        <f t="shared" si="146"/>
        <v>332.61387922152159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0.13104794139824491</v>
      </c>
      <c r="BQ180" s="21">
        <f>EXP(-LN(2)/25)*BQ179+(1-EXP(-LN(2)/25))/(LN(2)/25)*Calculateur!BL180*Calculateur!BN180*VLOOKUP('Données projet'!$B$11,Paramètres!$A$1:$I$89,3,0)*0.475*44/12</f>
        <v>0.19158487661538215</v>
      </c>
      <c r="BR180" s="21">
        <f>EXP(-LN(2)/2)*BR179+(1-EXP(-LN(2)/2))/(LN(2)/2)*BL180*BO180*VLOOKUP('Données projet'!$B$11,Paramètres!$A$1:$I$89,3,0)*0.475*44/12</f>
        <v>1.6136518253563207E-21</v>
      </c>
      <c r="BS180" s="22">
        <f t="shared" si="169"/>
        <v>0.32263281801362709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1.1368683772161603E-13</v>
      </c>
      <c r="BZ180" s="13">
        <f>BY180*VLOOKUP('Données projet'!$B$12,Paramètres!$A$1:$I$89,3,0)*VLOOKUP('Données projet'!$B$12,Paramètres!$A$1:$I$89,5,0)</f>
        <v>1.0818439477588981E-13</v>
      </c>
      <c r="CA180" s="13">
        <f t="shared" si="170"/>
        <v>1.6104228458716316E-12</v>
      </c>
      <c r="CB180" s="20">
        <f t="shared" si="171"/>
        <v>2.9932409441277661E-12</v>
      </c>
      <c r="CC180" s="59">
        <f t="shared" si="119"/>
        <v>293.33333333333633</v>
      </c>
      <c r="CD180" s="59">
        <f ca="1">AVERAGE(OFFSET($CC$3,0,0,'Données projet'!$E$12+1,1))-AVERAGE(OFFSET($H$3,0,0,'Données projet'!$E$12+1,1))</f>
        <v>609.40025883662452</v>
      </c>
      <c r="CE180" s="59">
        <f t="shared" si="148"/>
        <v>294.48909834404577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6.6943485344190187E-2</v>
      </c>
      <c r="CM180" s="21">
        <f>EXP(-LN(2)/2)*CM179+(1-EXP(-LN(2)/2))/(LN(2)/2)*CG180*CJ180*VLOOKUP('Données projet'!$B$12,Paramètres!$A$1:$I$89,3,0)*0.475*44/12</f>
        <v>5.8818249905216465E-22</v>
      </c>
      <c r="CN180" s="22">
        <f t="shared" si="172"/>
        <v>6.6943485344190187E-2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-1.1368683772161603E-13</v>
      </c>
      <c r="CU180" s="17">
        <f>CT180*VLOOKUP('Données projet'!$B$13,Paramètres!$A$1:$I$89,3,0)*VLOOKUP('Données projet'!$B$13,Paramètres!$A$1:$I$89,5,0)</f>
        <v>-5.3205440053716299E-14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346.16623654404509</v>
      </c>
      <c r="CZ180" s="59">
        <f t="shared" si="150"/>
        <v>281.80933156559087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0.1705507361976645</v>
      </c>
      <c r="DG180" s="21">
        <f>EXP(-LN(2)/25)*DG179+(1-EXP(-LN(2)/25))/(LN(2)/25)*Calculateur!DB180*Calculateur!DD180*VLOOKUP('Données projet'!$B$13,Paramètres!$A$1:$I$89,3,0)*0.475*44/12</f>
        <v>0.13338760898148719</v>
      </c>
      <c r="DH180" s="21">
        <f>EXP(-LN(2)/2)*DH179+(1-EXP(-LN(2)/2))/(LN(2)/2)*DB180*DE180*VLOOKUP('Données projet'!$B$13,Paramètres!$A$1:$I$89,3,0)*0.475*44/12</f>
        <v>7.3611384125522231E-22</v>
      </c>
      <c r="DI180" s="22">
        <f t="shared" si="175"/>
        <v>0.30393834517915169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6.2527760746888816E-13</v>
      </c>
      <c r="DP180" s="17">
        <f>DO180*VLOOKUP('Données projet'!$B$14,Paramètres!$A$1:$I$89,3,0)*VLOOKUP('Données projet'!$B$14,Paramètres!$A$1:$I$89,5,0)</f>
        <v>3.9017322706058616E-13</v>
      </c>
      <c r="DQ180" s="13">
        <f t="shared" si="176"/>
        <v>5.0025007393608908E-12</v>
      </c>
      <c r="DR180" s="20">
        <f t="shared" si="177"/>
        <v>9.3922404915174053E-12</v>
      </c>
      <c r="DS180" s="59">
        <f t="shared" si="125"/>
        <v>293.33333333334269</v>
      </c>
      <c r="DT180" s="59">
        <f ca="1">AVERAGE(OFFSET($DS$3,0,0,'Données projet'!$E$14+1,1))-AVERAGE(OFFSET($H$3,0,0,'Données projet'!$E$14+1,1))</f>
        <v>319.97171762304686</v>
      </c>
      <c r="DU180" s="59">
        <f t="shared" si="152"/>
        <v>337.89345858359621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0.3783260537559599</v>
      </c>
      <c r="EB180" s="21">
        <f>EXP(-LN(2)/25)*EB179+(1-EXP(-LN(2)/25))/(LN(2)/25)*Calculateur!DW180*Calculateur!DY180*VLOOKUP('Données projet'!$B$14,Paramètres!$A$1:$I$89,3,0)*0.475*44/12</f>
        <v>0.35298351312712539</v>
      </c>
      <c r="EC180" s="21">
        <f>EXP(-LN(2)/2)*EC179+(1-EXP(-LN(2)/2))/(LN(2)/2)*DW180*DZ180*VLOOKUP('Données projet'!$B$14,Paramètres!$A$1:$I$89,3,0)*0.475*44/12</f>
        <v>1.5116427973298327E-21</v>
      </c>
      <c r="ED180" s="22">
        <f t="shared" si="178"/>
        <v>0.73130956688308535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>
        <f>EJ180*VLOOKUP('Données projet'!$B$15,Paramètres!$A$1:$I$89,3,0)*VLOOKUP('Données projet'!$B$15,Paramètres!$A$1:$I$89,5,0)</f>
        <v>0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258.46015871559956</v>
      </c>
      <c r="EP180" s="59">
        <f t="shared" si="154"/>
        <v>280.26155987300996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0.33800563156156771</v>
      </c>
      <c r="EW180" s="21">
        <f>EXP(-LN(2)/25)*EW179+(1-EXP(-LN(2)/25))/(LN(2)/25)*Calculateur!ER180*Calculateur!ET180*VLOOKUP('Données projet'!$B$15,Paramètres!$A$1:$I$89,3,0)*0.475*44/12</f>
        <v>0.2093812442016284</v>
      </c>
      <c r="EX180" s="21">
        <f>EXP(-LN(2)/2)*EX179+(1-EXP(-LN(2)/2))/(LN(2)/2)*ER180*EU180*VLOOKUP('Données projet'!$B$15,Paramètres!$A$1:$I$89,3,0)*0.475*44/12</f>
        <v>4.0770723957279202E-22</v>
      </c>
      <c r="EY180" s="22">
        <f t="shared" si="181"/>
        <v>0.54738687576319611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243.00000000000017</v>
      </c>
      <c r="O181" s="13">
        <f>N181*VLOOKUP('Données projet'!$B$9,Paramètres!$A$1:$I$89,3,0)*VLOOKUP('Données projet'!$B$9,Paramètres!$A$1:$I$89,5,0)</f>
        <v>212.28480000000016</v>
      </c>
      <c r="P181" s="13">
        <f t="shared" si="141"/>
        <v>52.434557099704236</v>
      </c>
      <c r="Q181" s="20">
        <f t="shared" si="162"/>
        <v>461.0528802819851</v>
      </c>
      <c r="R181" s="59">
        <f t="shared" si="109"/>
        <v>754.38621361531841</v>
      </c>
      <c r="S181" s="59">
        <f ca="1">AVERAGE(OFFSET($R$3,0,0,'Données projet'!$E$9+1,1))-AVERAGE(OFFSET($H$3,0,0,'Données projet'!$E$9+1,1))</f>
        <v>368.41876532159154</v>
      </c>
      <c r="T181" s="59">
        <f t="shared" si="142"/>
        <v>369.39570124551125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0.32850120457567239</v>
      </c>
      <c r="AA181" s="21">
        <f>EXP(-LN(2)/25)*AA180+(1-EXP(-LN(2)/25))/(LN(2)/25)*Calculateur!V181*Calculateur!X181*VLOOKUP('Données projet'!$B$9,Paramètres!$A$1:$I$89,3,0)*0.475*44/12</f>
        <v>0.26790453707217682</v>
      </c>
      <c r="AB181" s="21">
        <f>EXP(-LN(2)/2)*AB180+(1-EXP(-LN(2)/2))/(LN(2)/2)*V181*Y181*VLOOKUP('Données projet'!$B$9,Paramètres!$A$1:$I$89,3,0)*0.475*44/12</f>
        <v>9.4076988340526528E-22</v>
      </c>
      <c r="AC181" s="22">
        <f t="shared" si="163"/>
        <v>0.59640574164784921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-5.1159076974727213E-13</v>
      </c>
      <c r="AJ181" s="13">
        <f>AI181*VLOOKUP('Données projet'!$B$10,Paramètres!$A$1:$I$89,3,0)*VLOOKUP('Données projet'!$B$10,Paramètres!$A$1:$I$89,5,0)</f>
        <v>-4.4692569645121704E-13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402.82278346470082</v>
      </c>
      <c r="AO181" s="59">
        <f t="shared" si="144"/>
        <v>440.17787299198977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0.1911202947664247</v>
      </c>
      <c r="AV181" s="21">
        <f>EXP(-LN(2)/25)*AV180+(1-EXP(-LN(2)/25))/(LN(2)/25)*Calculateur!AQ181*Calculateur!AS181*VLOOKUP('Données projet'!$B$10,Paramètres!$A$1:$I$89,3,0)*0.475*44/12</f>
        <v>0.37212532317853042</v>
      </c>
      <c r="AW181" s="21">
        <f>EXP(-LN(2)/2)*AW180+(1-EXP(-LN(2)/2))/(LN(2)/2)*AQ181*AT181*VLOOKUP('Données projet'!$B$10,Paramètres!$A$1:$I$89,3,0)*0.475*44/12</f>
        <v>1.3973821394688306E-21</v>
      </c>
      <c r="AX181" s="21">
        <f t="shared" si="166"/>
        <v>0.56324561794495509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-3.4106051316484809E-13</v>
      </c>
      <c r="BE181" s="13">
        <f>BD181*VLOOKUP('Données projet'!$B$11,Paramètres!$A$1:$I$89,3,0)*VLOOKUP('Données projet'!$B$11,Paramètres!$A$1:$I$89,5,0)</f>
        <v>-3.0859155231155454E-13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469.68830256438338</v>
      </c>
      <c r="BJ181" s="59">
        <f t="shared" si="146"/>
        <v>332.61387922152159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0.12847817119877702</v>
      </c>
      <c r="BQ181" s="21">
        <f>EXP(-LN(2)/25)*BQ180+(1-EXP(-LN(2)/25))/(LN(2)/25)*Calculateur!BL181*Calculateur!BN181*VLOOKUP('Données projet'!$B$11,Paramètres!$A$1:$I$89,3,0)*0.475*44/12</f>
        <v>0.18634597808932374</v>
      </c>
      <c r="BR181" s="21">
        <f>EXP(-LN(2)/2)*BR180+(1-EXP(-LN(2)/2))/(LN(2)/2)*BL181*BO181*VLOOKUP('Données projet'!$B$11,Paramètres!$A$1:$I$89,3,0)*0.475*44/12</f>
        <v>1.1410241481835048E-21</v>
      </c>
      <c r="BS181" s="22">
        <f t="shared" si="169"/>
        <v>0.31482414928810076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1.1368683772161603E-13</v>
      </c>
      <c r="BZ181" s="13">
        <f>BY181*VLOOKUP('Données projet'!$B$12,Paramètres!$A$1:$I$89,3,0)*VLOOKUP('Données projet'!$B$12,Paramètres!$A$1:$I$89,5,0)</f>
        <v>1.0818439477588981E-13</v>
      </c>
      <c r="CA181" s="13">
        <f t="shared" si="170"/>
        <v>1.6104228458716316E-12</v>
      </c>
      <c r="CB181" s="20">
        <f t="shared" si="171"/>
        <v>2.9932409441277661E-12</v>
      </c>
      <c r="CC181" s="59">
        <f t="shared" si="119"/>
        <v>293.33333333333633</v>
      </c>
      <c r="CD181" s="59">
        <f ca="1">AVERAGE(OFFSET($CC$3,0,0,'Données projet'!$E$12+1,1))-AVERAGE(OFFSET($H$3,0,0,'Données projet'!$E$12+1,1))</f>
        <v>609.40025883662452</v>
      </c>
      <c r="CE181" s="59">
        <f t="shared" si="148"/>
        <v>294.48909834404577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6.5112912217048416E-2</v>
      </c>
      <c r="CM181" s="21">
        <f>EXP(-LN(2)/2)*CM180+(1-EXP(-LN(2)/2))/(LN(2)/2)*CG181*CJ181*VLOOKUP('Données projet'!$B$12,Paramètres!$A$1:$I$89,3,0)*0.475*44/12</f>
        <v>4.1590783365503572E-22</v>
      </c>
      <c r="CN181" s="22">
        <f t="shared" si="172"/>
        <v>6.5112912217048416E-2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-1.1368683772161603E-13</v>
      </c>
      <c r="CU181" s="17">
        <f>CT181*VLOOKUP('Données projet'!$B$13,Paramètres!$A$1:$I$89,3,0)*VLOOKUP('Données projet'!$B$13,Paramètres!$A$1:$I$89,5,0)</f>
        <v>-5.3205440053716299E-14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346.16623654404509</v>
      </c>
      <c r="CZ181" s="59">
        <f t="shared" si="150"/>
        <v>281.80933156559087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0.16720634028650569</v>
      </c>
      <c r="DG181" s="21">
        <f>EXP(-LN(2)/25)*DG180+(1-EXP(-LN(2)/25))/(LN(2)/25)*Calculateur!DB181*Calculateur!DD181*VLOOKUP('Données projet'!$B$13,Paramètres!$A$1:$I$89,3,0)*0.475*44/12</f>
        <v>0.12974011779933892</v>
      </c>
      <c r="DH181" s="21">
        <f>EXP(-LN(2)/2)*DH180+(1-EXP(-LN(2)/2))/(LN(2)/2)*DB181*DE181*VLOOKUP('Données projet'!$B$13,Paramètres!$A$1:$I$89,3,0)*0.475*44/12</f>
        <v>5.2051108887684545E-22</v>
      </c>
      <c r="DI181" s="22">
        <f t="shared" si="175"/>
        <v>0.29694645808584463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6.2527760746888816E-13</v>
      </c>
      <c r="DP181" s="17">
        <f>DO181*VLOOKUP('Données projet'!$B$14,Paramètres!$A$1:$I$89,3,0)*VLOOKUP('Données projet'!$B$14,Paramètres!$A$1:$I$89,5,0)</f>
        <v>3.9017322706058616E-13</v>
      </c>
      <c r="DQ181" s="13">
        <f t="shared" si="176"/>
        <v>5.0025007393608908E-12</v>
      </c>
      <c r="DR181" s="20">
        <f t="shared" si="177"/>
        <v>9.3922404915174053E-12</v>
      </c>
      <c r="DS181" s="59">
        <f t="shared" si="125"/>
        <v>293.33333333334269</v>
      </c>
      <c r="DT181" s="59">
        <f ca="1">AVERAGE(OFFSET($DS$3,0,0,'Données projet'!$E$14+1,1))-AVERAGE(OFFSET($H$3,0,0,'Données projet'!$E$14+1,1))</f>
        <v>319.97171762304686</v>
      </c>
      <c r="DU181" s="59">
        <f t="shared" si="152"/>
        <v>337.89345858359621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0.37090731059791304</v>
      </c>
      <c r="EB181" s="21">
        <f>EXP(-LN(2)/25)*EB180+(1-EXP(-LN(2)/25))/(LN(2)/25)*Calculateur!DW181*Calculateur!DY181*VLOOKUP('Données projet'!$B$14,Paramètres!$A$1:$I$89,3,0)*0.475*44/12</f>
        <v>0.34333116039806794</v>
      </c>
      <c r="EC181" s="21">
        <f>EXP(-LN(2)/2)*EC180+(1-EXP(-LN(2)/2))/(LN(2)/2)*DW181*DZ181*VLOOKUP('Données projet'!$B$14,Paramètres!$A$1:$I$89,3,0)*0.475*44/12</f>
        <v>1.0688928727237266E-21</v>
      </c>
      <c r="ED181" s="22">
        <f t="shared" si="178"/>
        <v>0.71423847099598103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>
        <f>EJ181*VLOOKUP('Données projet'!$B$15,Paramètres!$A$1:$I$89,3,0)*VLOOKUP('Données projet'!$B$15,Paramètres!$A$1:$I$89,5,0)</f>
        <v>0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258.46015871559956</v>
      </c>
      <c r="EP181" s="59">
        <f t="shared" si="154"/>
        <v>280.26155987300996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0.33137754728972368</v>
      </c>
      <c r="EW181" s="21">
        <f>EXP(-LN(2)/25)*EW180+(1-EXP(-LN(2)/25))/(LN(2)/25)*Calculateur!ER181*Calculateur!ET181*VLOOKUP('Données projet'!$B$15,Paramètres!$A$1:$I$89,3,0)*0.475*44/12</f>
        <v>0.20365570306805378</v>
      </c>
      <c r="EX181" s="21">
        <f>EXP(-LN(2)/2)*EX180+(1-EXP(-LN(2)/2))/(LN(2)/2)*ER181*EU181*VLOOKUP('Données projet'!$B$15,Paramètres!$A$1:$I$89,3,0)*0.475*44/12</f>
        <v>2.8829255384076955E-22</v>
      </c>
      <c r="EY181" s="22">
        <f t="shared" si="181"/>
        <v>0.53503325035777749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243.00000000000017</v>
      </c>
      <c r="O182" s="13">
        <f>N182*VLOOKUP('Données projet'!$B$9,Paramètres!$A$1:$I$89,3,0)*VLOOKUP('Données projet'!$B$9,Paramètres!$A$1:$I$89,5,0)</f>
        <v>212.28480000000016</v>
      </c>
      <c r="P182" s="13">
        <f t="shared" si="141"/>
        <v>52.434557099704236</v>
      </c>
      <c r="Q182" s="20">
        <f t="shared" si="162"/>
        <v>461.0528802819851</v>
      </c>
      <c r="R182" s="59">
        <f t="shared" si="109"/>
        <v>754.38621361531841</v>
      </c>
      <c r="S182" s="59">
        <f ca="1">AVERAGE(OFFSET($R$3,0,0,'Données projet'!$E$9+1,1))-AVERAGE(OFFSET($H$3,0,0,'Données projet'!$E$9+1,1))</f>
        <v>368.41876532159154</v>
      </c>
      <c r="T182" s="59">
        <f t="shared" si="142"/>
        <v>369.39570124551125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0.32205949631989372</v>
      </c>
      <c r="AA182" s="21">
        <f>EXP(-LN(2)/25)*AA181+(1-EXP(-LN(2)/25))/(LN(2)/25)*Calculateur!V182*Calculateur!X182*VLOOKUP('Données projet'!$B$9,Paramètres!$A$1:$I$89,3,0)*0.475*44/12</f>
        <v>0.26057867341745083</v>
      </c>
      <c r="AB182" s="21">
        <f>EXP(-LN(2)/2)*AB181+(1-EXP(-LN(2)/2))/(LN(2)/2)*V182*Y182*VLOOKUP('Données projet'!$B$9,Paramètres!$A$1:$I$89,3,0)*0.475*44/12</f>
        <v>6.6522476409194075E-22</v>
      </c>
      <c r="AC182" s="22">
        <f t="shared" si="163"/>
        <v>0.58263816973734461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-5.1159076974727213E-13</v>
      </c>
      <c r="AJ182" s="13">
        <f>AI182*VLOOKUP('Données projet'!$B$10,Paramètres!$A$1:$I$89,3,0)*VLOOKUP('Données projet'!$B$10,Paramètres!$A$1:$I$89,5,0)</f>
        <v>-4.4692569645121704E-13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402.82278346470082</v>
      </c>
      <c r="AO182" s="59">
        <f t="shared" si="144"/>
        <v>440.17787299198977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0.18737254235792439</v>
      </c>
      <c r="AV182" s="21">
        <f>EXP(-LN(2)/25)*AV181+(1-EXP(-LN(2)/25))/(LN(2)/25)*Calculateur!AQ182*Calculateur!AS182*VLOOKUP('Données projet'!$B$10,Paramètres!$A$1:$I$89,3,0)*0.475*44/12</f>
        <v>0.36194953664699325</v>
      </c>
      <c r="AW182" s="21">
        <f>EXP(-LN(2)/2)*AW181+(1-EXP(-LN(2)/2))/(LN(2)/2)*AQ182*AT182*VLOOKUP('Données projet'!$B$10,Paramètres!$A$1:$I$89,3,0)*0.475*44/12</f>
        <v>9.8809838672737602E-22</v>
      </c>
      <c r="AX182" s="21">
        <f t="shared" si="166"/>
        <v>0.54932207900491759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-3.4106051316484809E-13</v>
      </c>
      <c r="BE182" s="13">
        <f>BD182*VLOOKUP('Données projet'!$B$11,Paramètres!$A$1:$I$89,3,0)*VLOOKUP('Données projet'!$B$11,Paramètres!$A$1:$I$89,5,0)</f>
        <v>-3.0859155231155454E-13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469.68830256438338</v>
      </c>
      <c r="BJ182" s="59">
        <f t="shared" si="146"/>
        <v>332.61387922152159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0.12595879262551565</v>
      </c>
      <c r="BQ182" s="21">
        <f>EXP(-LN(2)/25)*BQ181+(1-EXP(-LN(2)/25))/(LN(2)/25)*Calculateur!BL182*Calculateur!BN182*VLOOKUP('Données projet'!$B$11,Paramètres!$A$1:$I$89,3,0)*0.475*44/12</f>
        <v>0.18125033751896208</v>
      </c>
      <c r="BR182" s="21">
        <f>EXP(-LN(2)/2)*BR181+(1-EXP(-LN(2)/2))/(LN(2)/2)*BL182*BO182*VLOOKUP('Données projet'!$B$11,Paramètres!$A$1:$I$89,3,0)*0.475*44/12</f>
        <v>8.0682591267816035E-22</v>
      </c>
      <c r="BS182" s="22">
        <f t="shared" si="169"/>
        <v>0.3072091301444777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1.1368683772161603E-13</v>
      </c>
      <c r="BZ182" s="13">
        <f>BY182*VLOOKUP('Données projet'!$B$12,Paramètres!$A$1:$I$89,3,0)*VLOOKUP('Données projet'!$B$12,Paramètres!$A$1:$I$89,5,0)</f>
        <v>1.0818439477588981E-13</v>
      </c>
      <c r="CA182" s="13">
        <f t="shared" si="170"/>
        <v>1.6104228458716316E-12</v>
      </c>
      <c r="CB182" s="20">
        <f t="shared" si="171"/>
        <v>2.9932409441277661E-12</v>
      </c>
      <c r="CC182" s="59">
        <f t="shared" si="119"/>
        <v>293.33333333333633</v>
      </c>
      <c r="CD182" s="59">
        <f ca="1">AVERAGE(OFFSET($CC$3,0,0,'Données projet'!$E$12+1,1))-AVERAGE(OFFSET($H$3,0,0,'Données projet'!$E$12+1,1))</f>
        <v>609.40025883662452</v>
      </c>
      <c r="CE182" s="59">
        <f t="shared" si="148"/>
        <v>294.48909834404577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6.3332396208333988E-2</v>
      </c>
      <c r="CM182" s="21">
        <f>EXP(-LN(2)/2)*CM181+(1-EXP(-LN(2)/2))/(LN(2)/2)*CG182*CJ182*VLOOKUP('Données projet'!$B$12,Paramètres!$A$1:$I$89,3,0)*0.475*44/12</f>
        <v>2.9409124952608237E-22</v>
      </c>
      <c r="CN182" s="22">
        <f t="shared" si="172"/>
        <v>6.3332396208333988E-2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-1.1368683772161603E-13</v>
      </c>
      <c r="CU182" s="17">
        <f>CT182*VLOOKUP('Données projet'!$B$13,Paramètres!$A$1:$I$89,3,0)*VLOOKUP('Données projet'!$B$13,Paramètres!$A$1:$I$89,5,0)</f>
        <v>-5.3205440053716299E-14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346.16623654404509</v>
      </c>
      <c r="CZ182" s="59">
        <f t="shared" si="150"/>
        <v>281.80933156559087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0.16392752593928461</v>
      </c>
      <c r="DG182" s="21">
        <f>EXP(-LN(2)/25)*DG181+(1-EXP(-LN(2)/25))/(LN(2)/25)*Calculateur!DB182*Calculateur!DD182*VLOOKUP('Données projet'!$B$13,Paramètres!$A$1:$I$89,3,0)*0.475*44/12</f>
        <v>0.12619236745537973</v>
      </c>
      <c r="DH182" s="21">
        <f>EXP(-LN(2)/2)*DH181+(1-EXP(-LN(2)/2))/(LN(2)/2)*DB182*DE182*VLOOKUP('Données projet'!$B$13,Paramètres!$A$1:$I$89,3,0)*0.475*44/12</f>
        <v>3.6805692062761116E-22</v>
      </c>
      <c r="DI182" s="22">
        <f t="shared" si="175"/>
        <v>0.29011989339466437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6.2527760746888816E-13</v>
      </c>
      <c r="DP182" s="17">
        <f>DO182*VLOOKUP('Données projet'!$B$14,Paramètres!$A$1:$I$89,3,0)*VLOOKUP('Données projet'!$B$14,Paramètres!$A$1:$I$89,5,0)</f>
        <v>3.9017322706058616E-13</v>
      </c>
      <c r="DQ182" s="13">
        <f t="shared" si="176"/>
        <v>5.0025007393608908E-12</v>
      </c>
      <c r="DR182" s="20">
        <f t="shared" si="177"/>
        <v>9.3922404915174053E-12</v>
      </c>
      <c r="DS182" s="59">
        <f t="shared" si="125"/>
        <v>293.33333333334269</v>
      </c>
      <c r="DT182" s="59">
        <f ca="1">AVERAGE(OFFSET($DS$3,0,0,'Données projet'!$E$14+1,1))-AVERAGE(OFFSET($H$3,0,0,'Données projet'!$E$14+1,1))</f>
        <v>319.97171762304686</v>
      </c>
      <c r="DU182" s="59">
        <f t="shared" si="152"/>
        <v>337.89345858359621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0.36363404446820896</v>
      </c>
      <c r="EB182" s="21">
        <f>EXP(-LN(2)/25)*EB181+(1-EXP(-LN(2)/25))/(LN(2)/25)*Calculateur!DW182*Calculateur!DY182*VLOOKUP('Données projet'!$B$14,Paramètres!$A$1:$I$89,3,0)*0.475*44/12</f>
        <v>0.33394275176198174</v>
      </c>
      <c r="EC182" s="21">
        <f>EXP(-LN(2)/2)*EC181+(1-EXP(-LN(2)/2))/(LN(2)/2)*DW182*DZ182*VLOOKUP('Données projet'!$B$14,Paramètres!$A$1:$I$89,3,0)*0.475*44/12</f>
        <v>7.5582139866491633E-22</v>
      </c>
      <c r="ED182" s="22">
        <f t="shared" si="178"/>
        <v>0.69757679623019064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>
        <f>EJ182*VLOOKUP('Données projet'!$B$15,Paramètres!$A$1:$I$89,3,0)*VLOOKUP('Données projet'!$B$15,Paramètres!$A$1:$I$89,5,0)</f>
        <v>0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258.46015871559956</v>
      </c>
      <c r="EP182" s="59">
        <f t="shared" si="154"/>
        <v>280.26155987300996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0.32487943570771832</v>
      </c>
      <c r="EW182" s="21">
        <f>EXP(-LN(2)/25)*EW181+(1-EXP(-LN(2)/25))/(LN(2)/25)*Calculateur!ER182*Calculateur!ET182*VLOOKUP('Données projet'!$B$15,Paramètres!$A$1:$I$89,3,0)*0.475*44/12</f>
        <v>0.19808672715786987</v>
      </c>
      <c r="EX182" s="21">
        <f>EXP(-LN(2)/2)*EX181+(1-EXP(-LN(2)/2))/(LN(2)/2)*ER182*EU182*VLOOKUP('Données projet'!$B$15,Paramètres!$A$1:$I$89,3,0)*0.475*44/12</f>
        <v>2.0385361978639601E-22</v>
      </c>
      <c r="EY182" s="22">
        <f t="shared" si="181"/>
        <v>0.52296616286558817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243.00000000000017</v>
      </c>
      <c r="O183" s="13">
        <f>N183*VLOOKUP('Données projet'!$B$9,Paramètres!$A$1:$I$89,3,0)*VLOOKUP('Données projet'!$B$9,Paramètres!$A$1:$I$89,5,0)</f>
        <v>212.28480000000016</v>
      </c>
      <c r="P183" s="13">
        <f t="shared" si="141"/>
        <v>52.434557099704236</v>
      </c>
      <c r="Q183" s="20">
        <f t="shared" si="162"/>
        <v>461.0528802819851</v>
      </c>
      <c r="R183" s="59">
        <f t="shared" si="109"/>
        <v>754.38621361531841</v>
      </c>
      <c r="S183" s="59">
        <f ca="1">AVERAGE(OFFSET($R$3,0,0,'Données projet'!$E$9+1,1))-AVERAGE(OFFSET($H$3,0,0,'Données projet'!$E$9+1,1))</f>
        <v>368.41876532159154</v>
      </c>
      <c r="T183" s="59">
        <f t="shared" si="142"/>
        <v>369.39570124551125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0.31574410603395681</v>
      </c>
      <c r="AA183" s="21">
        <f>EXP(-LN(2)/25)*AA182+(1-EXP(-LN(2)/25))/(LN(2)/25)*Calculateur!V183*Calculateur!X183*VLOOKUP('Données projet'!$B$9,Paramètres!$A$1:$I$89,3,0)*0.475*44/12</f>
        <v>0.25345313588961377</v>
      </c>
      <c r="AB183" s="21">
        <f>EXP(-LN(2)/2)*AB182+(1-EXP(-LN(2)/2))/(LN(2)/2)*V183*Y183*VLOOKUP('Données projet'!$B$9,Paramètres!$A$1:$I$89,3,0)*0.475*44/12</f>
        <v>4.7038494170263264E-22</v>
      </c>
      <c r="AC183" s="22">
        <f t="shared" si="163"/>
        <v>0.56919724192357057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-5.1159076974727213E-13</v>
      </c>
      <c r="AJ183" s="13">
        <f>AI183*VLOOKUP('Données projet'!$B$10,Paramètres!$A$1:$I$89,3,0)*VLOOKUP('Données projet'!$B$10,Paramètres!$A$1:$I$89,5,0)</f>
        <v>-4.4692569645121704E-13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402.82278346470082</v>
      </c>
      <c r="AO183" s="59">
        <f t="shared" si="144"/>
        <v>440.17787299198977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0.18369828108825154</v>
      </c>
      <c r="AV183" s="21">
        <f>EXP(-LN(2)/25)*AV182+(1-EXP(-LN(2)/25))/(LN(2)/25)*Calculateur!AQ183*Calculateur!AS183*VLOOKUP('Données projet'!$B$10,Paramètres!$A$1:$I$89,3,0)*0.475*44/12</f>
        <v>0.35205200753328236</v>
      </c>
      <c r="AW183" s="21">
        <f>EXP(-LN(2)/2)*AW182+(1-EXP(-LN(2)/2))/(LN(2)/2)*AQ183*AT183*VLOOKUP('Données projet'!$B$10,Paramètres!$A$1:$I$89,3,0)*0.475*44/12</f>
        <v>6.9869106973441531E-22</v>
      </c>
      <c r="AX183" s="21">
        <f t="shared" si="166"/>
        <v>0.53575028862153395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-3.4106051316484809E-13</v>
      </c>
      <c r="BE183" s="13">
        <f>BD183*VLOOKUP('Données projet'!$B$11,Paramètres!$A$1:$I$89,3,0)*VLOOKUP('Données projet'!$B$11,Paramètres!$A$1:$I$89,5,0)</f>
        <v>-3.0859155231155454E-13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469.68830256438338</v>
      </c>
      <c r="BJ183" s="59">
        <f t="shared" si="146"/>
        <v>332.61387922152159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0.12348881752940673</v>
      </c>
      <c r="BQ183" s="21">
        <f>EXP(-LN(2)/25)*BQ182+(1-EXP(-LN(2)/25))/(LN(2)/25)*Calculateur!BL183*Calculateur!BN183*VLOOKUP('Données projet'!$B$11,Paramètres!$A$1:$I$89,3,0)*0.475*44/12</f>
        <v>0.17629403750796507</v>
      </c>
      <c r="BR183" s="21">
        <f>EXP(-LN(2)/2)*BR182+(1-EXP(-LN(2)/2))/(LN(2)/2)*BL183*BO183*VLOOKUP('Données projet'!$B$11,Paramètres!$A$1:$I$89,3,0)*0.475*44/12</f>
        <v>5.7051207409175242E-22</v>
      </c>
      <c r="BS183" s="22">
        <f t="shared" si="169"/>
        <v>0.29978285503737179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1.1368683772161603E-13</v>
      </c>
      <c r="BZ183" s="13">
        <f>BY183*VLOOKUP('Données projet'!$B$12,Paramètres!$A$1:$I$89,3,0)*VLOOKUP('Données projet'!$B$12,Paramètres!$A$1:$I$89,5,0)</f>
        <v>1.0818439477588981E-13</v>
      </c>
      <c r="CA183" s="13">
        <f t="shared" si="170"/>
        <v>1.6104228458716316E-12</v>
      </c>
      <c r="CB183" s="20">
        <f t="shared" si="171"/>
        <v>2.9932409441277661E-12</v>
      </c>
      <c r="CC183" s="59">
        <f t="shared" si="119"/>
        <v>293.33333333333633</v>
      </c>
      <c r="CD183" s="59">
        <f ca="1">AVERAGE(OFFSET($CC$3,0,0,'Données projet'!$E$12+1,1))-AVERAGE(OFFSET($H$3,0,0,'Données projet'!$E$12+1,1))</f>
        <v>609.40025883662452</v>
      </c>
      <c r="CE183" s="59">
        <f t="shared" si="148"/>
        <v>294.48909834404577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6.160056850351113E-2</v>
      </c>
      <c r="CM183" s="21">
        <f>EXP(-LN(2)/2)*CM182+(1-EXP(-LN(2)/2))/(LN(2)/2)*CG183*CJ183*VLOOKUP('Données projet'!$B$12,Paramètres!$A$1:$I$89,3,0)*0.475*44/12</f>
        <v>2.0795391682751788E-22</v>
      </c>
      <c r="CN183" s="22">
        <f t="shared" si="172"/>
        <v>6.160056850351113E-2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-1.1368683772161603E-13</v>
      </c>
      <c r="CU183" s="17">
        <f>CT183*VLOOKUP('Données projet'!$B$13,Paramètres!$A$1:$I$89,3,0)*VLOOKUP('Données projet'!$B$13,Paramètres!$A$1:$I$89,5,0)</f>
        <v>-5.3205440053716299E-14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346.16623654404509</v>
      </c>
      <c r="CZ183" s="59">
        <f t="shared" si="150"/>
        <v>281.80933156559087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0.16071300714153328</v>
      </c>
      <c r="DG183" s="21">
        <f>EXP(-LN(2)/25)*DG182+(1-EXP(-LN(2)/25))/(LN(2)/25)*Calculateur!DB183*Calculateur!DD183*VLOOKUP('Données projet'!$B$13,Paramètres!$A$1:$I$89,3,0)*0.475*44/12</f>
        <v>0.12274163053114419</v>
      </c>
      <c r="DH183" s="21">
        <f>EXP(-LN(2)/2)*DH182+(1-EXP(-LN(2)/2))/(LN(2)/2)*DB183*DE183*VLOOKUP('Données projet'!$B$13,Paramètres!$A$1:$I$89,3,0)*0.475*44/12</f>
        <v>2.6025554443842273E-22</v>
      </c>
      <c r="DI183" s="22">
        <f t="shared" si="175"/>
        <v>0.28345463767267748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6.2527760746888816E-13</v>
      </c>
      <c r="DP183" s="17">
        <f>DO183*VLOOKUP('Données projet'!$B$14,Paramètres!$A$1:$I$89,3,0)*VLOOKUP('Données projet'!$B$14,Paramètres!$A$1:$I$89,5,0)</f>
        <v>3.9017322706058616E-13</v>
      </c>
      <c r="DQ183" s="13">
        <f t="shared" si="176"/>
        <v>5.0025007393608908E-12</v>
      </c>
      <c r="DR183" s="20">
        <f t="shared" si="177"/>
        <v>9.3922404915174053E-12</v>
      </c>
      <c r="DS183" s="59">
        <f t="shared" si="125"/>
        <v>293.33333333334269</v>
      </c>
      <c r="DT183" s="59">
        <f ca="1">AVERAGE(OFFSET($DS$3,0,0,'Données projet'!$E$14+1,1))-AVERAGE(OFFSET($H$3,0,0,'Données projet'!$E$14+1,1))</f>
        <v>319.97171762304686</v>
      </c>
      <c r="DU183" s="59">
        <f t="shared" si="152"/>
        <v>337.89345858359621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0.35650340265105407</v>
      </c>
      <c r="EB183" s="21">
        <f>EXP(-LN(2)/25)*EB182+(1-EXP(-LN(2)/25))/(LN(2)/25)*Calculateur!DW183*Calculateur!DY183*VLOOKUP('Données projet'!$B$14,Paramètres!$A$1:$I$89,3,0)*0.475*44/12</f>
        <v>0.32481106965376427</v>
      </c>
      <c r="EC183" s="21">
        <f>EXP(-LN(2)/2)*EC182+(1-EXP(-LN(2)/2))/(LN(2)/2)*DW183*DZ183*VLOOKUP('Données projet'!$B$14,Paramètres!$A$1:$I$89,3,0)*0.475*44/12</f>
        <v>5.3444643636186329E-22</v>
      </c>
      <c r="ED183" s="22">
        <f t="shared" si="178"/>
        <v>0.68131447230481834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>
        <f>EJ183*VLOOKUP('Données projet'!$B$15,Paramètres!$A$1:$I$89,3,0)*VLOOKUP('Données projet'!$B$15,Paramètres!$A$1:$I$89,5,0)</f>
        <v>0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258.46015871559956</v>
      </c>
      <c r="EP183" s="59">
        <f t="shared" si="154"/>
        <v>280.26155987300996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0.31850874813037938</v>
      </c>
      <c r="EW183" s="21">
        <f>EXP(-LN(2)/25)*EW182+(1-EXP(-LN(2)/25))/(LN(2)/25)*Calculateur!ER183*Calculateur!ET183*VLOOKUP('Données projet'!$B$15,Paramètres!$A$1:$I$89,3,0)*0.475*44/12</f>
        <v>0.19267003518680967</v>
      </c>
      <c r="EX183" s="21">
        <f>EXP(-LN(2)/2)*EX182+(1-EXP(-LN(2)/2))/(LN(2)/2)*ER183*EU183*VLOOKUP('Données projet'!$B$15,Paramètres!$A$1:$I$89,3,0)*0.475*44/12</f>
        <v>1.4414627692038478E-22</v>
      </c>
      <c r="EY183" s="22">
        <f t="shared" si="181"/>
        <v>0.51117878331718902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243.00000000000017</v>
      </c>
      <c r="O184" s="13">
        <f>N184*VLOOKUP('Données projet'!$B$9,Paramètres!$A$1:$I$89,3,0)*VLOOKUP('Données projet'!$B$9,Paramètres!$A$1:$I$89,5,0)</f>
        <v>212.28480000000016</v>
      </c>
      <c r="P184" s="13">
        <f t="shared" si="141"/>
        <v>52.434557099704236</v>
      </c>
      <c r="Q184" s="20">
        <f t="shared" si="162"/>
        <v>461.0528802819851</v>
      </c>
      <c r="R184" s="59">
        <f t="shared" si="109"/>
        <v>754.38621361531841</v>
      </c>
      <c r="S184" s="59">
        <f ca="1">AVERAGE(OFFSET($R$3,0,0,'Données projet'!$E$9+1,1))-AVERAGE(OFFSET($H$3,0,0,'Données projet'!$E$9+1,1))</f>
        <v>368.41876532159154</v>
      </c>
      <c r="T184" s="59">
        <f t="shared" si="142"/>
        <v>369.39570124551125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0.30955255669951942</v>
      </c>
      <c r="AA184" s="21">
        <f>EXP(-LN(2)/25)*AA183+(1-EXP(-LN(2)/25))/(LN(2)/25)*Calculateur!V184*Calculateur!X184*VLOOKUP('Données projet'!$B$9,Paramètres!$A$1:$I$89,3,0)*0.475*44/12</f>
        <v>0.24652244656019115</v>
      </c>
      <c r="AB184" s="21">
        <f>EXP(-LN(2)/2)*AB183+(1-EXP(-LN(2)/2))/(LN(2)/2)*V184*Y184*VLOOKUP('Données projet'!$B$9,Paramètres!$A$1:$I$89,3,0)*0.475*44/12</f>
        <v>3.3261238204597037E-22</v>
      </c>
      <c r="AC184" s="22">
        <f t="shared" si="163"/>
        <v>0.5560750032597106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-5.1159076974727213E-13</v>
      </c>
      <c r="AJ184" s="13">
        <f>AI184*VLOOKUP('Données projet'!$B$10,Paramètres!$A$1:$I$89,3,0)*VLOOKUP('Données projet'!$B$10,Paramètres!$A$1:$I$89,5,0)</f>
        <v>-4.4692569645121704E-13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402.82278346470082</v>
      </c>
      <c r="AO184" s="59">
        <f t="shared" si="144"/>
        <v>440.17787299198977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0.18009606984099888</v>
      </c>
      <c r="AV184" s="21">
        <f>EXP(-LN(2)/25)*AV183+(1-EXP(-LN(2)/25))/(LN(2)/25)*Calculateur!AQ184*Calculateur!AS184*VLOOKUP('Données projet'!$B$10,Paramètres!$A$1:$I$89,3,0)*0.475*44/12</f>
        <v>0.34242512687367432</v>
      </c>
      <c r="AW184" s="21">
        <f>EXP(-LN(2)/2)*AW183+(1-EXP(-LN(2)/2))/(LN(2)/2)*AQ184*AT184*VLOOKUP('Données projet'!$B$10,Paramètres!$A$1:$I$89,3,0)*0.475*44/12</f>
        <v>4.9404919336368801E-22</v>
      </c>
      <c r="AX184" s="21">
        <f t="shared" si="166"/>
        <v>0.52252119671467323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-3.4106051316484809E-13</v>
      </c>
      <c r="BE184" s="13">
        <f>BD184*VLOOKUP('Données projet'!$B$11,Paramètres!$A$1:$I$89,3,0)*VLOOKUP('Données projet'!$B$11,Paramètres!$A$1:$I$89,5,0)</f>
        <v>-3.0859155231155454E-13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469.68830256438338</v>
      </c>
      <c r="BJ184" s="59">
        <f t="shared" si="146"/>
        <v>332.61387922152159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0.12106727713839645</v>
      </c>
      <c r="BQ184" s="21">
        <f>EXP(-LN(2)/25)*BQ183+(1-EXP(-LN(2)/25))/(LN(2)/25)*Calculateur!BL184*Calculateur!BN184*VLOOKUP('Données projet'!$B$11,Paramètres!$A$1:$I$89,3,0)*0.475*44/12</f>
        <v>0.17147326778140926</v>
      </c>
      <c r="BR184" s="21">
        <f>EXP(-LN(2)/2)*BR183+(1-EXP(-LN(2)/2))/(LN(2)/2)*BL184*BO184*VLOOKUP('Données projet'!$B$11,Paramètres!$A$1:$I$89,3,0)*0.475*44/12</f>
        <v>4.0341295633908017E-22</v>
      </c>
      <c r="BS184" s="22">
        <f t="shared" si="169"/>
        <v>0.29254054491980569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1.1368683772161603E-13</v>
      </c>
      <c r="BZ184" s="13">
        <f>BY184*VLOOKUP('Données projet'!$B$12,Paramètres!$A$1:$I$89,3,0)*VLOOKUP('Données projet'!$B$12,Paramètres!$A$1:$I$89,5,0)</f>
        <v>1.0818439477588981E-13</v>
      </c>
      <c r="CA184" s="13">
        <f t="shared" si="170"/>
        <v>1.6104228458716316E-12</v>
      </c>
      <c r="CB184" s="20">
        <f t="shared" si="171"/>
        <v>2.9932409441277661E-12</v>
      </c>
      <c r="CC184" s="59">
        <f t="shared" si="119"/>
        <v>293.33333333333633</v>
      </c>
      <c r="CD184" s="59">
        <f ca="1">AVERAGE(OFFSET($CC$3,0,0,'Données projet'!$E$12+1,1))-AVERAGE(OFFSET($H$3,0,0,'Données projet'!$E$12+1,1))</f>
        <v>609.40025883662452</v>
      </c>
      <c r="CE184" s="59">
        <f t="shared" si="148"/>
        <v>294.48909834404577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5.9916097718349513E-2</v>
      </c>
      <c r="CM184" s="21">
        <f>EXP(-LN(2)/2)*CM183+(1-EXP(-LN(2)/2))/(LN(2)/2)*CG184*CJ184*VLOOKUP('Données projet'!$B$12,Paramètres!$A$1:$I$89,3,0)*0.475*44/12</f>
        <v>1.4704562476304121E-22</v>
      </c>
      <c r="CN184" s="22">
        <f t="shared" si="172"/>
        <v>5.9916097718349513E-2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-1.1368683772161603E-13</v>
      </c>
      <c r="CU184" s="17">
        <f>CT184*VLOOKUP('Données projet'!$B$13,Paramètres!$A$1:$I$89,3,0)*VLOOKUP('Données projet'!$B$13,Paramètres!$A$1:$I$89,5,0)</f>
        <v>-5.3205440053716299E-14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346.16623654404509</v>
      </c>
      <c r="CZ184" s="59">
        <f t="shared" si="150"/>
        <v>281.80933156559087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0.15756152309674298</v>
      </c>
      <c r="DG184" s="21">
        <f>EXP(-LN(2)/25)*DG183+(1-EXP(-LN(2)/25))/(LN(2)/25)*Calculateur!DB184*Calculateur!DD184*VLOOKUP('Données projet'!$B$13,Paramètres!$A$1:$I$89,3,0)*0.475*44/12</f>
        <v>0.11938525418956823</v>
      </c>
      <c r="DH184" s="21">
        <f>EXP(-LN(2)/2)*DH183+(1-EXP(-LN(2)/2))/(LN(2)/2)*DB184*DE184*VLOOKUP('Données projet'!$B$13,Paramètres!$A$1:$I$89,3,0)*0.475*44/12</f>
        <v>1.8402846031380558E-22</v>
      </c>
      <c r="DI184" s="22">
        <f t="shared" si="175"/>
        <v>0.27694677728631123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6.2527760746888816E-13</v>
      </c>
      <c r="DP184" s="17">
        <f>DO184*VLOOKUP('Données projet'!$B$14,Paramètres!$A$1:$I$89,3,0)*VLOOKUP('Données projet'!$B$14,Paramètres!$A$1:$I$89,5,0)</f>
        <v>3.9017322706058616E-13</v>
      </c>
      <c r="DQ184" s="13">
        <f t="shared" si="176"/>
        <v>5.0025007393608908E-12</v>
      </c>
      <c r="DR184" s="20">
        <f t="shared" si="177"/>
        <v>9.3922404915174053E-12</v>
      </c>
      <c r="DS184" s="59">
        <f t="shared" si="125"/>
        <v>293.33333333334269</v>
      </c>
      <c r="DT184" s="59">
        <f ca="1">AVERAGE(OFFSET($DS$3,0,0,'Données projet'!$E$14+1,1))-AVERAGE(OFFSET($H$3,0,0,'Données projet'!$E$14+1,1))</f>
        <v>319.97171762304686</v>
      </c>
      <c r="DU184" s="59">
        <f t="shared" si="152"/>
        <v>337.89345858359621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0.34951258837067156</v>
      </c>
      <c r="EB184" s="21">
        <f>EXP(-LN(2)/25)*EB183+(1-EXP(-LN(2)/25))/(LN(2)/25)*Calculateur!DW184*Calculateur!DY184*VLOOKUP('Données projet'!$B$14,Paramètres!$A$1:$I$89,3,0)*0.475*44/12</f>
        <v>0.31592909387301032</v>
      </c>
      <c r="EC184" s="21">
        <f>EXP(-LN(2)/2)*EC183+(1-EXP(-LN(2)/2))/(LN(2)/2)*DW184*DZ184*VLOOKUP('Données projet'!$B$14,Paramètres!$A$1:$I$89,3,0)*0.475*44/12</f>
        <v>3.7791069933245817E-22</v>
      </c>
      <c r="ED184" s="22">
        <f t="shared" si="178"/>
        <v>0.66544168224368194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>
        <f>EJ184*VLOOKUP('Données projet'!$B$15,Paramètres!$A$1:$I$89,3,0)*VLOOKUP('Données projet'!$B$15,Paramètres!$A$1:$I$89,5,0)</f>
        <v>0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258.46015871559956</v>
      </c>
      <c r="EP184" s="59">
        <f t="shared" si="154"/>
        <v>280.26155987300996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0.31226298585069634</v>
      </c>
      <c r="EW184" s="21">
        <f>EXP(-LN(2)/25)*EW183+(1-EXP(-LN(2)/25))/(LN(2)/25)*Calculateur!ER184*Calculateur!ET184*VLOOKUP('Données projet'!$B$15,Paramètres!$A$1:$I$89,3,0)*0.475*44/12</f>
        <v>0.18740146294254956</v>
      </c>
      <c r="EX184" s="21">
        <f>EXP(-LN(2)/2)*EX183+(1-EXP(-LN(2)/2))/(LN(2)/2)*ER184*EU184*VLOOKUP('Données projet'!$B$15,Paramètres!$A$1:$I$89,3,0)*0.475*44/12</f>
        <v>1.01926809893198E-22</v>
      </c>
      <c r="EY184" s="22">
        <f t="shared" si="181"/>
        <v>0.4996644487932459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243.00000000000017</v>
      </c>
      <c r="O185" s="13">
        <f>N185*VLOOKUP('Données projet'!$B$9,Paramètres!$A$1:$I$89,3,0)*VLOOKUP('Données projet'!$B$9,Paramètres!$A$1:$I$89,5,0)</f>
        <v>212.28480000000016</v>
      </c>
      <c r="P185" s="13">
        <f t="shared" si="141"/>
        <v>52.434557099704236</v>
      </c>
      <c r="Q185" s="20">
        <f t="shared" si="162"/>
        <v>461.0528802819851</v>
      </c>
      <c r="R185" s="59">
        <f t="shared" si="109"/>
        <v>754.38621361531841</v>
      </c>
      <c r="S185" s="59">
        <f ca="1">AVERAGE(OFFSET($R$3,0,0,'Données projet'!$E$9+1,1))-AVERAGE(OFFSET($H$3,0,0,'Données projet'!$E$9+1,1))</f>
        <v>368.41876532159154</v>
      </c>
      <c r="T185" s="59">
        <f t="shared" si="142"/>
        <v>369.39570124551125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0.30348241987105817</v>
      </c>
      <c r="AA185" s="21">
        <f>EXP(-LN(2)/25)*AA184+(1-EXP(-LN(2)/25))/(LN(2)/25)*Calculateur!V185*Calculateur!X185*VLOOKUP('Données projet'!$B$9,Paramètres!$A$1:$I$89,3,0)*0.475*44/12</f>
        <v>0.23978127729495069</v>
      </c>
      <c r="AB185" s="21">
        <f>EXP(-LN(2)/2)*AB184+(1-EXP(-LN(2)/2))/(LN(2)/2)*V185*Y185*VLOOKUP('Données projet'!$B$9,Paramètres!$A$1:$I$89,3,0)*0.475*44/12</f>
        <v>2.3519247085131632E-22</v>
      </c>
      <c r="AC185" s="22">
        <f t="shared" si="163"/>
        <v>0.54326369716600886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-5.1159076974727213E-13</v>
      </c>
      <c r="AJ185" s="13">
        <f>AI185*VLOOKUP('Données projet'!$B$10,Paramètres!$A$1:$I$89,3,0)*VLOOKUP('Données projet'!$B$10,Paramètres!$A$1:$I$89,5,0)</f>
        <v>-4.4692569645121704E-13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402.82278346470082</v>
      </c>
      <c r="AO185" s="59">
        <f t="shared" si="144"/>
        <v>440.17787299198977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0.17656449575917293</v>
      </c>
      <c r="AV185" s="21">
        <f>EXP(-LN(2)/25)*AV184+(1-EXP(-LN(2)/25))/(LN(2)/25)*Calculateur!AQ185*Calculateur!AS185*VLOOKUP('Données projet'!$B$10,Paramètres!$A$1:$I$89,3,0)*0.475*44/12</f>
        <v>0.33306149377195893</v>
      </c>
      <c r="AW185" s="21">
        <f>EXP(-LN(2)/2)*AW184+(1-EXP(-LN(2)/2))/(LN(2)/2)*AQ185*AT185*VLOOKUP('Données projet'!$B$10,Paramètres!$A$1:$I$89,3,0)*0.475*44/12</f>
        <v>3.4934553486720765E-22</v>
      </c>
      <c r="AX185" s="21">
        <f t="shared" si="166"/>
        <v>0.50962598953113192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-3.4106051316484809E-13</v>
      </c>
      <c r="BE185" s="13">
        <f>BD185*VLOOKUP('Données projet'!$B$11,Paramètres!$A$1:$I$89,3,0)*VLOOKUP('Données projet'!$B$11,Paramètres!$A$1:$I$89,5,0)</f>
        <v>-3.0859155231155454E-13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469.68830256438338</v>
      </c>
      <c r="BJ185" s="59">
        <f t="shared" si="146"/>
        <v>332.61387922152159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0.11869322167746009</v>
      </c>
      <c r="BQ185" s="21">
        <f>EXP(-LN(2)/25)*BQ184+(1-EXP(-LN(2)/25))/(LN(2)/25)*Calculateur!BL185*Calculateur!BN185*VLOOKUP('Données projet'!$B$11,Paramètres!$A$1:$I$89,3,0)*0.475*44/12</f>
        <v>0.16678432225653939</v>
      </c>
      <c r="BR185" s="21">
        <f>EXP(-LN(2)/2)*BR184+(1-EXP(-LN(2)/2))/(LN(2)/2)*BL185*BO185*VLOOKUP('Données projet'!$B$11,Paramètres!$A$1:$I$89,3,0)*0.475*44/12</f>
        <v>2.8525603704587621E-22</v>
      </c>
      <c r="BS185" s="22">
        <f t="shared" si="169"/>
        <v>0.28547754393399949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1.1368683772161603E-13</v>
      </c>
      <c r="BZ185" s="13">
        <f>BY185*VLOOKUP('Données projet'!$B$12,Paramètres!$A$1:$I$89,3,0)*VLOOKUP('Données projet'!$B$12,Paramètres!$A$1:$I$89,5,0)</f>
        <v>1.0818439477588981E-13</v>
      </c>
      <c r="CA185" s="13">
        <f t="shared" si="170"/>
        <v>1.6104228458716316E-12</v>
      </c>
      <c r="CB185" s="20">
        <f t="shared" si="171"/>
        <v>2.9932409441277661E-12</v>
      </c>
      <c r="CC185" s="59">
        <f t="shared" si="119"/>
        <v>293.33333333333633</v>
      </c>
      <c r="CD185" s="59">
        <f ca="1">AVERAGE(OFFSET($CC$3,0,0,'Données projet'!$E$12+1,1))-AVERAGE(OFFSET($H$3,0,0,'Données projet'!$E$12+1,1))</f>
        <v>609.40025883662452</v>
      </c>
      <c r="CE185" s="59">
        <f t="shared" si="148"/>
        <v>294.48909834404577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5.8277688875390608E-2</v>
      </c>
      <c r="CM185" s="21">
        <f>EXP(-LN(2)/2)*CM184+(1-EXP(-LN(2)/2))/(LN(2)/2)*CG185*CJ185*VLOOKUP('Données projet'!$B$12,Paramètres!$A$1:$I$89,3,0)*0.475*44/12</f>
        <v>1.0397695841375897E-22</v>
      </c>
      <c r="CN185" s="22">
        <f t="shared" si="172"/>
        <v>5.8277688875390608E-2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-1.1368683772161603E-13</v>
      </c>
      <c r="CU185" s="17">
        <f>CT185*VLOOKUP('Données projet'!$B$13,Paramètres!$A$1:$I$89,3,0)*VLOOKUP('Données projet'!$B$13,Paramètres!$A$1:$I$89,5,0)</f>
        <v>-5.3205440053716299E-14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346.16623654404509</v>
      </c>
      <c r="CZ185" s="59">
        <f t="shared" si="150"/>
        <v>281.80933156559087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0.15447183773185555</v>
      </c>
      <c r="DG185" s="21">
        <f>EXP(-LN(2)/25)*DG184+(1-EXP(-LN(2)/25))/(LN(2)/25)*Calculateur!DB185*Calculateur!DD185*VLOOKUP('Données projet'!$B$13,Paramètres!$A$1:$I$89,3,0)*0.475*44/12</f>
        <v>0.11612065813555683</v>
      </c>
      <c r="DH185" s="21">
        <f>EXP(-LN(2)/2)*DH184+(1-EXP(-LN(2)/2))/(LN(2)/2)*DB185*DE185*VLOOKUP('Données projet'!$B$13,Paramètres!$A$1:$I$89,3,0)*0.475*44/12</f>
        <v>1.3012777221921136E-22</v>
      </c>
      <c r="DI185" s="22">
        <f t="shared" si="175"/>
        <v>0.27059249586741241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6.2527760746888816E-13</v>
      </c>
      <c r="DP185" s="17">
        <f>DO185*VLOOKUP('Données projet'!$B$14,Paramètres!$A$1:$I$89,3,0)*VLOOKUP('Données projet'!$B$14,Paramètres!$A$1:$I$89,5,0)</f>
        <v>3.9017322706058616E-13</v>
      </c>
      <c r="DQ185" s="13">
        <f t="shared" si="176"/>
        <v>5.0025007393608908E-12</v>
      </c>
      <c r="DR185" s="20">
        <f t="shared" si="177"/>
        <v>9.3922404915174053E-12</v>
      </c>
      <c r="DS185" s="59">
        <f t="shared" si="125"/>
        <v>293.33333333334269</v>
      </c>
      <c r="DT185" s="59">
        <f ca="1">AVERAGE(OFFSET($DS$3,0,0,'Données projet'!$E$14+1,1))-AVERAGE(OFFSET($H$3,0,0,'Données projet'!$E$14+1,1))</f>
        <v>319.97171762304686</v>
      </c>
      <c r="DU185" s="59">
        <f t="shared" si="152"/>
        <v>337.89345858359621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0.34265885969435167</v>
      </c>
      <c r="EB185" s="21">
        <f>EXP(-LN(2)/25)*EB184+(1-EXP(-LN(2)/25))/(LN(2)/25)*Calculateur!DW185*Calculateur!DY185*VLOOKUP('Données projet'!$B$14,Paramètres!$A$1:$I$89,3,0)*0.475*44/12</f>
        <v>0.30728999618706387</v>
      </c>
      <c r="EC185" s="21">
        <f>EXP(-LN(2)/2)*EC184+(1-EXP(-LN(2)/2))/(LN(2)/2)*DW185*DZ185*VLOOKUP('Données projet'!$B$14,Paramètres!$A$1:$I$89,3,0)*0.475*44/12</f>
        <v>2.6722321818093164E-22</v>
      </c>
      <c r="ED185" s="22">
        <f t="shared" si="178"/>
        <v>0.64994885588141549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>
        <f>EJ185*VLOOKUP('Données projet'!$B$15,Paramètres!$A$1:$I$89,3,0)*VLOOKUP('Données projet'!$B$15,Paramètres!$A$1:$I$89,5,0)</f>
        <v>0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258.46015871559956</v>
      </c>
      <c r="EP185" s="59">
        <f t="shared" si="154"/>
        <v>280.26155987300996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0.30613969915977901</v>
      </c>
      <c r="EW185" s="21">
        <f>EXP(-LN(2)/25)*EW184+(1-EXP(-LN(2)/25))/(LN(2)/25)*Calculateur!ER185*Calculateur!ET185*VLOOKUP('Données projet'!$B$15,Paramètres!$A$1:$I$89,3,0)*0.475*44/12</f>
        <v>0.18227696008337091</v>
      </c>
      <c r="EX185" s="21">
        <f>EXP(-LN(2)/2)*EX184+(1-EXP(-LN(2)/2))/(LN(2)/2)*ER185*EU185*VLOOKUP('Données projet'!$B$15,Paramètres!$A$1:$I$89,3,0)*0.475*44/12</f>
        <v>7.2073138460192388E-23</v>
      </c>
      <c r="EY185" s="22">
        <f t="shared" si="181"/>
        <v>0.48841665924314992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243.00000000000017</v>
      </c>
      <c r="O186" s="13">
        <f>N186*VLOOKUP('Données projet'!$B$9,Paramètres!$A$1:$I$89,3,0)*VLOOKUP('Données projet'!$B$9,Paramètres!$A$1:$I$89,5,0)</f>
        <v>212.28480000000016</v>
      </c>
      <c r="P186" s="13">
        <f t="shared" si="141"/>
        <v>52.434557099704236</v>
      </c>
      <c r="Q186" s="20">
        <f t="shared" si="162"/>
        <v>461.0528802819851</v>
      </c>
      <c r="R186" s="59">
        <f t="shared" si="109"/>
        <v>754.38621361531841</v>
      </c>
      <c r="S186" s="59">
        <f ca="1">AVERAGE(OFFSET($R$3,0,0,'Données projet'!$E$9+1,1))-AVERAGE(OFFSET($H$3,0,0,'Données projet'!$E$9+1,1))</f>
        <v>368.41876532159154</v>
      </c>
      <c r="T186" s="59">
        <f t="shared" si="142"/>
        <v>369.39570124551125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0.29753131472338512</v>
      </c>
      <c r="AA186" s="21">
        <f>EXP(-LN(2)/25)*AA185+(1-EXP(-LN(2)/25))/(LN(2)/25)*Calculateur!V186*Calculateur!X186*VLOOKUP('Données projet'!$B$9,Paramètres!$A$1:$I$89,3,0)*0.475*44/12</f>
        <v>0.23322444565777092</v>
      </c>
      <c r="AB186" s="21">
        <f>EXP(-LN(2)/2)*AB185+(1-EXP(-LN(2)/2))/(LN(2)/2)*V186*Y186*VLOOKUP('Données projet'!$B$9,Paramètres!$A$1:$I$89,3,0)*0.475*44/12</f>
        <v>1.6630619102298519E-22</v>
      </c>
      <c r="AC186" s="22">
        <f t="shared" si="163"/>
        <v>0.53075576038115602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-5.1159076974727213E-13</v>
      </c>
      <c r="AJ186" s="13">
        <f>AI186*VLOOKUP('Données projet'!$B$10,Paramètres!$A$1:$I$89,3,0)*VLOOKUP('Données projet'!$B$10,Paramètres!$A$1:$I$89,5,0)</f>
        <v>-4.4692569645121704E-13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402.82278346470082</v>
      </c>
      <c r="AO186" s="59">
        <f t="shared" si="144"/>
        <v>440.17787299198977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0.17310217369104411</v>
      </c>
      <c r="AV186" s="21">
        <f>EXP(-LN(2)/25)*AV185+(1-EXP(-LN(2)/25))/(LN(2)/25)*Calculateur!AQ186*Calculateur!AS186*VLOOKUP('Données projet'!$B$10,Paramètres!$A$1:$I$89,3,0)*0.475*44/12</f>
        <v>0.32395390970982196</v>
      </c>
      <c r="AW186" s="21">
        <f>EXP(-LN(2)/2)*AW185+(1-EXP(-LN(2)/2))/(LN(2)/2)*AQ186*AT186*VLOOKUP('Données projet'!$B$10,Paramètres!$A$1:$I$89,3,0)*0.475*44/12</f>
        <v>2.4702459668184401E-22</v>
      </c>
      <c r="AX186" s="21">
        <f t="shared" si="166"/>
        <v>0.49705608340086604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-3.4106051316484809E-13</v>
      </c>
      <c r="BE186" s="13">
        <f>BD186*VLOOKUP('Données projet'!$B$11,Paramètres!$A$1:$I$89,3,0)*VLOOKUP('Données projet'!$B$11,Paramètres!$A$1:$I$89,5,0)</f>
        <v>-3.0859155231155454E-13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469.68830256438338</v>
      </c>
      <c r="BJ186" s="59">
        <f t="shared" si="146"/>
        <v>332.61387922152159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0.11636571999608183</v>
      </c>
      <c r="BQ186" s="21">
        <f>EXP(-LN(2)/25)*BQ185+(1-EXP(-LN(2)/25))/(LN(2)/25)*Calculateur!BL186*Calculateur!BN186*VLOOKUP('Données projet'!$B$11,Paramètres!$A$1:$I$89,3,0)*0.475*44/12</f>
        <v>0.162223596193628</v>
      </c>
      <c r="BR186" s="21">
        <f>EXP(-LN(2)/2)*BR185+(1-EXP(-LN(2)/2))/(LN(2)/2)*BL186*BO186*VLOOKUP('Données projet'!$B$11,Paramètres!$A$1:$I$89,3,0)*0.475*44/12</f>
        <v>2.0170647816954009E-22</v>
      </c>
      <c r="BS186" s="22">
        <f t="shared" si="169"/>
        <v>0.27858931618970983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1.1368683772161603E-13</v>
      </c>
      <c r="BZ186" s="13">
        <f>BY186*VLOOKUP('Données projet'!$B$12,Paramètres!$A$1:$I$89,3,0)*VLOOKUP('Données projet'!$B$12,Paramètres!$A$1:$I$89,5,0)</f>
        <v>1.0818439477588981E-13</v>
      </c>
      <c r="CA186" s="13">
        <f t="shared" si="170"/>
        <v>1.6104228458716316E-12</v>
      </c>
      <c r="CB186" s="20">
        <f t="shared" si="171"/>
        <v>2.9932409441277661E-12</v>
      </c>
      <c r="CC186" s="59">
        <f t="shared" si="119"/>
        <v>293.33333333333633</v>
      </c>
      <c r="CD186" s="59">
        <f ca="1">AVERAGE(OFFSET($CC$3,0,0,'Données projet'!$E$12+1,1))-AVERAGE(OFFSET($H$3,0,0,'Données projet'!$E$12+1,1))</f>
        <v>609.40025883662452</v>
      </c>
      <c r="CE186" s="59">
        <f t="shared" si="148"/>
        <v>294.48909834404577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5.6684082408402586E-2</v>
      </c>
      <c r="CM186" s="21">
        <f>EXP(-LN(2)/2)*CM185+(1-EXP(-LN(2)/2))/(LN(2)/2)*CG186*CJ186*VLOOKUP('Données projet'!$B$12,Paramètres!$A$1:$I$89,3,0)*0.475*44/12</f>
        <v>7.3522812381520617E-23</v>
      </c>
      <c r="CN186" s="22">
        <f t="shared" si="172"/>
        <v>5.6684082408402586E-2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-1.1368683772161603E-13</v>
      </c>
      <c r="CU186" s="17">
        <f>CT186*VLOOKUP('Données projet'!$B$13,Paramètres!$A$1:$I$89,3,0)*VLOOKUP('Données projet'!$B$13,Paramètres!$A$1:$I$89,5,0)</f>
        <v>-5.3205440053716299E-14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346.16623654404509</v>
      </c>
      <c r="CZ186" s="59">
        <f t="shared" si="150"/>
        <v>281.80933156559087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0.15144273921245158</v>
      </c>
      <c r="DG186" s="21">
        <f>EXP(-LN(2)/25)*DG185+(1-EXP(-LN(2)/25))/(LN(2)/25)*Calculateur!DB186*Calculateur!DD186*VLOOKUP('Données projet'!$B$13,Paramètres!$A$1:$I$89,3,0)*0.475*44/12</f>
        <v>0.11294533263232001</v>
      </c>
      <c r="DH186" s="21">
        <f>EXP(-LN(2)/2)*DH185+(1-EXP(-LN(2)/2))/(LN(2)/2)*DB186*DE186*VLOOKUP('Données projet'!$B$13,Paramètres!$A$1:$I$89,3,0)*0.475*44/12</f>
        <v>9.2014230156902789E-23</v>
      </c>
      <c r="DI186" s="22">
        <f t="shared" si="175"/>
        <v>0.26438807184477159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6.2527760746888816E-13</v>
      </c>
      <c r="DP186" s="17">
        <f>DO186*VLOOKUP('Données projet'!$B$14,Paramètres!$A$1:$I$89,3,0)*VLOOKUP('Données projet'!$B$14,Paramètres!$A$1:$I$89,5,0)</f>
        <v>3.9017322706058616E-13</v>
      </c>
      <c r="DQ186" s="13">
        <f t="shared" si="176"/>
        <v>5.0025007393608908E-12</v>
      </c>
      <c r="DR186" s="20">
        <f t="shared" si="177"/>
        <v>9.3922404915174053E-12</v>
      </c>
      <c r="DS186" s="59">
        <f t="shared" si="125"/>
        <v>293.33333333334269</v>
      </c>
      <c r="DT186" s="59">
        <f ca="1">AVERAGE(OFFSET($DS$3,0,0,'Données projet'!$E$14+1,1))-AVERAGE(OFFSET($H$3,0,0,'Données projet'!$E$14+1,1))</f>
        <v>319.97171762304686</v>
      </c>
      <c r="DU186" s="59">
        <f t="shared" si="152"/>
        <v>337.89345858359621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0.33593952845701269</v>
      </c>
      <c r="EB186" s="21">
        <f>EXP(-LN(2)/25)*EB185+(1-EXP(-LN(2)/25))/(LN(2)/25)*Calculateur!DW186*Calculateur!DY186*VLOOKUP('Données projet'!$B$14,Paramètres!$A$1:$I$89,3,0)*0.475*44/12</f>
        <v>0.29888713508165005</v>
      </c>
      <c r="EC186" s="21">
        <f>EXP(-LN(2)/2)*EC185+(1-EXP(-LN(2)/2))/(LN(2)/2)*DW186*DZ186*VLOOKUP('Données projet'!$B$14,Paramètres!$A$1:$I$89,3,0)*0.475*44/12</f>
        <v>1.8895534966622908E-22</v>
      </c>
      <c r="ED186" s="22">
        <f t="shared" si="178"/>
        <v>0.63482666353866279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>
        <f>EJ186*VLOOKUP('Données projet'!$B$15,Paramètres!$A$1:$I$89,3,0)*VLOOKUP('Données projet'!$B$15,Paramètres!$A$1:$I$89,5,0)</f>
        <v>0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258.46015871559956</v>
      </c>
      <c r="EP186" s="59">
        <f t="shared" si="154"/>
        <v>280.26155987300996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0.30013648638603452</v>
      </c>
      <c r="EW186" s="21">
        <f>EXP(-LN(2)/25)*EW185+(1-EXP(-LN(2)/25))/(LN(2)/25)*Calculateur!ER186*Calculateur!ET186*VLOOKUP('Données projet'!$B$15,Paramètres!$A$1:$I$89,3,0)*0.475*44/12</f>
        <v>0.1772925870243624</v>
      </c>
      <c r="EX186" s="21">
        <f>EXP(-LN(2)/2)*EX185+(1-EXP(-LN(2)/2))/(LN(2)/2)*ER186*EU186*VLOOKUP('Données projet'!$B$15,Paramètres!$A$1:$I$89,3,0)*0.475*44/12</f>
        <v>5.0963404946599002E-23</v>
      </c>
      <c r="EY186" s="22">
        <f t="shared" si="181"/>
        <v>0.47742907341039692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243.00000000000017</v>
      </c>
      <c r="O187" s="13">
        <f>N187*VLOOKUP('Données projet'!$B$9,Paramètres!$A$1:$I$89,3,0)*VLOOKUP('Données projet'!$B$9,Paramètres!$A$1:$I$89,5,0)</f>
        <v>212.28480000000016</v>
      </c>
      <c r="P187" s="13">
        <f t="shared" si="141"/>
        <v>52.434557099704236</v>
      </c>
      <c r="Q187" s="20">
        <f t="shared" si="162"/>
        <v>461.0528802819851</v>
      </c>
      <c r="R187" s="59">
        <f t="shared" si="109"/>
        <v>754.38621361531841</v>
      </c>
      <c r="S187" s="59">
        <f ca="1">AVERAGE(OFFSET($R$3,0,0,'Données projet'!$E$9+1,1))-AVERAGE(OFFSET($H$3,0,0,'Données projet'!$E$9+1,1))</f>
        <v>368.41876532159154</v>
      </c>
      <c r="T187" s="59">
        <f t="shared" si="142"/>
        <v>369.39570124551125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0.29169690711784224</v>
      </c>
      <c r="AA187" s="21">
        <f>EXP(-LN(2)/25)*AA186+(1-EXP(-LN(2)/25))/(LN(2)/25)*Calculateur!V187*Calculateur!X187*VLOOKUP('Données projet'!$B$9,Paramètres!$A$1:$I$89,3,0)*0.475*44/12</f>
        <v>0.22684691092651862</v>
      </c>
      <c r="AB187" s="21">
        <f>EXP(-LN(2)/2)*AB186+(1-EXP(-LN(2)/2))/(LN(2)/2)*V187*Y187*VLOOKUP('Données projet'!$B$9,Paramètres!$A$1:$I$89,3,0)*0.475*44/12</f>
        <v>1.1759623542565816E-22</v>
      </c>
      <c r="AC187" s="22">
        <f t="shared" si="163"/>
        <v>0.51854381804436089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-5.1159076974727213E-13</v>
      </c>
      <c r="AJ187" s="13">
        <f>AI187*VLOOKUP('Données projet'!$B$10,Paramètres!$A$1:$I$89,3,0)*VLOOKUP('Données projet'!$B$10,Paramètres!$A$1:$I$89,5,0)</f>
        <v>-4.4692569645121704E-13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402.82278346470082</v>
      </c>
      <c r="AO187" s="59">
        <f t="shared" si="144"/>
        <v>440.17787299198977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0.16970774564686333</v>
      </c>
      <c r="AV187" s="21">
        <f>EXP(-LN(2)/25)*AV186+(1-EXP(-LN(2)/25))/(LN(2)/25)*Calculateur!AQ187*Calculateur!AS187*VLOOKUP('Données projet'!$B$10,Paramètres!$A$1:$I$89,3,0)*0.475*44/12</f>
        <v>0.31509537301281115</v>
      </c>
      <c r="AW187" s="21">
        <f>EXP(-LN(2)/2)*AW186+(1-EXP(-LN(2)/2))/(LN(2)/2)*AQ187*AT187*VLOOKUP('Données projet'!$B$10,Paramètres!$A$1:$I$89,3,0)*0.475*44/12</f>
        <v>1.7467276743360383E-22</v>
      </c>
      <c r="AX187" s="21">
        <f t="shared" si="166"/>
        <v>0.48480311865967451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-3.4106051316484809E-13</v>
      </c>
      <c r="BE187" s="13">
        <f>BD187*VLOOKUP('Données projet'!$B$11,Paramètres!$A$1:$I$89,3,0)*VLOOKUP('Données projet'!$B$11,Paramètres!$A$1:$I$89,5,0)</f>
        <v>-3.0859155231155454E-13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469.68830256438338</v>
      </c>
      <c r="BJ187" s="59">
        <f t="shared" si="146"/>
        <v>332.61387922152159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0.11408385920303957</v>
      </c>
      <c r="BQ187" s="21">
        <f>EXP(-LN(2)/25)*BQ186+(1-EXP(-LN(2)/25))/(LN(2)/25)*Calculateur!BL187*Calculateur!BN187*VLOOKUP('Données projet'!$B$11,Paramètres!$A$1:$I$89,3,0)*0.475*44/12</f>
        <v>0.15778758342474508</v>
      </c>
      <c r="BR187" s="21">
        <f>EXP(-LN(2)/2)*BR186+(1-EXP(-LN(2)/2))/(LN(2)/2)*BL187*BO187*VLOOKUP('Données projet'!$B$11,Paramètres!$A$1:$I$89,3,0)*0.475*44/12</f>
        <v>1.4262801852293811E-22</v>
      </c>
      <c r="BS187" s="22">
        <f t="shared" si="169"/>
        <v>0.27187144262778462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1.1368683772161603E-13</v>
      </c>
      <c r="BZ187" s="13">
        <f>BY187*VLOOKUP('Données projet'!$B$12,Paramètres!$A$1:$I$89,3,0)*VLOOKUP('Données projet'!$B$12,Paramètres!$A$1:$I$89,5,0)</f>
        <v>1.0818439477588981E-13</v>
      </c>
      <c r="CA187" s="13">
        <f t="shared" si="170"/>
        <v>1.6104228458716316E-12</v>
      </c>
      <c r="CB187" s="20">
        <f t="shared" si="171"/>
        <v>2.9932409441277661E-12</v>
      </c>
      <c r="CC187" s="59">
        <f t="shared" si="119"/>
        <v>293.33333333333633</v>
      </c>
      <c r="CD187" s="59">
        <f ca="1">AVERAGE(OFFSET($CC$3,0,0,'Données projet'!$E$12+1,1))-AVERAGE(OFFSET($H$3,0,0,'Données projet'!$E$12+1,1))</f>
        <v>609.40025883662452</v>
      </c>
      <c r="CE187" s="59">
        <f t="shared" si="148"/>
        <v>294.48909834404577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5.513405319405848E-2</v>
      </c>
      <c r="CM187" s="21">
        <f>EXP(-LN(2)/2)*CM186+(1-EXP(-LN(2)/2))/(LN(2)/2)*CG187*CJ187*VLOOKUP('Données projet'!$B$12,Paramètres!$A$1:$I$89,3,0)*0.475*44/12</f>
        <v>5.1988479206879489E-23</v>
      </c>
      <c r="CN187" s="22">
        <f t="shared" si="172"/>
        <v>5.513405319405848E-2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-1.1368683772161603E-13</v>
      </c>
      <c r="CU187" s="17">
        <f>CT187*VLOOKUP('Données projet'!$B$13,Paramètres!$A$1:$I$89,3,0)*VLOOKUP('Données projet'!$B$13,Paramètres!$A$1:$I$89,5,0)</f>
        <v>-5.3205440053716299E-14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346.16623654404509</v>
      </c>
      <c r="CZ187" s="59">
        <f t="shared" si="150"/>
        <v>281.80933156559087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0.14847303946744544</v>
      </c>
      <c r="DG187" s="21">
        <f>EXP(-LN(2)/25)*DG186+(1-EXP(-LN(2)/25))/(LN(2)/25)*Calculateur!DB187*Calculateur!DD187*VLOOKUP('Données projet'!$B$13,Paramètres!$A$1:$I$89,3,0)*0.475*44/12</f>
        <v>0.10985683657195232</v>
      </c>
      <c r="DH187" s="21">
        <f>EXP(-LN(2)/2)*DH186+(1-EXP(-LN(2)/2))/(LN(2)/2)*DB187*DE187*VLOOKUP('Données projet'!$B$13,Paramètres!$A$1:$I$89,3,0)*0.475*44/12</f>
        <v>6.5063886109605682E-23</v>
      </c>
      <c r="DI187" s="22">
        <f t="shared" si="175"/>
        <v>0.25832987603939778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6.2527760746888816E-13</v>
      </c>
      <c r="DP187" s="17">
        <f>DO187*VLOOKUP('Données projet'!$B$14,Paramètres!$A$1:$I$89,3,0)*VLOOKUP('Données projet'!$B$14,Paramètres!$A$1:$I$89,5,0)</f>
        <v>3.9017322706058616E-13</v>
      </c>
      <c r="DQ187" s="13">
        <f t="shared" si="176"/>
        <v>5.0025007393608908E-12</v>
      </c>
      <c r="DR187" s="20">
        <f t="shared" si="177"/>
        <v>9.3922404915174053E-12</v>
      </c>
      <c r="DS187" s="59">
        <f t="shared" si="125"/>
        <v>293.33333333334269</v>
      </c>
      <c r="DT187" s="59">
        <f ca="1">AVERAGE(OFFSET($DS$3,0,0,'Données projet'!$E$14+1,1))-AVERAGE(OFFSET($H$3,0,0,'Données projet'!$E$14+1,1))</f>
        <v>319.97171762304686</v>
      </c>
      <c r="DU187" s="59">
        <f t="shared" si="152"/>
        <v>337.89345858359621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0.32935195920685056</v>
      </c>
      <c r="EB187" s="21">
        <f>EXP(-LN(2)/25)*EB186+(1-EXP(-LN(2)/25))/(LN(2)/25)*Calculateur!DW187*Calculateur!DY187*VLOOKUP('Données projet'!$B$14,Paramètres!$A$1:$I$89,3,0)*0.475*44/12</f>
        <v>0.29071405065505102</v>
      </c>
      <c r="EC187" s="21">
        <f>EXP(-LN(2)/2)*EC186+(1-EXP(-LN(2)/2))/(LN(2)/2)*DW187*DZ187*VLOOKUP('Données projet'!$B$14,Paramètres!$A$1:$I$89,3,0)*0.475*44/12</f>
        <v>1.3361160909046582E-22</v>
      </c>
      <c r="ED187" s="22">
        <f t="shared" si="178"/>
        <v>0.62006600986190152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>
        <f>EJ187*VLOOKUP('Données projet'!$B$15,Paramètres!$A$1:$I$89,3,0)*VLOOKUP('Données projet'!$B$15,Paramètres!$A$1:$I$89,5,0)</f>
        <v>0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258.46015871559956</v>
      </c>
      <c r="EP187" s="59">
        <f t="shared" si="154"/>
        <v>280.26155987300996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0.29425099295318491</v>
      </c>
      <c r="EW187" s="21">
        <f>EXP(-LN(2)/25)*EW186+(1-EXP(-LN(2)/25))/(LN(2)/25)*Calculateur!ER187*Calculateur!ET187*VLOOKUP('Données projet'!$B$15,Paramètres!$A$1:$I$89,3,0)*0.475*44/12</f>
        <v>0.17244451190876928</v>
      </c>
      <c r="EX187" s="21">
        <f>EXP(-LN(2)/2)*EX186+(1-EXP(-LN(2)/2))/(LN(2)/2)*ER187*EU187*VLOOKUP('Données projet'!$B$15,Paramètres!$A$1:$I$89,3,0)*0.475*44/12</f>
        <v>3.6036569230096194E-23</v>
      </c>
      <c r="EY187" s="22">
        <f t="shared" si="181"/>
        <v>0.46669550486195421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243.00000000000017</v>
      </c>
      <c r="O188" s="13">
        <f>N188*VLOOKUP('Données projet'!$B$9,Paramètres!$A$1:$I$89,3,0)*VLOOKUP('Données projet'!$B$9,Paramètres!$A$1:$I$89,5,0)</f>
        <v>212.28480000000016</v>
      </c>
      <c r="P188" s="13">
        <f t="shared" si="141"/>
        <v>52.434557099704236</v>
      </c>
      <c r="Q188" s="20">
        <f t="shared" si="162"/>
        <v>461.0528802819851</v>
      </c>
      <c r="R188" s="59">
        <f t="shared" si="109"/>
        <v>754.38621361531841</v>
      </c>
      <c r="S188" s="59">
        <f ca="1">AVERAGE(OFFSET($R$3,0,0,'Données projet'!$E$9+1,1))-AVERAGE(OFFSET($H$3,0,0,'Données projet'!$E$9+1,1))</f>
        <v>368.41876532159154</v>
      </c>
      <c r="T188" s="59">
        <f t="shared" si="142"/>
        <v>369.39570124551125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0.28597690868680681</v>
      </c>
      <c r="AA188" s="21">
        <f>EXP(-LN(2)/25)*AA187+(1-EXP(-LN(2)/25))/(LN(2)/25)*Calculateur!V188*Calculateur!X188*VLOOKUP('Données projet'!$B$9,Paramètres!$A$1:$I$89,3,0)*0.475*44/12</f>
        <v>0.2206437702178724</v>
      </c>
      <c r="AB188" s="21">
        <f>EXP(-LN(2)/2)*AB187+(1-EXP(-LN(2)/2))/(LN(2)/2)*V188*Y188*VLOOKUP('Données projet'!$B$9,Paramètres!$A$1:$I$89,3,0)*0.475*44/12</f>
        <v>8.3153095511492594E-23</v>
      </c>
      <c r="AC188" s="22">
        <f t="shared" si="163"/>
        <v>0.50662067890467921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-5.1159076974727213E-13</v>
      </c>
      <c r="AJ188" s="13">
        <f>AI188*VLOOKUP('Données projet'!$B$10,Paramètres!$A$1:$I$89,3,0)*VLOOKUP('Données projet'!$B$10,Paramètres!$A$1:$I$89,5,0)</f>
        <v>-4.4692569645121704E-13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402.82278346470082</v>
      </c>
      <c r="AO188" s="59">
        <f t="shared" si="144"/>
        <v>440.17787299198977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0.16637988026623227</v>
      </c>
      <c r="AV188" s="21">
        <f>EXP(-LN(2)/25)*AV187+(1-EXP(-LN(2)/25))/(LN(2)/25)*Calculateur!AQ188*Calculateur!AS188*VLOOKUP('Données projet'!$B$10,Paramètres!$A$1:$I$89,3,0)*0.475*44/12</f>
        <v>0.30647907346763031</v>
      </c>
      <c r="AW188" s="21">
        <f>EXP(-LN(2)/2)*AW187+(1-EXP(-LN(2)/2))/(LN(2)/2)*AQ188*AT188*VLOOKUP('Données projet'!$B$10,Paramètres!$A$1:$I$89,3,0)*0.475*44/12</f>
        <v>1.23512298340922E-22</v>
      </c>
      <c r="AX188" s="21">
        <f t="shared" si="166"/>
        <v>0.47285895373386255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-3.4106051316484809E-13</v>
      </c>
      <c r="BE188" s="13">
        <f>BD188*VLOOKUP('Données projet'!$B$11,Paramètres!$A$1:$I$89,3,0)*VLOOKUP('Données projet'!$B$11,Paramètres!$A$1:$I$89,5,0)</f>
        <v>-3.0859155231155454E-13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469.68830256438338</v>
      </c>
      <c r="BJ188" s="59">
        <f t="shared" si="146"/>
        <v>332.61387922152159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0.1118467443083512</v>
      </c>
      <c r="BQ188" s="21">
        <f>EXP(-LN(2)/25)*BQ187+(1-EXP(-LN(2)/25))/(LN(2)/25)*Calculateur!BL188*Calculateur!BN188*VLOOKUP('Données projet'!$B$11,Paramètres!$A$1:$I$89,3,0)*0.475*44/12</f>
        <v>0.15347287365830703</v>
      </c>
      <c r="BR188" s="21">
        <f>EXP(-LN(2)/2)*BR187+(1-EXP(-LN(2)/2))/(LN(2)/2)*BL188*BO188*VLOOKUP('Données projet'!$B$11,Paramètres!$A$1:$I$89,3,0)*0.475*44/12</f>
        <v>1.0085323908477004E-22</v>
      </c>
      <c r="BS188" s="22">
        <f t="shared" si="169"/>
        <v>0.26531961796665826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1.1368683772161603E-13</v>
      </c>
      <c r="BZ188" s="13">
        <f>BY188*VLOOKUP('Données projet'!$B$12,Paramètres!$A$1:$I$89,3,0)*VLOOKUP('Données projet'!$B$12,Paramètres!$A$1:$I$89,5,0)</f>
        <v>1.0818439477588981E-13</v>
      </c>
      <c r="CA188" s="13">
        <f t="shared" si="170"/>
        <v>1.6104228458716316E-12</v>
      </c>
      <c r="CB188" s="20">
        <f t="shared" si="171"/>
        <v>2.9932409441277661E-12</v>
      </c>
      <c r="CC188" s="59">
        <f t="shared" si="119"/>
        <v>293.33333333333633</v>
      </c>
      <c r="CD188" s="59">
        <f ca="1">AVERAGE(OFFSET($CC$3,0,0,'Données projet'!$E$12+1,1))-AVERAGE(OFFSET($H$3,0,0,'Données projet'!$E$12+1,1))</f>
        <v>609.40025883662452</v>
      </c>
      <c r="CE188" s="59">
        <f t="shared" si="148"/>
        <v>294.48909834404577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5.3626409610093101E-2</v>
      </c>
      <c r="CM188" s="21">
        <f>EXP(-LN(2)/2)*CM187+(1-EXP(-LN(2)/2))/(LN(2)/2)*CG188*CJ188*VLOOKUP('Données projet'!$B$12,Paramètres!$A$1:$I$89,3,0)*0.475*44/12</f>
        <v>3.6761406190760314E-23</v>
      </c>
      <c r="CN188" s="22">
        <f t="shared" si="172"/>
        <v>5.3626409610093101E-2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-1.1368683772161603E-13</v>
      </c>
      <c r="CU188" s="17">
        <f>CT188*VLOOKUP('Données projet'!$B$13,Paramètres!$A$1:$I$89,3,0)*VLOOKUP('Données projet'!$B$13,Paramètres!$A$1:$I$89,5,0)</f>
        <v>-5.3205440053716299E-14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346.16623654404509</v>
      </c>
      <c r="CZ188" s="59">
        <f t="shared" si="150"/>
        <v>281.80933156559087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0.14556157372310088</v>
      </c>
      <c r="DG188" s="21">
        <f>EXP(-LN(2)/25)*DG187+(1-EXP(-LN(2)/25))/(LN(2)/25)*Calculateur!DB188*Calculateur!DD188*VLOOKUP('Données projet'!$B$13,Paramètres!$A$1:$I$89,3,0)*0.475*44/12</f>
        <v>0.10685279559877232</v>
      </c>
      <c r="DH188" s="21">
        <f>EXP(-LN(2)/2)*DH187+(1-EXP(-LN(2)/2))/(LN(2)/2)*DB188*DE188*VLOOKUP('Données projet'!$B$13,Paramètres!$A$1:$I$89,3,0)*0.475*44/12</f>
        <v>4.6007115078451394E-23</v>
      </c>
      <c r="DI188" s="22">
        <f t="shared" si="175"/>
        <v>0.25241436932187322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6.2527760746888816E-13</v>
      </c>
      <c r="DP188" s="17">
        <f>DO188*VLOOKUP('Données projet'!$B$14,Paramètres!$A$1:$I$89,3,0)*VLOOKUP('Données projet'!$B$14,Paramètres!$A$1:$I$89,5,0)</f>
        <v>3.9017322706058616E-13</v>
      </c>
      <c r="DQ188" s="13">
        <f t="shared" si="176"/>
        <v>5.0025007393608908E-12</v>
      </c>
      <c r="DR188" s="20">
        <f t="shared" si="177"/>
        <v>9.3922404915174053E-12</v>
      </c>
      <c r="DS188" s="59">
        <f t="shared" si="125"/>
        <v>293.33333333334269</v>
      </c>
      <c r="DT188" s="59">
        <f ca="1">AVERAGE(OFFSET($DS$3,0,0,'Données projet'!$E$14+1,1))-AVERAGE(OFFSET($H$3,0,0,'Données projet'!$E$14+1,1))</f>
        <v>319.97171762304686</v>
      </c>
      <c r="DU188" s="59">
        <f t="shared" si="152"/>
        <v>337.89345858359621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0.32289356817166359</v>
      </c>
      <c r="EB188" s="21">
        <f>EXP(-LN(2)/25)*EB187+(1-EXP(-LN(2)/25))/(LN(2)/25)*Calculateur!DW188*Calculateur!DY188*VLOOKUP('Données projet'!$B$14,Paramètres!$A$1:$I$89,3,0)*0.475*44/12</f>
        <v>0.28276445965190117</v>
      </c>
      <c r="EC188" s="21">
        <f>EXP(-LN(2)/2)*EC187+(1-EXP(-LN(2)/2))/(LN(2)/2)*DW188*DZ188*VLOOKUP('Données projet'!$B$14,Paramètres!$A$1:$I$89,3,0)*0.475*44/12</f>
        <v>9.4477674833114541E-23</v>
      </c>
      <c r="ED188" s="22">
        <f t="shared" si="178"/>
        <v>0.60565802782356482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>
        <f>EJ188*VLOOKUP('Données projet'!$B$15,Paramètres!$A$1:$I$89,3,0)*VLOOKUP('Données projet'!$B$15,Paramètres!$A$1:$I$89,5,0)</f>
        <v>0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258.46015871559956</v>
      </c>
      <c r="EP188" s="59">
        <f t="shared" si="154"/>
        <v>280.26155987300996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0.28848091045675694</v>
      </c>
      <c r="EW188" s="21">
        <f>EXP(-LN(2)/25)*EW187+(1-EXP(-LN(2)/25))/(LN(2)/25)*Calculateur!ER188*Calculateur!ET188*VLOOKUP('Données projet'!$B$15,Paramètres!$A$1:$I$89,3,0)*0.475*44/12</f>
        <v>0.16772900766216123</v>
      </c>
      <c r="EX188" s="21">
        <f>EXP(-LN(2)/2)*EX187+(1-EXP(-LN(2)/2))/(LN(2)/2)*ER188*EU188*VLOOKUP('Données projet'!$B$15,Paramètres!$A$1:$I$89,3,0)*0.475*44/12</f>
        <v>2.5481702473299501E-23</v>
      </c>
      <c r="EY188" s="22">
        <f t="shared" si="181"/>
        <v>0.4562099181189182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243.00000000000017</v>
      </c>
      <c r="O189" s="13">
        <f>N189*VLOOKUP('Données projet'!$B$9,Paramètres!$A$1:$I$89,3,0)*VLOOKUP('Données projet'!$B$9,Paramètres!$A$1:$I$89,5,0)</f>
        <v>212.28480000000016</v>
      </c>
      <c r="P189" s="13">
        <f t="shared" si="141"/>
        <v>52.434557099704236</v>
      </c>
      <c r="Q189" s="20">
        <f t="shared" si="162"/>
        <v>461.0528802819851</v>
      </c>
      <c r="R189" s="59">
        <f t="shared" si="109"/>
        <v>754.38621361531841</v>
      </c>
      <c r="S189" s="59">
        <f ca="1">AVERAGE(OFFSET($R$3,0,0,'Données projet'!$E$9+1,1))-AVERAGE(OFFSET($H$3,0,0,'Données projet'!$E$9+1,1))</f>
        <v>368.41876532159154</v>
      </c>
      <c r="T189" s="59">
        <f t="shared" si="142"/>
        <v>369.39570124551125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0.2803690759361494</v>
      </c>
      <c r="AA189" s="21">
        <f>EXP(-LN(2)/25)*AA188+(1-EXP(-LN(2)/25))/(LN(2)/25)*Calculateur!V189*Calculateur!X189*VLOOKUP('Données projet'!$B$9,Paramètres!$A$1:$I$89,3,0)*0.475*44/12</f>
        <v>0.2146102547181131</v>
      </c>
      <c r="AB189" s="21">
        <f>EXP(-LN(2)/2)*AB188+(1-EXP(-LN(2)/2))/(LN(2)/2)*V189*Y189*VLOOKUP('Données projet'!$B$9,Paramètres!$A$1:$I$89,3,0)*0.475*44/12</f>
        <v>5.879811771282908E-23</v>
      </c>
      <c r="AC189" s="22">
        <f t="shared" si="163"/>
        <v>0.49497933065426247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-5.1159076974727213E-13</v>
      </c>
      <c r="AJ189" s="13">
        <f>AI189*VLOOKUP('Données projet'!$B$10,Paramètres!$A$1:$I$89,3,0)*VLOOKUP('Données projet'!$B$10,Paramètres!$A$1:$I$89,5,0)</f>
        <v>-4.4692569645121704E-13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402.82278346470082</v>
      </c>
      <c r="AO189" s="59">
        <f t="shared" si="144"/>
        <v>440.17787299198977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0.16311727229591794</v>
      </c>
      <c r="AV189" s="21">
        <f>EXP(-LN(2)/25)*AV188+(1-EXP(-LN(2)/25))/(LN(2)/25)*Calculateur!AQ189*Calculateur!AS189*VLOOKUP('Données projet'!$B$10,Paramètres!$A$1:$I$89,3,0)*0.475*44/12</f>
        <v>0.29809838708662395</v>
      </c>
      <c r="AW189" s="21">
        <f>EXP(-LN(2)/2)*AW188+(1-EXP(-LN(2)/2))/(LN(2)/2)*AQ189*AT189*VLOOKUP('Données projet'!$B$10,Paramètres!$A$1:$I$89,3,0)*0.475*44/12</f>
        <v>8.7336383716801913E-23</v>
      </c>
      <c r="AX189" s="21">
        <f t="shared" si="166"/>
        <v>0.46121565938254189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-3.4106051316484809E-13</v>
      </c>
      <c r="BE189" s="13">
        <f>BD189*VLOOKUP('Données projet'!$B$11,Paramètres!$A$1:$I$89,3,0)*VLOOKUP('Données projet'!$B$11,Paramètres!$A$1:$I$89,5,0)</f>
        <v>-3.0859155231155454E-13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469.68830256438338</v>
      </c>
      <c r="BJ189" s="59">
        <f t="shared" si="146"/>
        <v>332.61387922152159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0.10965349787224232</v>
      </c>
      <c r="BQ189" s="21">
        <f>EXP(-LN(2)/25)*BQ188+(1-EXP(-LN(2)/25))/(LN(2)/25)*Calculateur!BL189*Calculateur!BN189*VLOOKUP('Données projet'!$B$11,Paramètres!$A$1:$I$89,3,0)*0.475*44/12</f>
        <v>0.14927614985733295</v>
      </c>
      <c r="BR189" s="21">
        <f>EXP(-LN(2)/2)*BR188+(1-EXP(-LN(2)/2))/(LN(2)/2)*BL189*BO189*VLOOKUP('Données projet'!$B$11,Paramètres!$A$1:$I$89,3,0)*0.475*44/12</f>
        <v>7.1314009261469053E-23</v>
      </c>
      <c r="BS189" s="22">
        <f t="shared" si="169"/>
        <v>0.25892964772957527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1.1368683772161603E-13</v>
      </c>
      <c r="BZ189" s="13">
        <f>BY189*VLOOKUP('Données projet'!$B$12,Paramètres!$A$1:$I$89,3,0)*VLOOKUP('Données projet'!$B$12,Paramètres!$A$1:$I$89,5,0)</f>
        <v>1.0818439477588981E-13</v>
      </c>
      <c r="CA189" s="13">
        <f t="shared" si="170"/>
        <v>1.6104228458716316E-12</v>
      </c>
      <c r="CB189" s="20">
        <f t="shared" si="171"/>
        <v>2.9932409441277661E-12</v>
      </c>
      <c r="CC189" s="59">
        <f t="shared" si="119"/>
        <v>293.33333333333633</v>
      </c>
      <c r="CD189" s="59">
        <f ca="1">AVERAGE(OFFSET($CC$3,0,0,'Données projet'!$E$12+1,1))-AVERAGE(OFFSET($H$3,0,0,'Données projet'!$E$12+1,1))</f>
        <v>609.40025883662452</v>
      </c>
      <c r="CE189" s="59">
        <f t="shared" si="148"/>
        <v>294.48909834404577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5.2159992619214786E-2</v>
      </c>
      <c r="CM189" s="21">
        <f>EXP(-LN(2)/2)*CM188+(1-EXP(-LN(2)/2))/(LN(2)/2)*CG189*CJ189*VLOOKUP('Données projet'!$B$12,Paramètres!$A$1:$I$89,3,0)*0.475*44/12</f>
        <v>2.599423960343975E-23</v>
      </c>
      <c r="CN189" s="22">
        <f t="shared" si="172"/>
        <v>5.2159992619214786E-2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-1.1368683772161603E-13</v>
      </c>
      <c r="CU189" s="17">
        <f>CT189*VLOOKUP('Données projet'!$B$13,Paramètres!$A$1:$I$89,3,0)*VLOOKUP('Données projet'!$B$13,Paramètres!$A$1:$I$89,5,0)</f>
        <v>-5.3205440053716299E-14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346.16623654404509</v>
      </c>
      <c r="CZ189" s="59">
        <f t="shared" si="150"/>
        <v>281.80933156559087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0.14270720004618417</v>
      </c>
      <c r="DG189" s="21">
        <f>EXP(-LN(2)/25)*DG188+(1-EXP(-LN(2)/25))/(LN(2)/25)*Calculateur!DB189*Calculateur!DD189*VLOOKUP('Données projet'!$B$13,Paramètres!$A$1:$I$89,3,0)*0.475*44/12</f>
        <v>0.10393090028397958</v>
      </c>
      <c r="DH189" s="21">
        <f>EXP(-LN(2)/2)*DH188+(1-EXP(-LN(2)/2))/(LN(2)/2)*DB189*DE189*VLOOKUP('Données projet'!$B$13,Paramètres!$A$1:$I$89,3,0)*0.475*44/12</f>
        <v>3.2531943054802841E-23</v>
      </c>
      <c r="DI189" s="22">
        <f t="shared" si="175"/>
        <v>0.24663810033016376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6.2527760746888816E-13</v>
      </c>
      <c r="DP189" s="17">
        <f>DO189*VLOOKUP('Données projet'!$B$14,Paramètres!$A$1:$I$89,3,0)*VLOOKUP('Données projet'!$B$14,Paramètres!$A$1:$I$89,5,0)</f>
        <v>3.9017322706058616E-13</v>
      </c>
      <c r="DQ189" s="13">
        <f t="shared" si="176"/>
        <v>5.0025007393608908E-12</v>
      </c>
      <c r="DR189" s="20">
        <f t="shared" si="177"/>
        <v>9.3922404915174053E-12</v>
      </c>
      <c r="DS189" s="59">
        <f t="shared" si="125"/>
        <v>293.33333333334269</v>
      </c>
      <c r="DT189" s="59">
        <f ca="1">AVERAGE(OFFSET($DS$3,0,0,'Données projet'!$E$14+1,1))-AVERAGE(OFFSET($H$3,0,0,'Données projet'!$E$14+1,1))</f>
        <v>319.97171762304686</v>
      </c>
      <c r="DU189" s="59">
        <f t="shared" si="152"/>
        <v>337.89345858359621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0.3165618222454471</v>
      </c>
      <c r="EB189" s="21">
        <f>EXP(-LN(2)/25)*EB188+(1-EXP(-LN(2)/25))/(LN(2)/25)*Calculateur!DW189*Calculateur!DY189*VLOOKUP('Données projet'!$B$14,Paramètres!$A$1:$I$89,3,0)*0.475*44/12</f>
        <v>0.27503225063278325</v>
      </c>
      <c r="EC189" s="21">
        <f>EXP(-LN(2)/2)*EC188+(1-EXP(-LN(2)/2))/(LN(2)/2)*DW189*DZ189*VLOOKUP('Données projet'!$B$14,Paramètres!$A$1:$I$89,3,0)*0.475*44/12</f>
        <v>6.6805804545232911E-23</v>
      </c>
      <c r="ED189" s="22">
        <f t="shared" si="178"/>
        <v>0.59159407287823029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>
        <f>EJ189*VLOOKUP('Données projet'!$B$15,Paramètres!$A$1:$I$89,3,0)*VLOOKUP('Données projet'!$B$15,Paramètres!$A$1:$I$89,5,0)</f>
        <v>0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258.46015871559956</v>
      </c>
      <c r="EP189" s="59">
        <f t="shared" si="154"/>
        <v>280.26155987300996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0.28282397575868112</v>
      </c>
      <c r="EW189" s="21">
        <f>EXP(-LN(2)/25)*EW188+(1-EXP(-LN(2)/25))/(LN(2)/25)*Calculateur!ER189*Calculateur!ET189*VLOOKUP('Données projet'!$B$15,Paramètres!$A$1:$I$89,3,0)*0.475*44/12</f>
        <v>0.16314244912715425</v>
      </c>
      <c r="EX189" s="21">
        <f>EXP(-LN(2)/2)*EX188+(1-EXP(-LN(2)/2))/(LN(2)/2)*ER189*EU189*VLOOKUP('Données projet'!$B$15,Paramètres!$A$1:$I$89,3,0)*0.475*44/12</f>
        <v>1.8018284615048097E-23</v>
      </c>
      <c r="EY189" s="22">
        <f t="shared" si="181"/>
        <v>0.44596642488583538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243.00000000000017</v>
      </c>
      <c r="O190" s="13">
        <f>N190*VLOOKUP('Données projet'!$B$9,Paramètres!$A$1:$I$89,3,0)*VLOOKUP('Données projet'!$B$9,Paramètres!$A$1:$I$89,5,0)</f>
        <v>212.28480000000016</v>
      </c>
      <c r="P190" s="13">
        <f t="shared" si="141"/>
        <v>52.434557099704236</v>
      </c>
      <c r="Q190" s="20">
        <f t="shared" si="162"/>
        <v>461.0528802819851</v>
      </c>
      <c r="R190" s="59">
        <f t="shared" si="109"/>
        <v>754.38621361531841</v>
      </c>
      <c r="S190" s="59">
        <f ca="1">AVERAGE(OFFSET($R$3,0,0,'Données projet'!$E$9+1,1))-AVERAGE(OFFSET($H$3,0,0,'Données projet'!$E$9+1,1))</f>
        <v>368.41876532159154</v>
      </c>
      <c r="T190" s="59">
        <f t="shared" si="142"/>
        <v>369.39570124551125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0.27487120936529219</v>
      </c>
      <c r="AA190" s="21">
        <f>EXP(-LN(2)/25)*AA189+(1-EXP(-LN(2)/25))/(LN(2)/25)*Calculateur!V190*Calculateur!X190*VLOOKUP('Données projet'!$B$9,Paramètres!$A$1:$I$89,3,0)*0.475*44/12</f>
        <v>0.20874172601698349</v>
      </c>
      <c r="AB190" s="21">
        <f>EXP(-LN(2)/2)*AB189+(1-EXP(-LN(2)/2))/(LN(2)/2)*V190*Y190*VLOOKUP('Données projet'!$B$9,Paramètres!$A$1:$I$89,3,0)*0.475*44/12</f>
        <v>4.1576547755746297E-23</v>
      </c>
      <c r="AC190" s="22">
        <f t="shared" si="163"/>
        <v>0.48361293538227568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-5.1159076974727213E-13</v>
      </c>
      <c r="AJ190" s="13">
        <f>AI190*VLOOKUP('Données projet'!$B$10,Paramètres!$A$1:$I$89,3,0)*VLOOKUP('Données projet'!$B$10,Paramètres!$A$1:$I$89,5,0)</f>
        <v>-4.4692569645121704E-13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402.82278346470082</v>
      </c>
      <c r="AO190" s="59">
        <f t="shared" si="144"/>
        <v>440.17787299198977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0.1599186420779071</v>
      </c>
      <c r="AV190" s="21">
        <f>EXP(-LN(2)/25)*AV189+(1-EXP(-LN(2)/25))/(LN(2)/25)*Calculateur!AQ190*Calculateur!AS190*VLOOKUP('Données projet'!$B$10,Paramètres!$A$1:$I$89,3,0)*0.475*44/12</f>
        <v>0.28994687101542738</v>
      </c>
      <c r="AW190" s="21">
        <f>EXP(-LN(2)/2)*AW189+(1-EXP(-LN(2)/2))/(LN(2)/2)*AQ190*AT190*VLOOKUP('Données projet'!$B$10,Paramètres!$A$1:$I$89,3,0)*0.475*44/12</f>
        <v>6.1756149170461001E-23</v>
      </c>
      <c r="AX190" s="21">
        <f t="shared" si="166"/>
        <v>0.44986551309333445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-3.4106051316484809E-13</v>
      </c>
      <c r="BE190" s="13">
        <f>BD190*VLOOKUP('Données projet'!$B$11,Paramètres!$A$1:$I$89,3,0)*VLOOKUP('Données projet'!$B$11,Paramètres!$A$1:$I$89,5,0)</f>
        <v>-3.0859155231155454E-13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469.68830256438338</v>
      </c>
      <c r="BJ190" s="59">
        <f t="shared" si="146"/>
        <v>332.61387922152159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0.1075032596609973</v>
      </c>
      <c r="BQ190" s="21">
        <f>EXP(-LN(2)/25)*BQ189+(1-EXP(-LN(2)/25))/(LN(2)/25)*Calculateur!BL190*Calculateur!BN190*VLOOKUP('Données projet'!$B$11,Paramètres!$A$1:$I$89,3,0)*0.475*44/12</f>
        <v>0.14519418568939263</v>
      </c>
      <c r="BR190" s="21">
        <f>EXP(-LN(2)/2)*BR189+(1-EXP(-LN(2)/2))/(LN(2)/2)*BL190*BO190*VLOOKUP('Données projet'!$B$11,Paramètres!$A$1:$I$89,3,0)*0.475*44/12</f>
        <v>5.0426619542385022E-23</v>
      </c>
      <c r="BS190" s="22">
        <f t="shared" si="169"/>
        <v>0.25269744535038996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1.1368683772161603E-13</v>
      </c>
      <c r="BZ190" s="13">
        <f>BY190*VLOOKUP('Données projet'!$B$12,Paramètres!$A$1:$I$89,3,0)*VLOOKUP('Données projet'!$B$12,Paramètres!$A$1:$I$89,5,0)</f>
        <v>1.0818439477588981E-13</v>
      </c>
      <c r="CA190" s="13">
        <f t="shared" si="170"/>
        <v>1.6104228458716316E-12</v>
      </c>
      <c r="CB190" s="20">
        <f t="shared" si="171"/>
        <v>2.9932409441277661E-12</v>
      </c>
      <c r="CC190" s="59">
        <f t="shared" si="119"/>
        <v>293.33333333333633</v>
      </c>
      <c r="CD190" s="59">
        <f ca="1">AVERAGE(OFFSET($CC$3,0,0,'Données projet'!$E$12+1,1))-AVERAGE(OFFSET($H$3,0,0,'Données projet'!$E$12+1,1))</f>
        <v>609.40025883662452</v>
      </c>
      <c r="CE190" s="59">
        <f t="shared" si="148"/>
        <v>294.48909834404577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5.0733674878067556E-2</v>
      </c>
      <c r="CM190" s="21">
        <f>EXP(-LN(2)/2)*CM189+(1-EXP(-LN(2)/2))/(LN(2)/2)*CG190*CJ190*VLOOKUP('Données projet'!$B$12,Paramètres!$A$1:$I$89,3,0)*0.475*44/12</f>
        <v>1.838070309538016E-23</v>
      </c>
      <c r="CN190" s="22">
        <f t="shared" si="172"/>
        <v>5.0733674878067556E-2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-1.1368683772161603E-13</v>
      </c>
      <c r="CU190" s="17">
        <f>CT190*VLOOKUP('Données projet'!$B$13,Paramètres!$A$1:$I$89,3,0)*VLOOKUP('Données projet'!$B$13,Paramètres!$A$1:$I$89,5,0)</f>
        <v>-5.3205440053716299E-14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346.16623654404509</v>
      </c>
      <c r="CZ190" s="59">
        <f t="shared" si="150"/>
        <v>281.80933156559087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0.13990879889607577</v>
      </c>
      <c r="DG190" s="21">
        <f>EXP(-LN(2)/25)*DG189+(1-EXP(-LN(2)/25))/(LN(2)/25)*Calculateur!DB190*Calculateur!DD190*VLOOKUP('Données projet'!$B$13,Paramètres!$A$1:$I$89,3,0)*0.475*44/12</f>
        <v>0.10108890435022565</v>
      </c>
      <c r="DH190" s="21">
        <f>EXP(-LN(2)/2)*DH189+(1-EXP(-LN(2)/2))/(LN(2)/2)*DB190*DE190*VLOOKUP('Données projet'!$B$13,Paramètres!$A$1:$I$89,3,0)*0.475*44/12</f>
        <v>2.3003557539225697E-23</v>
      </c>
      <c r="DI190" s="22">
        <f t="shared" si="175"/>
        <v>0.24099770324630143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6.2527760746888816E-13</v>
      </c>
      <c r="DP190" s="17">
        <f>DO190*VLOOKUP('Données projet'!$B$14,Paramètres!$A$1:$I$89,3,0)*VLOOKUP('Données projet'!$B$14,Paramètres!$A$1:$I$89,5,0)</f>
        <v>3.9017322706058616E-13</v>
      </c>
      <c r="DQ190" s="13">
        <f t="shared" si="176"/>
        <v>5.0025007393608908E-12</v>
      </c>
      <c r="DR190" s="20">
        <f t="shared" si="177"/>
        <v>9.3922404915174053E-12</v>
      </c>
      <c r="DS190" s="59">
        <f t="shared" si="125"/>
        <v>293.33333333334269</v>
      </c>
      <c r="DT190" s="59">
        <f ca="1">AVERAGE(OFFSET($DS$3,0,0,'Données projet'!$E$14+1,1))-AVERAGE(OFFSET($H$3,0,0,'Données projet'!$E$14+1,1))</f>
        <v>319.97171762304686</v>
      </c>
      <c r="DU190" s="59">
        <f t="shared" si="152"/>
        <v>337.89345858359621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0.31035423799486</v>
      </c>
      <c r="EB190" s="21">
        <f>EXP(-LN(2)/25)*EB189+(1-EXP(-LN(2)/25))/(LN(2)/25)*Calculateur!DW190*Calculateur!DY190*VLOOKUP('Données projet'!$B$14,Paramètres!$A$1:$I$89,3,0)*0.475*44/12</f>
        <v>0.26751147927591234</v>
      </c>
      <c r="EC190" s="21">
        <f>EXP(-LN(2)/2)*EC189+(1-EXP(-LN(2)/2))/(LN(2)/2)*DW190*DZ190*VLOOKUP('Données projet'!$B$14,Paramètres!$A$1:$I$89,3,0)*0.475*44/12</f>
        <v>4.7238837416557271E-23</v>
      </c>
      <c r="ED190" s="22">
        <f t="shared" si="178"/>
        <v>0.57786571727077241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>
        <f>EJ190*VLOOKUP('Données projet'!$B$15,Paramètres!$A$1:$I$89,3,0)*VLOOKUP('Données projet'!$B$15,Paramètres!$A$1:$I$89,5,0)</f>
        <v>0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258.46015871559956</v>
      </c>
      <c r="EP190" s="59">
        <f t="shared" si="154"/>
        <v>280.26155987300996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0.27727797009964511</v>
      </c>
      <c r="EW190" s="21">
        <f>EXP(-LN(2)/25)*EW189+(1-EXP(-LN(2)/25))/(LN(2)/25)*Calculateur!ER190*Calculateur!ET190*VLOOKUP('Données projet'!$B$15,Paramètres!$A$1:$I$89,3,0)*0.475*44/12</f>
        <v>0.15868131027648369</v>
      </c>
      <c r="EX190" s="21">
        <f>EXP(-LN(2)/2)*EX189+(1-EXP(-LN(2)/2))/(LN(2)/2)*ER190*EU190*VLOOKUP('Données projet'!$B$15,Paramètres!$A$1:$I$89,3,0)*0.475*44/12</f>
        <v>1.2740851236649751E-23</v>
      </c>
      <c r="EY190" s="22">
        <f t="shared" si="181"/>
        <v>0.4359592803761288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243.00000000000017</v>
      </c>
      <c r="O191" s="13">
        <f>N191*VLOOKUP('Données projet'!$B$9,Paramètres!$A$1:$I$89,3,0)*VLOOKUP('Données projet'!$B$9,Paramètres!$A$1:$I$89,5,0)</f>
        <v>212.28480000000016</v>
      </c>
      <c r="P191" s="13">
        <f t="shared" si="141"/>
        <v>52.434557099704236</v>
      </c>
      <c r="Q191" s="20">
        <f t="shared" si="162"/>
        <v>461.0528802819851</v>
      </c>
      <c r="R191" s="59">
        <f t="shared" si="109"/>
        <v>754.38621361531841</v>
      </c>
      <c r="S191" s="59">
        <f ca="1">AVERAGE(OFFSET($R$3,0,0,'Données projet'!$E$9+1,1))-AVERAGE(OFFSET($H$3,0,0,'Données projet'!$E$9+1,1))</f>
        <v>368.41876532159154</v>
      </c>
      <c r="T191" s="59">
        <f t="shared" si="142"/>
        <v>369.39570124551125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0.26948115260452199</v>
      </c>
      <c r="AA191" s="21">
        <f>EXP(-LN(2)/25)*AA190+(1-EXP(-LN(2)/25))/(LN(2)/25)*Calculateur!V191*Calculateur!X191*VLOOKUP('Données projet'!$B$9,Paramètres!$A$1:$I$89,3,0)*0.475*44/12</f>
        <v>0.2030336725417988</v>
      </c>
      <c r="AB191" s="21">
        <f>EXP(-LN(2)/2)*AB190+(1-EXP(-LN(2)/2))/(LN(2)/2)*V191*Y191*VLOOKUP('Données projet'!$B$9,Paramètres!$A$1:$I$89,3,0)*0.475*44/12</f>
        <v>2.939905885641454E-23</v>
      </c>
      <c r="AC191" s="22">
        <f t="shared" si="163"/>
        <v>0.47251482514632082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-5.1159076974727213E-13</v>
      </c>
      <c r="AJ191" s="13">
        <f>AI191*VLOOKUP('Données projet'!$B$10,Paramètres!$A$1:$I$89,3,0)*VLOOKUP('Données projet'!$B$10,Paramètres!$A$1:$I$89,5,0)</f>
        <v>-4.4692569645121704E-13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402.82278346470082</v>
      </c>
      <c r="AO191" s="59">
        <f t="shared" si="144"/>
        <v>440.17787299198977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0.15678273504749965</v>
      </c>
      <c r="AV191" s="21">
        <f>EXP(-LN(2)/25)*AV190+(1-EXP(-LN(2)/25))/(LN(2)/25)*Calculateur!AQ191*Calculateur!AS191*VLOOKUP('Données projet'!$B$10,Paramètres!$A$1:$I$89,3,0)*0.475*44/12</f>
        <v>0.28201825857986723</v>
      </c>
      <c r="AW191" s="21">
        <f>EXP(-LN(2)/2)*AW190+(1-EXP(-LN(2)/2))/(LN(2)/2)*AQ191*AT191*VLOOKUP('Données projet'!$B$10,Paramètres!$A$1:$I$89,3,0)*0.475*44/12</f>
        <v>4.3668191858400957E-23</v>
      </c>
      <c r="AX191" s="21">
        <f t="shared" si="166"/>
        <v>0.43880099362736691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-3.4106051316484809E-13</v>
      </c>
      <c r="BE191" s="13">
        <f>BD191*VLOOKUP('Données projet'!$B$11,Paramètres!$A$1:$I$89,3,0)*VLOOKUP('Données projet'!$B$11,Paramètres!$A$1:$I$89,5,0)</f>
        <v>-3.0859155231155454E-13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469.68830256438338</v>
      </c>
      <c r="BJ191" s="59">
        <f t="shared" si="146"/>
        <v>332.61387922152159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0.10539518630955899</v>
      </c>
      <c r="BQ191" s="21">
        <f>EXP(-LN(2)/25)*BQ190+(1-EXP(-LN(2)/25))/(LN(2)/25)*Calculateur!BL191*Calculateur!BN191*VLOOKUP('Données projet'!$B$11,Paramètres!$A$1:$I$89,3,0)*0.475*44/12</f>
        <v>0.1412238430462858</v>
      </c>
      <c r="BR191" s="21">
        <f>EXP(-LN(2)/2)*BR190+(1-EXP(-LN(2)/2))/(LN(2)/2)*BL191*BO191*VLOOKUP('Données projet'!$B$11,Paramètres!$A$1:$I$89,3,0)*0.475*44/12</f>
        <v>3.5657004630734526E-23</v>
      </c>
      <c r="BS191" s="22">
        <f t="shared" si="169"/>
        <v>0.24661902935584479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1.1368683772161603E-13</v>
      </c>
      <c r="BZ191" s="13">
        <f>BY191*VLOOKUP('Données projet'!$B$12,Paramètres!$A$1:$I$89,3,0)*VLOOKUP('Données projet'!$B$12,Paramètres!$A$1:$I$89,5,0)</f>
        <v>1.0818439477588981E-13</v>
      </c>
      <c r="CA191" s="13">
        <f t="shared" si="170"/>
        <v>1.6104228458716316E-12</v>
      </c>
      <c r="CB191" s="20">
        <f t="shared" si="171"/>
        <v>2.9932409441277661E-12</v>
      </c>
      <c r="CC191" s="59">
        <f t="shared" si="119"/>
        <v>293.33333333333633</v>
      </c>
      <c r="CD191" s="59">
        <f ca="1">AVERAGE(OFFSET($CC$3,0,0,'Données projet'!$E$12+1,1))-AVERAGE(OFFSET($H$3,0,0,'Données projet'!$E$12+1,1))</f>
        <v>609.40025883662452</v>
      </c>
      <c r="CE191" s="59">
        <f t="shared" si="148"/>
        <v>294.48909834404577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4.9346359870558791E-2</v>
      </c>
      <c r="CM191" s="21">
        <f>EXP(-LN(2)/2)*CM190+(1-EXP(-LN(2)/2))/(LN(2)/2)*CG191*CJ191*VLOOKUP('Données projet'!$B$12,Paramètres!$A$1:$I$89,3,0)*0.475*44/12</f>
        <v>1.2997119801719877E-23</v>
      </c>
      <c r="CN191" s="22">
        <f t="shared" si="172"/>
        <v>4.9346359870558791E-2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-1.1368683772161603E-13</v>
      </c>
      <c r="CU191" s="17">
        <f>CT191*VLOOKUP('Données projet'!$B$13,Paramètres!$A$1:$I$89,3,0)*VLOOKUP('Données projet'!$B$13,Paramètres!$A$1:$I$89,5,0)</f>
        <v>-5.3205440053716299E-14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346.16623654404509</v>
      </c>
      <c r="CZ191" s="59">
        <f t="shared" si="150"/>
        <v>281.80933156559087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0.13716527268566484</v>
      </c>
      <c r="DG191" s="21">
        <f>EXP(-LN(2)/25)*DG190+(1-EXP(-LN(2)/25))/(LN(2)/25)*Calculateur!DB191*Calculateur!DD191*VLOOKUP('Données projet'!$B$13,Paramètres!$A$1:$I$89,3,0)*0.475*44/12</f>
        <v>9.8324622944734291E-2</v>
      </c>
      <c r="DH191" s="21">
        <f>EXP(-LN(2)/2)*DH190+(1-EXP(-LN(2)/2))/(LN(2)/2)*DB191*DE191*VLOOKUP('Données projet'!$B$13,Paramètres!$A$1:$I$89,3,0)*0.475*44/12</f>
        <v>1.626597152740142E-23</v>
      </c>
      <c r="DI191" s="22">
        <f t="shared" si="175"/>
        <v>0.23548989563039913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6.2527760746888816E-13</v>
      </c>
      <c r="DP191" s="17">
        <f>DO191*VLOOKUP('Données projet'!$B$14,Paramètres!$A$1:$I$89,3,0)*VLOOKUP('Données projet'!$B$14,Paramètres!$A$1:$I$89,5,0)</f>
        <v>3.9017322706058616E-13</v>
      </c>
      <c r="DQ191" s="13">
        <f t="shared" si="176"/>
        <v>5.0025007393608908E-12</v>
      </c>
      <c r="DR191" s="20">
        <f t="shared" si="177"/>
        <v>9.3922404915174053E-12</v>
      </c>
      <c r="DS191" s="59">
        <f t="shared" si="125"/>
        <v>293.33333333334269</v>
      </c>
      <c r="DT191" s="59">
        <f ca="1">AVERAGE(OFFSET($DS$3,0,0,'Données projet'!$E$14+1,1))-AVERAGE(OFFSET($H$3,0,0,'Données projet'!$E$14+1,1))</f>
        <v>319.97171762304686</v>
      </c>
      <c r="DU191" s="59">
        <f t="shared" si="152"/>
        <v>337.89345858359621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0.30426838068517442</v>
      </c>
      <c r="EB191" s="21">
        <f>EXP(-LN(2)/25)*EB190+(1-EXP(-LN(2)/25))/(LN(2)/25)*Calculateur!DW191*Calculateur!DY191*VLOOKUP('Données projet'!$B$14,Paramètres!$A$1:$I$89,3,0)*0.475*44/12</f>
        <v>0.26019636380729522</v>
      </c>
      <c r="EC191" s="21">
        <f>EXP(-LN(2)/2)*EC190+(1-EXP(-LN(2)/2))/(LN(2)/2)*DW191*DZ191*VLOOKUP('Données projet'!$B$14,Paramètres!$A$1:$I$89,3,0)*0.475*44/12</f>
        <v>3.3402902272616456E-23</v>
      </c>
      <c r="ED191" s="22">
        <f t="shared" si="178"/>
        <v>0.56446474449246964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>
        <f>EJ191*VLOOKUP('Données projet'!$B$15,Paramètres!$A$1:$I$89,3,0)*VLOOKUP('Données projet'!$B$15,Paramètres!$A$1:$I$89,5,0)</f>
        <v>0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258.46015871559956</v>
      </c>
      <c r="EP191" s="59">
        <f t="shared" si="154"/>
        <v>280.26155987300996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0.27184071822885336</v>
      </c>
      <c r="EW191" s="21">
        <f>EXP(-LN(2)/25)*EW190+(1-EXP(-LN(2)/25))/(LN(2)/25)*Calculateur!ER191*Calculateur!ET191*VLOOKUP('Données projet'!$B$15,Paramètres!$A$1:$I$89,3,0)*0.475*44/12</f>
        <v>0.1543421615022858</v>
      </c>
      <c r="EX191" s="21">
        <f>EXP(-LN(2)/2)*EX190+(1-EXP(-LN(2)/2))/(LN(2)/2)*ER191*EU191*VLOOKUP('Données projet'!$B$15,Paramètres!$A$1:$I$89,3,0)*0.475*44/12</f>
        <v>9.0091423075240485E-24</v>
      </c>
      <c r="EY191" s="22">
        <f t="shared" si="181"/>
        <v>0.42618287973113916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243.00000000000017</v>
      </c>
      <c r="O192" s="13">
        <f>N192*VLOOKUP('Données projet'!$B$9,Paramètres!$A$1:$I$89,3,0)*VLOOKUP('Données projet'!$B$9,Paramètres!$A$1:$I$89,5,0)</f>
        <v>212.28480000000016</v>
      </c>
      <c r="P192" s="13">
        <f t="shared" si="141"/>
        <v>52.434557099704236</v>
      </c>
      <c r="Q192" s="20">
        <f t="shared" si="162"/>
        <v>461.0528802819851</v>
      </c>
      <c r="R192" s="59">
        <f t="shared" si="109"/>
        <v>754.38621361531841</v>
      </c>
      <c r="S192" s="59">
        <f ca="1">AVERAGE(OFFSET($R$3,0,0,'Données projet'!$E$9+1,1))-AVERAGE(OFFSET($H$3,0,0,'Données projet'!$E$9+1,1))</f>
        <v>368.41876532159154</v>
      </c>
      <c r="T192" s="59">
        <f t="shared" si="142"/>
        <v>369.39570124551125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0.26419679156922049</v>
      </c>
      <c r="AA192" s="21">
        <f>EXP(-LN(2)/25)*AA191+(1-EXP(-LN(2)/25))/(LN(2)/25)*Calculateur!V192*Calculateur!X192*VLOOKUP('Données projet'!$B$9,Paramètres!$A$1:$I$89,3,0)*0.475*44/12</f>
        <v>0.19748170608906651</v>
      </c>
      <c r="AB192" s="21">
        <f>EXP(-LN(2)/2)*AB191+(1-EXP(-LN(2)/2))/(LN(2)/2)*V192*Y192*VLOOKUP('Données projet'!$B$9,Paramètres!$A$1:$I$89,3,0)*0.475*44/12</f>
        <v>2.0788273877873148E-23</v>
      </c>
      <c r="AC192" s="22">
        <f t="shared" si="163"/>
        <v>0.461678497658287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-5.1159076974727213E-13</v>
      </c>
      <c r="AJ192" s="13">
        <f>AI192*VLOOKUP('Données projet'!$B$10,Paramètres!$A$1:$I$89,3,0)*VLOOKUP('Données projet'!$B$10,Paramètres!$A$1:$I$89,5,0)</f>
        <v>-4.4692569645121704E-13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402.82278346470082</v>
      </c>
      <c r="AO192" s="59">
        <f t="shared" si="144"/>
        <v>440.17787299198977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0.15370832124124409</v>
      </c>
      <c r="AV192" s="21">
        <f>EXP(-LN(2)/25)*AV191+(1-EXP(-LN(2)/25))/(LN(2)/25)*Calculateur!AQ192*Calculateur!AS192*VLOOKUP('Données projet'!$B$10,Paramètres!$A$1:$I$89,3,0)*0.475*44/12</f>
        <v>0.27430645446830509</v>
      </c>
      <c r="AW192" s="21">
        <f>EXP(-LN(2)/2)*AW191+(1-EXP(-LN(2)/2))/(LN(2)/2)*AQ192*AT192*VLOOKUP('Données projet'!$B$10,Paramètres!$A$1:$I$89,3,0)*0.475*44/12</f>
        <v>3.0878074585230501E-23</v>
      </c>
      <c r="AX192" s="21">
        <f t="shared" si="166"/>
        <v>0.42801477570954916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-3.4106051316484809E-13</v>
      </c>
      <c r="BE192" s="13">
        <f>BD192*VLOOKUP('Données projet'!$B$11,Paramètres!$A$1:$I$89,3,0)*VLOOKUP('Données projet'!$B$11,Paramètres!$A$1:$I$89,5,0)</f>
        <v>-3.0859155231155454E-13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469.68830256438338</v>
      </c>
      <c r="BJ192" s="59">
        <f t="shared" si="146"/>
        <v>332.61387922152159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0.1033284509907446</v>
      </c>
      <c r="BQ192" s="21">
        <f>EXP(-LN(2)/25)*BQ191+(1-EXP(-LN(2)/25))/(LN(2)/25)*Calculateur!BL192*Calculateur!BN192*VLOOKUP('Données projet'!$B$11,Paramètres!$A$1:$I$89,3,0)*0.475*44/12</f>
        <v>0.13736206963154599</v>
      </c>
      <c r="BR192" s="21">
        <f>EXP(-LN(2)/2)*BR191+(1-EXP(-LN(2)/2))/(LN(2)/2)*BL192*BO192*VLOOKUP('Données projet'!$B$11,Paramètres!$A$1:$I$89,3,0)*0.475*44/12</f>
        <v>2.5213309771192511E-23</v>
      </c>
      <c r="BS192" s="22">
        <f t="shared" si="169"/>
        <v>0.24069052062229057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1.1368683772161603E-13</v>
      </c>
      <c r="BZ192" s="13">
        <f>BY192*VLOOKUP('Données projet'!$B$12,Paramètres!$A$1:$I$89,3,0)*VLOOKUP('Données projet'!$B$12,Paramètres!$A$1:$I$89,5,0)</f>
        <v>1.0818439477588981E-13</v>
      </c>
      <c r="CA192" s="13">
        <f t="shared" si="170"/>
        <v>1.6104228458716316E-12</v>
      </c>
      <c r="CB192" s="20">
        <f t="shared" si="171"/>
        <v>2.9932409441277661E-12</v>
      </c>
      <c r="CC192" s="59">
        <f t="shared" si="119"/>
        <v>293.33333333333633</v>
      </c>
      <c r="CD192" s="59">
        <f ca="1">AVERAGE(OFFSET($CC$3,0,0,'Données projet'!$E$12+1,1))-AVERAGE(OFFSET($H$3,0,0,'Données projet'!$E$12+1,1))</f>
        <v>609.40025883662452</v>
      </c>
      <c r="CE192" s="59">
        <f t="shared" si="148"/>
        <v>294.48909834404577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4.7996981064886077E-2</v>
      </c>
      <c r="CM192" s="21">
        <f>EXP(-LN(2)/2)*CM191+(1-EXP(-LN(2)/2))/(LN(2)/2)*CG192*CJ192*VLOOKUP('Données projet'!$B$12,Paramètres!$A$1:$I$89,3,0)*0.475*44/12</f>
        <v>9.1903515476900815E-24</v>
      </c>
      <c r="CN192" s="22">
        <f t="shared" si="172"/>
        <v>4.7996981064886077E-2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-1.1368683772161603E-13</v>
      </c>
      <c r="CU192" s="17">
        <f>CT192*VLOOKUP('Données projet'!$B$13,Paramètres!$A$1:$I$89,3,0)*VLOOKUP('Données projet'!$B$13,Paramètres!$A$1:$I$89,5,0)</f>
        <v>-5.3205440053716299E-14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346.16623654404509</v>
      </c>
      <c r="CZ192" s="59">
        <f t="shared" si="150"/>
        <v>281.80933156559087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0.13447554535085429</v>
      </c>
      <c r="DG192" s="21">
        <f>EXP(-LN(2)/25)*DG191+(1-EXP(-LN(2)/25))/(LN(2)/25)*Calculateur!DB192*Calculateur!DD192*VLOOKUP('Données projet'!$B$13,Paramètres!$A$1:$I$89,3,0)*0.475*44/12</f>
        <v>9.5635930959643331E-2</v>
      </c>
      <c r="DH192" s="21">
        <f>EXP(-LN(2)/2)*DH191+(1-EXP(-LN(2)/2))/(LN(2)/2)*DB192*DE192*VLOOKUP('Données projet'!$B$13,Paramètres!$A$1:$I$89,3,0)*0.475*44/12</f>
        <v>1.1501778769612849E-23</v>
      </c>
      <c r="DI192" s="22">
        <f t="shared" si="175"/>
        <v>0.23011147631049761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6.2527760746888816E-13</v>
      </c>
      <c r="DP192" s="17">
        <f>DO192*VLOOKUP('Données projet'!$B$14,Paramètres!$A$1:$I$89,3,0)*VLOOKUP('Données projet'!$B$14,Paramètres!$A$1:$I$89,5,0)</f>
        <v>3.9017322706058616E-13</v>
      </c>
      <c r="DQ192" s="13">
        <f t="shared" si="176"/>
        <v>5.0025007393608908E-12</v>
      </c>
      <c r="DR192" s="20">
        <f t="shared" si="177"/>
        <v>9.3922404915174053E-12</v>
      </c>
      <c r="DS192" s="59">
        <f t="shared" si="125"/>
        <v>293.33333333334269</v>
      </c>
      <c r="DT192" s="59">
        <f ca="1">AVERAGE(OFFSET($DS$3,0,0,'Données projet'!$E$14+1,1))-AVERAGE(OFFSET($H$3,0,0,'Données projet'!$E$14+1,1))</f>
        <v>319.97171762304686</v>
      </c>
      <c r="DU192" s="59">
        <f t="shared" si="152"/>
        <v>337.89345858359621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0.29830186332532532</v>
      </c>
      <c r="EB192" s="21">
        <f>EXP(-LN(2)/25)*EB191+(1-EXP(-LN(2)/25))/(LN(2)/25)*Calculateur!DW192*Calculateur!DY192*VLOOKUP('Données projet'!$B$14,Paramètres!$A$1:$I$89,3,0)*0.475*44/12</f>
        <v>0.25308128055585266</v>
      </c>
      <c r="EC192" s="21">
        <f>EXP(-LN(2)/2)*EC191+(1-EXP(-LN(2)/2))/(LN(2)/2)*DW192*DZ192*VLOOKUP('Données projet'!$B$14,Paramètres!$A$1:$I$89,3,0)*0.475*44/12</f>
        <v>2.3619418708278635E-23</v>
      </c>
      <c r="ED192" s="22">
        <f t="shared" si="178"/>
        <v>0.55138314388117804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>
        <f>EJ192*VLOOKUP('Données projet'!$B$15,Paramètres!$A$1:$I$89,3,0)*VLOOKUP('Données projet'!$B$15,Paramètres!$A$1:$I$89,5,0)</f>
        <v>0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258.46015871559956</v>
      </c>
      <c r="EP192" s="59">
        <f t="shared" si="154"/>
        <v>280.26155987300996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0.26651008755085165</v>
      </c>
      <c r="EW192" s="21">
        <f>EXP(-LN(2)/25)*EW191+(1-EXP(-LN(2)/25))/(LN(2)/25)*Calculateur!ER192*Calculateur!ET192*VLOOKUP('Données projet'!$B$15,Paramètres!$A$1:$I$89,3,0)*0.475*44/12</f>
        <v>0.15012166697950427</v>
      </c>
      <c r="EX192" s="21">
        <f>EXP(-LN(2)/2)*EX191+(1-EXP(-LN(2)/2))/(LN(2)/2)*ER192*EU192*VLOOKUP('Données projet'!$B$15,Paramètres!$A$1:$I$89,3,0)*0.475*44/12</f>
        <v>6.3704256183248753E-24</v>
      </c>
      <c r="EY192" s="22">
        <f t="shared" si="181"/>
        <v>0.41663175453035595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243.00000000000017</v>
      </c>
      <c r="O193" s="13">
        <f>N193*VLOOKUP('Données projet'!$B$9,Paramètres!$A$1:$I$89,3,0)*VLOOKUP('Données projet'!$B$9,Paramètres!$A$1:$I$89,5,0)</f>
        <v>212.28480000000016</v>
      </c>
      <c r="P193" s="13">
        <f t="shared" si="141"/>
        <v>52.434557099704236</v>
      </c>
      <c r="Q193" s="20">
        <f t="shared" si="162"/>
        <v>461.0528802819851</v>
      </c>
      <c r="R193" s="59">
        <f t="shared" si="109"/>
        <v>754.38621361531841</v>
      </c>
      <c r="S193" s="59">
        <f ca="1">AVERAGE(OFFSET($R$3,0,0,'Données projet'!$E$9+1,1))-AVERAGE(OFFSET($H$3,0,0,'Données projet'!$E$9+1,1))</f>
        <v>368.41876532159154</v>
      </c>
      <c r="T193" s="59">
        <f t="shared" si="142"/>
        <v>369.39570124551125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0.25901605363067925</v>
      </c>
      <c r="AA193" s="21">
        <f>EXP(-LN(2)/25)*AA192+(1-EXP(-LN(2)/25))/(LN(2)/25)*Calculateur!V193*Calculateur!X193*VLOOKUP('Données projet'!$B$9,Paramètres!$A$1:$I$89,3,0)*0.475*44/12</f>
        <v>0.1920815584509494</v>
      </c>
      <c r="AB193" s="21">
        <f>EXP(-LN(2)/2)*AB192+(1-EXP(-LN(2)/2))/(LN(2)/2)*V193*Y193*VLOOKUP('Données projet'!$B$9,Paramètres!$A$1:$I$89,3,0)*0.475*44/12</f>
        <v>1.469952942820727E-23</v>
      </c>
      <c r="AC193" s="22">
        <f t="shared" si="163"/>
        <v>0.45109761208162868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-5.1159076974727213E-13</v>
      </c>
      <c r="AJ193" s="13">
        <f>AI193*VLOOKUP('Données projet'!$B$10,Paramètres!$A$1:$I$89,3,0)*VLOOKUP('Données projet'!$B$10,Paramètres!$A$1:$I$89,5,0)</f>
        <v>-4.4692569645121704E-13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402.82278346470082</v>
      </c>
      <c r="AO193" s="59">
        <f t="shared" si="144"/>
        <v>440.17787299198977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0.15069419481452193</v>
      </c>
      <c r="AV193" s="21">
        <f>EXP(-LN(2)/25)*AV192+(1-EXP(-LN(2)/25))/(LN(2)/25)*Calculateur!AQ193*Calculateur!AS193*VLOOKUP('Données projet'!$B$10,Paramètres!$A$1:$I$89,3,0)*0.475*44/12</f>
        <v>0.26680553004571977</v>
      </c>
      <c r="AW193" s="21">
        <f>EXP(-LN(2)/2)*AW192+(1-EXP(-LN(2)/2))/(LN(2)/2)*AQ193*AT193*VLOOKUP('Données projet'!$B$10,Paramètres!$A$1:$I$89,3,0)*0.475*44/12</f>
        <v>2.1834095929200478E-23</v>
      </c>
      <c r="AX193" s="21">
        <f t="shared" si="166"/>
        <v>0.41749972486024167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-3.4106051316484809E-13</v>
      </c>
      <c r="BE193" s="13">
        <f>BD193*VLOOKUP('Données projet'!$B$11,Paramètres!$A$1:$I$89,3,0)*VLOOKUP('Données projet'!$B$11,Paramètres!$A$1:$I$89,5,0)</f>
        <v>-3.0859155231155454E-13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469.68830256438338</v>
      </c>
      <c r="BJ193" s="59">
        <f t="shared" si="146"/>
        <v>332.61387922152159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0.10130224309094808</v>
      </c>
      <c r="BQ193" s="21">
        <f>EXP(-LN(2)/25)*BQ192+(1-EXP(-LN(2)/25))/(LN(2)/25)*Calculateur!BL193*Calculateur!BN193*VLOOKUP('Données projet'!$B$11,Paramètres!$A$1:$I$89,3,0)*0.475*44/12</f>
        <v>0.13360589661391406</v>
      </c>
      <c r="BR193" s="21">
        <f>EXP(-LN(2)/2)*BR192+(1-EXP(-LN(2)/2))/(LN(2)/2)*BL193*BO193*VLOOKUP('Données projet'!$B$11,Paramètres!$A$1:$I$89,3,0)*0.475*44/12</f>
        <v>1.7828502315367263E-23</v>
      </c>
      <c r="BS193" s="22">
        <f t="shared" si="169"/>
        <v>0.23490813970486213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1.1368683772161603E-13</v>
      </c>
      <c r="BZ193" s="13">
        <f>BY193*VLOOKUP('Données projet'!$B$12,Paramètres!$A$1:$I$89,3,0)*VLOOKUP('Données projet'!$B$12,Paramètres!$A$1:$I$89,5,0)</f>
        <v>1.0818439477588981E-13</v>
      </c>
      <c r="CA193" s="13">
        <f t="shared" si="170"/>
        <v>1.6104228458716316E-12</v>
      </c>
      <c r="CB193" s="20">
        <f t="shared" si="171"/>
        <v>2.9932409441277661E-12</v>
      </c>
      <c r="CC193" s="59">
        <f t="shared" si="119"/>
        <v>293.33333333333633</v>
      </c>
      <c r="CD193" s="59">
        <f ca="1">AVERAGE(OFFSET($CC$3,0,0,'Données projet'!$E$12+1,1))-AVERAGE(OFFSET($H$3,0,0,'Données projet'!$E$12+1,1))</f>
        <v>609.40025883662452</v>
      </c>
      <c r="CE193" s="59">
        <f t="shared" si="148"/>
        <v>294.48909834404577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4.668450109361523E-2</v>
      </c>
      <c r="CM193" s="21">
        <f>EXP(-LN(2)/2)*CM192+(1-EXP(-LN(2)/2))/(LN(2)/2)*CG193*CJ193*VLOOKUP('Données projet'!$B$12,Paramètres!$A$1:$I$89,3,0)*0.475*44/12</f>
        <v>6.498559900859939E-24</v>
      </c>
      <c r="CN193" s="22">
        <f t="shared" si="172"/>
        <v>4.668450109361523E-2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-1.1368683772161603E-13</v>
      </c>
      <c r="CU193" s="17">
        <f>CT193*VLOOKUP('Données projet'!$B$13,Paramètres!$A$1:$I$89,3,0)*VLOOKUP('Données projet'!$B$13,Paramètres!$A$1:$I$89,5,0)</f>
        <v>-5.3205440053716299E-14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346.16623654404509</v>
      </c>
      <c r="CZ193" s="59">
        <f t="shared" si="150"/>
        <v>281.80933156559087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0.13183856192850771</v>
      </c>
      <c r="DG193" s="21">
        <f>EXP(-LN(2)/25)*DG192+(1-EXP(-LN(2)/25))/(LN(2)/25)*Calculateur!DB193*Calculateur!DD193*VLOOKUP('Données projet'!$B$13,Paramètres!$A$1:$I$89,3,0)*0.475*44/12</f>
        <v>9.3020761398276849E-2</v>
      </c>
      <c r="DH193" s="21">
        <f>EXP(-LN(2)/2)*DH192+(1-EXP(-LN(2)/2))/(LN(2)/2)*DB193*DE193*VLOOKUP('Données projet'!$B$13,Paramètres!$A$1:$I$89,3,0)*0.475*44/12</f>
        <v>8.1329857637007102E-24</v>
      </c>
      <c r="DI193" s="22">
        <f t="shared" si="175"/>
        <v>0.22485932332678454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6.2527760746888816E-13</v>
      </c>
      <c r="DP193" s="17">
        <f>DO193*VLOOKUP('Données projet'!$B$14,Paramètres!$A$1:$I$89,3,0)*VLOOKUP('Données projet'!$B$14,Paramètres!$A$1:$I$89,5,0)</f>
        <v>3.9017322706058616E-13</v>
      </c>
      <c r="DQ193" s="13">
        <f t="shared" si="176"/>
        <v>5.0025007393608908E-12</v>
      </c>
      <c r="DR193" s="20">
        <f t="shared" si="177"/>
        <v>9.3922404915174053E-12</v>
      </c>
      <c r="DS193" s="59">
        <f t="shared" si="125"/>
        <v>293.33333333334269</v>
      </c>
      <c r="DT193" s="59">
        <f ca="1">AVERAGE(OFFSET($DS$3,0,0,'Données projet'!$E$14+1,1))-AVERAGE(OFFSET($H$3,0,0,'Données projet'!$E$14+1,1))</f>
        <v>319.97171762304686</v>
      </c>
      <c r="DU193" s="59">
        <f t="shared" si="152"/>
        <v>337.89345858359621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0.2924523457316866</v>
      </c>
      <c r="EB193" s="21">
        <f>EXP(-LN(2)/25)*EB192+(1-EXP(-LN(2)/25))/(LN(2)/25)*Calculateur!DW193*Calculateur!DY193*VLOOKUP('Données projet'!$B$14,Paramètres!$A$1:$I$89,3,0)*0.475*44/12</f>
        <v>0.24616075963008674</v>
      </c>
      <c r="EC193" s="21">
        <f>EXP(-LN(2)/2)*EC192+(1-EXP(-LN(2)/2))/(LN(2)/2)*DW193*DZ193*VLOOKUP('Données projet'!$B$14,Paramètres!$A$1:$I$89,3,0)*0.475*44/12</f>
        <v>1.6701451136308228E-23</v>
      </c>
      <c r="ED193" s="22">
        <f t="shared" si="178"/>
        <v>0.53861310536177331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>
        <f>EJ193*VLOOKUP('Données projet'!$B$15,Paramètres!$A$1:$I$89,3,0)*VLOOKUP('Données projet'!$B$15,Paramètres!$A$1:$I$89,5,0)</f>
        <v>0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258.46015871559956</v>
      </c>
      <c r="EP193" s="59">
        <f t="shared" si="154"/>
        <v>280.26155987300996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0.26128398728908186</v>
      </c>
      <c r="EW193" s="21">
        <f>EXP(-LN(2)/25)*EW192+(1-EXP(-LN(2)/25))/(LN(2)/25)*Calculateur!ER193*Calculateur!ET193*VLOOKUP('Données projet'!$B$15,Paramètres!$A$1:$I$89,3,0)*0.475*44/12</f>
        <v>0.14601658210139437</v>
      </c>
      <c r="EX193" s="21">
        <f>EXP(-LN(2)/2)*EX192+(1-EXP(-LN(2)/2))/(LN(2)/2)*ER193*EU193*VLOOKUP('Données projet'!$B$15,Paramètres!$A$1:$I$89,3,0)*0.475*44/12</f>
        <v>4.5045711537620243E-24</v>
      </c>
      <c r="EY193" s="22">
        <f t="shared" si="181"/>
        <v>0.40730056939047621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243.00000000000017</v>
      </c>
      <c r="O194" s="13">
        <f>N194*VLOOKUP('Données projet'!$B$9,Paramètres!$A$1:$I$89,3,0)*VLOOKUP('Données projet'!$B$9,Paramètres!$A$1:$I$89,5,0)</f>
        <v>212.28480000000016</v>
      </c>
      <c r="P194" s="13">
        <f t="shared" si="141"/>
        <v>52.434557099704236</v>
      </c>
      <c r="Q194" s="20">
        <f t="shared" si="162"/>
        <v>461.0528802819851</v>
      </c>
      <c r="R194" s="59">
        <f t="shared" si="109"/>
        <v>754.38621361531841</v>
      </c>
      <c r="S194" s="59">
        <f ca="1">AVERAGE(OFFSET($R$3,0,0,'Données projet'!$E$9+1,1))-AVERAGE(OFFSET($H$3,0,0,'Données projet'!$E$9+1,1))</f>
        <v>368.41876532159154</v>
      </c>
      <c r="T194" s="59">
        <f t="shared" si="142"/>
        <v>369.39570124551125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0.25393690680317471</v>
      </c>
      <c r="AA194" s="21">
        <f>EXP(-LN(2)/25)*AA193+(1-EXP(-LN(2)/25))/(LN(2)/25)*Calculateur!V194*Calculateur!X194*VLOOKUP('Données projet'!$B$9,Paramètres!$A$1:$I$89,3,0)*0.475*44/12</f>
        <v>0.18682907813397803</v>
      </c>
      <c r="AB194" s="21">
        <f>EXP(-LN(2)/2)*AB193+(1-EXP(-LN(2)/2))/(LN(2)/2)*V194*Y194*VLOOKUP('Données projet'!$B$9,Paramètres!$A$1:$I$89,3,0)*0.475*44/12</f>
        <v>1.0394136938936574E-23</v>
      </c>
      <c r="AC194" s="22">
        <f t="shared" si="163"/>
        <v>0.44076598493715274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-5.1159076974727213E-13</v>
      </c>
      <c r="AJ194" s="13">
        <f>AI194*VLOOKUP('Données projet'!$B$10,Paramètres!$A$1:$I$89,3,0)*VLOOKUP('Données projet'!$B$10,Paramètres!$A$1:$I$89,5,0)</f>
        <v>-4.4692569645121704E-13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402.82278346470082</v>
      </c>
      <c r="AO194" s="59">
        <f t="shared" si="144"/>
        <v>440.17787299198977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0.1477391735685922</v>
      </c>
      <c r="AV194" s="21">
        <f>EXP(-LN(2)/25)*AV193+(1-EXP(-LN(2)/25))/(LN(2)/25)*Calculateur!AQ194*Calculateur!AS194*VLOOKUP('Données projet'!$B$10,Paramètres!$A$1:$I$89,3,0)*0.475*44/12</f>
        <v>0.25950971879592655</v>
      </c>
      <c r="AW194" s="21">
        <f>EXP(-LN(2)/2)*AW193+(1-EXP(-LN(2)/2))/(LN(2)/2)*AQ194*AT194*VLOOKUP('Données projet'!$B$10,Paramètres!$A$1:$I$89,3,0)*0.475*44/12</f>
        <v>1.543903729261525E-23</v>
      </c>
      <c r="AX194" s="21">
        <f t="shared" si="166"/>
        <v>0.40724889236451878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-3.4106051316484809E-13</v>
      </c>
      <c r="BE194" s="13">
        <f>BD194*VLOOKUP('Données projet'!$B$11,Paramètres!$A$1:$I$89,3,0)*VLOOKUP('Données projet'!$B$11,Paramètres!$A$1:$I$89,5,0)</f>
        <v>-3.0859155231155454E-13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469.68830256438338</v>
      </c>
      <c r="BJ194" s="59">
        <f t="shared" si="146"/>
        <v>332.61387922152159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9.9315767892201798E-2</v>
      </c>
      <c r="BQ194" s="21">
        <f>EXP(-LN(2)/25)*BQ193+(1-EXP(-LN(2)/25))/(LN(2)/25)*Calculateur!BL194*Calculateur!BN194*VLOOKUP('Données projet'!$B$11,Paramètres!$A$1:$I$89,3,0)*0.475*44/12</f>
        <v>0.12995243634497783</v>
      </c>
      <c r="BR194" s="21">
        <f>EXP(-LN(2)/2)*BR193+(1-EXP(-LN(2)/2))/(LN(2)/2)*BL194*BO194*VLOOKUP('Données projet'!$B$11,Paramètres!$A$1:$I$89,3,0)*0.475*44/12</f>
        <v>1.2606654885596255E-23</v>
      </c>
      <c r="BS194" s="22">
        <f t="shared" si="169"/>
        <v>0.22926820423717964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1.1368683772161603E-13</v>
      </c>
      <c r="BZ194" s="13">
        <f>BY194*VLOOKUP('Données projet'!$B$12,Paramètres!$A$1:$I$89,3,0)*VLOOKUP('Données projet'!$B$12,Paramètres!$A$1:$I$89,5,0)</f>
        <v>1.0818439477588981E-13</v>
      </c>
      <c r="CA194" s="13">
        <f t="shared" si="170"/>
        <v>1.6104228458716316E-12</v>
      </c>
      <c r="CB194" s="20">
        <f t="shared" si="171"/>
        <v>2.9932409441277661E-12</v>
      </c>
      <c r="CC194" s="59">
        <f t="shared" si="119"/>
        <v>293.33333333333633</v>
      </c>
      <c r="CD194" s="59">
        <f ca="1">AVERAGE(OFFSET($CC$3,0,0,'Données projet'!$E$12+1,1))-AVERAGE(OFFSET($H$3,0,0,'Données projet'!$E$12+1,1))</f>
        <v>609.40025883662452</v>
      </c>
      <c r="CE194" s="59">
        <f t="shared" si="148"/>
        <v>294.48909834404577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4.5407910956179111E-2</v>
      </c>
      <c r="CM194" s="21">
        <f>EXP(-LN(2)/2)*CM193+(1-EXP(-LN(2)/2))/(LN(2)/2)*CG194*CJ194*VLOOKUP('Données projet'!$B$12,Paramètres!$A$1:$I$89,3,0)*0.475*44/12</f>
        <v>4.5951757738450415E-24</v>
      </c>
      <c r="CN194" s="22">
        <f t="shared" si="172"/>
        <v>4.5407910956179111E-2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-1.1368683772161603E-13</v>
      </c>
      <c r="CU194" s="17">
        <f>CT194*VLOOKUP('Données projet'!$B$13,Paramètres!$A$1:$I$89,3,0)*VLOOKUP('Données projet'!$B$13,Paramètres!$A$1:$I$89,5,0)</f>
        <v>-5.3205440053716299E-14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346.16623654404509</v>
      </c>
      <c r="CZ194" s="59">
        <f t="shared" si="150"/>
        <v>281.80933156559087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0.12925328814267226</v>
      </c>
      <c r="DG194" s="21">
        <f>EXP(-LN(2)/25)*DG193+(1-EXP(-LN(2)/25))/(LN(2)/25)*Calculateur!DB194*Calculateur!DD194*VLOOKUP('Données projet'!$B$13,Paramètres!$A$1:$I$89,3,0)*0.475*44/12</f>
        <v>9.0477103786091723E-2</v>
      </c>
      <c r="DH194" s="21">
        <f>EXP(-LN(2)/2)*DH193+(1-EXP(-LN(2)/2))/(LN(2)/2)*DB194*DE194*VLOOKUP('Données projet'!$B$13,Paramètres!$A$1:$I$89,3,0)*0.475*44/12</f>
        <v>5.7508893848064243E-24</v>
      </c>
      <c r="DI194" s="22">
        <f t="shared" si="175"/>
        <v>0.21973039192876398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6.2527760746888816E-13</v>
      </c>
      <c r="DP194" s="17">
        <f>DO194*VLOOKUP('Données projet'!$B$14,Paramètres!$A$1:$I$89,3,0)*VLOOKUP('Données projet'!$B$14,Paramètres!$A$1:$I$89,5,0)</f>
        <v>3.9017322706058616E-13</v>
      </c>
      <c r="DQ194" s="13">
        <f t="shared" si="176"/>
        <v>5.0025007393608908E-12</v>
      </c>
      <c r="DR194" s="20">
        <f t="shared" si="177"/>
        <v>9.3922404915174053E-12</v>
      </c>
      <c r="DS194" s="59">
        <f t="shared" si="125"/>
        <v>293.33333333334269</v>
      </c>
      <c r="DT194" s="59">
        <f ca="1">AVERAGE(OFFSET($DS$3,0,0,'Données projet'!$E$14+1,1))-AVERAGE(OFFSET($H$3,0,0,'Données projet'!$E$14+1,1))</f>
        <v>319.97171762304686</v>
      </c>
      <c r="DU194" s="59">
        <f t="shared" si="152"/>
        <v>337.89345858359621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0.28671753361020574</v>
      </c>
      <c r="EB194" s="21">
        <f>EXP(-LN(2)/25)*EB193+(1-EXP(-LN(2)/25))/(LN(2)/25)*Calculateur!DW194*Calculateur!DY194*VLOOKUP('Données projet'!$B$14,Paramètres!$A$1:$I$89,3,0)*0.475*44/12</f>
        <v>0.23942948071297027</v>
      </c>
      <c r="EC194" s="21">
        <f>EXP(-LN(2)/2)*EC193+(1-EXP(-LN(2)/2))/(LN(2)/2)*DW194*DZ194*VLOOKUP('Données projet'!$B$14,Paramètres!$A$1:$I$89,3,0)*0.475*44/12</f>
        <v>1.1809709354139318E-23</v>
      </c>
      <c r="ED194" s="22">
        <f t="shared" si="178"/>
        <v>0.52614701432317601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>
        <f>EJ194*VLOOKUP('Données projet'!$B$15,Paramètres!$A$1:$I$89,3,0)*VLOOKUP('Données projet'!$B$15,Paramètres!$A$1:$I$89,5,0)</f>
        <v>0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258.46015871559956</v>
      </c>
      <c r="EP194" s="59">
        <f t="shared" si="154"/>
        <v>280.26155987300996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0.25616036766583899</v>
      </c>
      <c r="EW194" s="21">
        <f>EXP(-LN(2)/25)*EW193+(1-EXP(-LN(2)/25))/(LN(2)/25)*Calculateur!ER194*Calculateur!ET194*VLOOKUP('Données projet'!$B$15,Paramètres!$A$1:$I$89,3,0)*0.475*44/12</f>
        <v>0.14202375098515341</v>
      </c>
      <c r="EX194" s="21">
        <f>EXP(-LN(2)/2)*EX193+(1-EXP(-LN(2)/2))/(LN(2)/2)*ER194*EU194*VLOOKUP('Données projet'!$B$15,Paramètres!$A$1:$I$89,3,0)*0.475*44/12</f>
        <v>3.1852128091624376E-24</v>
      </c>
      <c r="EY194" s="22">
        <f t="shared" si="181"/>
        <v>0.3981841186509924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243.00000000000017</v>
      </c>
      <c r="O195" s="13">
        <f>N195*VLOOKUP('Données projet'!$B$9,Paramètres!$A$1:$I$89,3,0)*VLOOKUP('Données projet'!$B$9,Paramètres!$A$1:$I$89,5,0)</f>
        <v>212.28480000000016</v>
      </c>
      <c r="P195" s="13">
        <f t="shared" si="141"/>
        <v>52.434557099704236</v>
      </c>
      <c r="Q195" s="20">
        <f t="shared" si="162"/>
        <v>461.0528802819851</v>
      </c>
      <c r="R195" s="59">
        <f t="shared" ref="R195:R203" si="191">Q195+(I195+J195)*44/12</f>
        <v>754.38621361531841</v>
      </c>
      <c r="S195" s="59">
        <f ca="1">AVERAGE(OFFSET($R$3,0,0,'Données projet'!$E$9+1,1))-AVERAGE(OFFSET($H$3,0,0,'Données projet'!$E$9+1,1))</f>
        <v>368.41876532159154</v>
      </c>
      <c r="T195" s="59">
        <f t="shared" si="142"/>
        <v>369.39570124551125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0.24895735894698387</v>
      </c>
      <c r="AA195" s="21">
        <f>EXP(-LN(2)/25)*AA194+(1-EXP(-LN(2)/25))/(LN(2)/25)*Calculateur!V195*Calculateur!X195*VLOOKUP('Données projet'!$B$9,Paramètres!$A$1:$I$89,3,0)*0.475*44/12</f>
        <v>0.1817202271674902</v>
      </c>
      <c r="AB195" s="21">
        <f>EXP(-LN(2)/2)*AB194+(1-EXP(-LN(2)/2))/(LN(2)/2)*V195*Y195*VLOOKUP('Données projet'!$B$9,Paramètres!$A$1:$I$89,3,0)*0.475*44/12</f>
        <v>7.349764714103635E-24</v>
      </c>
      <c r="AC195" s="22">
        <f t="shared" si="163"/>
        <v>0.43067758611447404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-5.1159076974727213E-13</v>
      </c>
      <c r="AJ195" s="13">
        <f>AI195*VLOOKUP('Données projet'!$B$10,Paramètres!$A$1:$I$89,3,0)*VLOOKUP('Données projet'!$B$10,Paramètres!$A$1:$I$89,5,0)</f>
        <v>-4.4692569645121704E-13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402.82278346470082</v>
      </c>
      <c r="AO195" s="59">
        <f t="shared" si="144"/>
        <v>440.17787299198977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0.14484209848691015</v>
      </c>
      <c r="AV195" s="21">
        <f>EXP(-LN(2)/25)*AV194+(1-EXP(-LN(2)/25))/(LN(2)/25)*Calculateur!AQ195*Calculateur!AS195*VLOOKUP('Données projet'!$B$10,Paramètres!$A$1:$I$89,3,0)*0.475*44/12</f>
        <v>0.25241341188842892</v>
      </c>
      <c r="AW195" s="21">
        <f>EXP(-LN(2)/2)*AW194+(1-EXP(-LN(2)/2))/(LN(2)/2)*AQ195*AT195*VLOOKUP('Données projet'!$B$10,Paramètres!$A$1:$I$89,3,0)*0.475*44/12</f>
        <v>1.0917047964600239E-23</v>
      </c>
      <c r="AX195" s="21">
        <f t="shared" si="166"/>
        <v>0.39725551037533907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-3.4106051316484809E-13</v>
      </c>
      <c r="BE195" s="13">
        <f>BD195*VLOOKUP('Données projet'!$B$11,Paramètres!$A$1:$I$89,3,0)*VLOOKUP('Données projet'!$B$11,Paramètres!$A$1:$I$89,5,0)</f>
        <v>-3.0859155231155454E-13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469.68830256438338</v>
      </c>
      <c r="BJ195" s="59">
        <f t="shared" si="146"/>
        <v>332.61387922152159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9.7368246260472691E-2</v>
      </c>
      <c r="BQ195" s="21">
        <f>EXP(-LN(2)/25)*BQ194+(1-EXP(-LN(2)/25))/(LN(2)/25)*Calculateur!BL195*Calculateur!BN195*VLOOKUP('Données projet'!$B$11,Paramètres!$A$1:$I$89,3,0)*0.475*44/12</f>
        <v>0.12639888013922279</v>
      </c>
      <c r="BR195" s="21">
        <f>EXP(-LN(2)/2)*BR194+(1-EXP(-LN(2)/2))/(LN(2)/2)*BL195*BO195*VLOOKUP('Données projet'!$B$11,Paramètres!$A$1:$I$89,3,0)*0.475*44/12</f>
        <v>8.9142511576836316E-24</v>
      </c>
      <c r="BS195" s="22">
        <f t="shared" si="169"/>
        <v>0.22376712639969548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1.1368683772161603E-13</v>
      </c>
      <c r="BZ195" s="13">
        <f>BY195*VLOOKUP('Données projet'!$B$12,Paramètres!$A$1:$I$89,3,0)*VLOOKUP('Données projet'!$B$12,Paramètres!$A$1:$I$89,5,0)</f>
        <v>1.0818439477588981E-13</v>
      </c>
      <c r="CA195" s="13">
        <f t="shared" si="170"/>
        <v>1.6104228458716316E-12</v>
      </c>
      <c r="CB195" s="20">
        <f t="shared" si="171"/>
        <v>2.9932409441277661E-12</v>
      </c>
      <c r="CC195" s="59">
        <f t="shared" si="119"/>
        <v>293.33333333333633</v>
      </c>
      <c r="CD195" s="59">
        <f ca="1">AVERAGE(OFFSET($CC$3,0,0,'Données projet'!$E$12+1,1))-AVERAGE(OFFSET($H$3,0,0,'Données projet'!$E$12+1,1))</f>
        <v>609.40025883662452</v>
      </c>
      <c r="CE195" s="59">
        <f t="shared" si="148"/>
        <v>294.48909834404577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4.4166229243184134E-2</v>
      </c>
      <c r="CM195" s="21">
        <f>EXP(-LN(2)/2)*CM194+(1-EXP(-LN(2)/2))/(LN(2)/2)*CG195*CJ195*VLOOKUP('Données projet'!$B$12,Paramètres!$A$1:$I$89,3,0)*0.475*44/12</f>
        <v>3.2492799504299702E-24</v>
      </c>
      <c r="CN195" s="22">
        <f t="shared" si="172"/>
        <v>4.4166229243184134E-2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-1.1368683772161603E-13</v>
      </c>
      <c r="CU195" s="17">
        <f>CT195*VLOOKUP('Données projet'!$B$13,Paramètres!$A$1:$I$89,3,0)*VLOOKUP('Données projet'!$B$13,Paramètres!$A$1:$I$89,5,0)</f>
        <v>-5.3205440053716299E-14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346.16623654404509</v>
      </c>
      <c r="CZ195" s="59">
        <f t="shared" si="150"/>
        <v>281.80933156559087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0.12671870999891574</v>
      </c>
      <c r="DG195" s="21">
        <f>EXP(-LN(2)/25)*DG194+(1-EXP(-LN(2)/25))/(LN(2)/25)*Calculateur!DB195*Calculateur!DD195*VLOOKUP('Données projet'!$B$13,Paramètres!$A$1:$I$89,3,0)*0.475*44/12</f>
        <v>8.8003002625076945E-2</v>
      </c>
      <c r="DH195" s="21">
        <f>EXP(-LN(2)/2)*DH194+(1-EXP(-LN(2)/2))/(LN(2)/2)*DB195*DE195*VLOOKUP('Données projet'!$B$13,Paramètres!$A$1:$I$89,3,0)*0.475*44/12</f>
        <v>4.0664928818503551E-24</v>
      </c>
      <c r="DI195" s="22">
        <f t="shared" si="175"/>
        <v>0.2147217126239927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6.2527760746888816E-13</v>
      </c>
      <c r="DP195" s="17">
        <f>DO195*VLOOKUP('Données projet'!$B$14,Paramètres!$A$1:$I$89,3,0)*VLOOKUP('Données projet'!$B$14,Paramètres!$A$1:$I$89,5,0)</f>
        <v>3.9017322706058616E-13</v>
      </c>
      <c r="DQ195" s="13">
        <f t="shared" si="176"/>
        <v>5.0025007393608908E-12</v>
      </c>
      <c r="DR195" s="20">
        <f t="shared" si="177"/>
        <v>9.3922404915174053E-12</v>
      </c>
      <c r="DS195" s="59">
        <f t="shared" si="125"/>
        <v>293.33333333334269</v>
      </c>
      <c r="DT195" s="59">
        <f ca="1">AVERAGE(OFFSET($DS$3,0,0,'Données projet'!$E$14+1,1))-AVERAGE(OFFSET($H$3,0,0,'Données projet'!$E$14+1,1))</f>
        <v>319.97171762304686</v>
      </c>
      <c r="DU195" s="59">
        <f t="shared" si="152"/>
        <v>337.89345858359621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0.28109517765653708</v>
      </c>
      <c r="EB195" s="21">
        <f>EXP(-LN(2)/25)*EB194+(1-EXP(-LN(2)/25))/(LN(2)/25)*Calculateur!DW195*Calculateur!DY195*VLOOKUP('Données projet'!$B$14,Paramètres!$A$1:$I$89,3,0)*0.475*44/12</f>
        <v>0.23288226897182493</v>
      </c>
      <c r="EC195" s="21">
        <f>EXP(-LN(2)/2)*EC194+(1-EXP(-LN(2)/2))/(LN(2)/2)*DW195*DZ195*VLOOKUP('Données projet'!$B$14,Paramètres!$A$1:$I$89,3,0)*0.475*44/12</f>
        <v>8.3507255681541139E-24</v>
      </c>
      <c r="ED195" s="22">
        <f t="shared" si="178"/>
        <v>0.51397744662836198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>
        <f>EJ195*VLOOKUP('Données projet'!$B$15,Paramètres!$A$1:$I$89,3,0)*VLOOKUP('Données projet'!$B$15,Paramètres!$A$1:$I$89,5,0)</f>
        <v>0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258.46015871559956</v>
      </c>
      <c r="EP195" s="59">
        <f t="shared" si="154"/>
        <v>280.26155987300996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0.2511372190983085</v>
      </c>
      <c r="EW195" s="21">
        <f>EXP(-LN(2)/25)*EW194+(1-EXP(-LN(2)/25))/(LN(2)/25)*Calculateur!ER195*Calculateur!ET195*VLOOKUP('Données projet'!$B$15,Paramètres!$A$1:$I$89,3,0)*0.475*44/12</f>
        <v>0.13814010404575991</v>
      </c>
      <c r="EX195" s="21">
        <f>EXP(-LN(2)/2)*EX194+(1-EXP(-LN(2)/2))/(LN(2)/2)*ER195*EU195*VLOOKUP('Données projet'!$B$15,Paramètres!$A$1:$I$89,3,0)*0.475*44/12</f>
        <v>2.2522855768810121E-24</v>
      </c>
      <c r="EY195" s="22">
        <f t="shared" si="181"/>
        <v>0.38927732314406838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243.00000000000017</v>
      </c>
      <c r="O196" s="13">
        <f>N196*VLOOKUP('Données projet'!$B$9,Paramètres!$A$1:$I$89,3,0)*VLOOKUP('Données projet'!$B$9,Paramètres!$A$1:$I$89,5,0)</f>
        <v>212.28480000000016</v>
      </c>
      <c r="P196" s="13">
        <f t="shared" si="141"/>
        <v>52.434557099704236</v>
      </c>
      <c r="Q196" s="20">
        <f t="shared" si="162"/>
        <v>461.0528802819851</v>
      </c>
      <c r="R196" s="59">
        <f t="shared" si="191"/>
        <v>754.38621361531841</v>
      </c>
      <c r="S196" s="59">
        <f ca="1">AVERAGE(OFFSET($R$3,0,0,'Données projet'!$E$9+1,1))-AVERAGE(OFFSET($H$3,0,0,'Données projet'!$E$9+1,1))</f>
        <v>368.41876532159154</v>
      </c>
      <c r="T196" s="59">
        <f t="shared" si="142"/>
        <v>369.39570124551125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0.24407545698702862</v>
      </c>
      <c r="AA196" s="21">
        <f>EXP(-LN(2)/25)*AA195+(1-EXP(-LN(2)/25))/(LN(2)/25)*Calculateur!V196*Calculateur!X196*VLOOKUP('Données projet'!$B$9,Paramètres!$A$1:$I$89,3,0)*0.475*44/12</f>
        <v>0.17675107799934375</v>
      </c>
      <c r="AB196" s="21">
        <f>EXP(-LN(2)/2)*AB195+(1-EXP(-LN(2)/2))/(LN(2)/2)*V196*Y196*VLOOKUP('Données projet'!$B$9,Paramètres!$A$1:$I$89,3,0)*0.475*44/12</f>
        <v>5.1970684694682871E-24</v>
      </c>
      <c r="AC196" s="22">
        <f t="shared" si="163"/>
        <v>0.42082653498637235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-5.1159076974727213E-13</v>
      </c>
      <c r="AJ196" s="13">
        <f>AI196*VLOOKUP('Données projet'!$B$10,Paramètres!$A$1:$I$89,3,0)*VLOOKUP('Données projet'!$B$10,Paramètres!$A$1:$I$89,5,0)</f>
        <v>-4.4692569645121704E-13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402.82278346470082</v>
      </c>
      <c r="AO196" s="59">
        <f t="shared" si="144"/>
        <v>440.17787299198977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0.14200183328053859</v>
      </c>
      <c r="AV196" s="21">
        <f>EXP(-LN(2)/25)*AV195+(1-EXP(-LN(2)/25))/(LN(2)/25)*Calculateur!AQ196*Calculateur!AS196*VLOOKUP('Données projet'!$B$10,Paramètres!$A$1:$I$89,3,0)*0.475*44/12</f>
        <v>0.24551115386649539</v>
      </c>
      <c r="AW196" s="21">
        <f>EXP(-LN(2)/2)*AW195+(1-EXP(-LN(2)/2))/(LN(2)/2)*AQ196*AT196*VLOOKUP('Données projet'!$B$10,Paramètres!$A$1:$I$89,3,0)*0.475*44/12</f>
        <v>7.7195186463076252E-24</v>
      </c>
      <c r="AX196" s="21">
        <f t="shared" si="166"/>
        <v>0.38751298714703397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-3.4106051316484809E-13</v>
      </c>
      <c r="BE196" s="13">
        <f>BD196*VLOOKUP('Données projet'!$B$11,Paramètres!$A$1:$I$89,3,0)*VLOOKUP('Données projet'!$B$11,Paramètres!$A$1:$I$89,5,0)</f>
        <v>-3.0859155231155454E-13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469.68830256438338</v>
      </c>
      <c r="BJ196" s="59">
        <f t="shared" si="146"/>
        <v>332.61387922152159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9.545891434007088E-2</v>
      </c>
      <c r="BQ196" s="21">
        <f>EXP(-LN(2)/25)*BQ195+(1-EXP(-LN(2)/25))/(LN(2)/25)*Calculateur!BL196*Calculateur!BN196*VLOOKUP('Données projet'!$B$11,Paramètres!$A$1:$I$89,3,0)*0.475*44/12</f>
        <v>0.12294249611478753</v>
      </c>
      <c r="BR196" s="21">
        <f>EXP(-LN(2)/2)*BR195+(1-EXP(-LN(2)/2))/(LN(2)/2)*BL196*BO196*VLOOKUP('Données projet'!$B$11,Paramètres!$A$1:$I$89,3,0)*0.475*44/12</f>
        <v>6.3033274427981277E-24</v>
      </c>
      <c r="BS196" s="22">
        <f t="shared" si="169"/>
        <v>0.21840141045485839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1.1368683772161603E-13</v>
      </c>
      <c r="BZ196" s="13">
        <f>BY196*VLOOKUP('Données projet'!$B$12,Paramètres!$A$1:$I$89,3,0)*VLOOKUP('Données projet'!$B$12,Paramètres!$A$1:$I$89,5,0)</f>
        <v>1.0818439477588981E-13</v>
      </c>
      <c r="CA196" s="13">
        <f t="shared" si="170"/>
        <v>1.6104228458716316E-12</v>
      </c>
      <c r="CB196" s="20">
        <f t="shared" si="171"/>
        <v>2.9932409441277661E-12</v>
      </c>
      <c r="CC196" s="59">
        <f t="shared" ref="CC196:CC203" si="195">CB196+(BT196+BU196)*44/12</f>
        <v>293.33333333333633</v>
      </c>
      <c r="CD196" s="59">
        <f ca="1">AVERAGE(OFFSET($CC$3,0,0,'Données projet'!$E$12+1,1))-AVERAGE(OFFSET($H$3,0,0,'Données projet'!$E$12+1,1))</f>
        <v>609.40025883662452</v>
      </c>
      <c r="CE196" s="59">
        <f t="shared" si="148"/>
        <v>294.48909834404577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4.2958501381928214E-2</v>
      </c>
      <c r="CM196" s="21">
        <f>EXP(-LN(2)/2)*CM195+(1-EXP(-LN(2)/2))/(LN(2)/2)*CG196*CJ196*VLOOKUP('Données projet'!$B$12,Paramètres!$A$1:$I$89,3,0)*0.475*44/12</f>
        <v>2.2975878869225211E-24</v>
      </c>
      <c r="CN196" s="22">
        <f t="shared" si="172"/>
        <v>4.2958501381928214E-2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-1.1368683772161603E-13</v>
      </c>
      <c r="CU196" s="17">
        <f>CT196*VLOOKUP('Données projet'!$B$13,Paramètres!$A$1:$I$89,3,0)*VLOOKUP('Données projet'!$B$13,Paramètres!$A$1:$I$89,5,0)</f>
        <v>-5.3205440053716299E-14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346.16623654404509</v>
      </c>
      <c r="CZ196" s="59">
        <f t="shared" si="150"/>
        <v>281.80933156559087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0.12423383338661827</v>
      </c>
      <c r="DG196" s="21">
        <f>EXP(-LN(2)/25)*DG195+(1-EXP(-LN(2)/25))/(LN(2)/25)*Calculateur!DB196*Calculateur!DD196*VLOOKUP('Données projet'!$B$13,Paramètres!$A$1:$I$89,3,0)*0.475*44/12</f>
        <v>8.5596555890417439E-2</v>
      </c>
      <c r="DH196" s="21">
        <f>EXP(-LN(2)/2)*DH195+(1-EXP(-LN(2)/2))/(LN(2)/2)*DB196*DE196*VLOOKUP('Données projet'!$B$13,Paramètres!$A$1:$I$89,3,0)*0.475*44/12</f>
        <v>2.8754446924032122E-24</v>
      </c>
      <c r="DI196" s="22">
        <f t="shared" si="175"/>
        <v>0.20983038927703571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6.2527760746888816E-13</v>
      </c>
      <c r="DP196" s="17">
        <f>DO196*VLOOKUP('Données projet'!$B$14,Paramètres!$A$1:$I$89,3,0)*VLOOKUP('Données projet'!$B$14,Paramètres!$A$1:$I$89,5,0)</f>
        <v>3.9017322706058616E-13</v>
      </c>
      <c r="DQ196" s="13">
        <f t="shared" si="176"/>
        <v>5.0025007393608908E-12</v>
      </c>
      <c r="DR196" s="20">
        <f t="shared" si="177"/>
        <v>9.3922404915174053E-12</v>
      </c>
      <c r="DS196" s="59">
        <f t="shared" ref="DS196:DS203" si="197">DR196+(DJ196+DK196)*44/12</f>
        <v>293.33333333334269</v>
      </c>
      <c r="DT196" s="59">
        <f ca="1">AVERAGE(OFFSET($DS$3,0,0,'Données projet'!$E$14+1,1))-AVERAGE(OFFSET($H$3,0,0,'Données projet'!$E$14+1,1))</f>
        <v>319.97171762304686</v>
      </c>
      <c r="DU196" s="59">
        <f t="shared" si="152"/>
        <v>337.89345858359621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0.27558307267382137</v>
      </c>
      <c r="EB196" s="21">
        <f>EXP(-LN(2)/25)*EB195+(1-EXP(-LN(2)/25))/(LN(2)/25)*Calculateur!DW196*Calculateur!DY196*VLOOKUP('Données projet'!$B$14,Paramètres!$A$1:$I$89,3,0)*0.475*44/12</f>
        <v>0.22651409108004411</v>
      </c>
      <c r="EC196" s="21">
        <f>EXP(-LN(2)/2)*EC195+(1-EXP(-LN(2)/2))/(LN(2)/2)*DW196*DZ196*VLOOKUP('Données projet'!$B$14,Paramètres!$A$1:$I$89,3,0)*0.475*44/12</f>
        <v>5.9048546770696588E-24</v>
      </c>
      <c r="ED196" s="22">
        <f t="shared" si="178"/>
        <v>0.50209716375386548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>
        <f>EJ196*VLOOKUP('Données projet'!$B$15,Paramètres!$A$1:$I$89,3,0)*VLOOKUP('Données projet'!$B$15,Paramètres!$A$1:$I$89,5,0)</f>
        <v>0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258.46015871559956</v>
      </c>
      <c r="EP196" s="59">
        <f t="shared" si="154"/>
        <v>280.26155987300996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0.24621257141036917</v>
      </c>
      <c r="EW196" s="21">
        <f>EXP(-LN(2)/25)*EW195+(1-EXP(-LN(2)/25))/(LN(2)/25)*Calculateur!ER196*Calculateur!ET196*VLOOKUP('Données projet'!$B$15,Paramètres!$A$1:$I$89,3,0)*0.475*44/12</f>
        <v>0.13436265563615626</v>
      </c>
      <c r="EX196" s="21">
        <f>EXP(-LN(2)/2)*EX195+(1-EXP(-LN(2)/2))/(LN(2)/2)*ER196*EU196*VLOOKUP('Données projet'!$B$15,Paramètres!$A$1:$I$89,3,0)*0.475*44/12</f>
        <v>1.5926064045812188E-24</v>
      </c>
      <c r="EY196" s="22">
        <f t="shared" si="181"/>
        <v>0.38057522704652547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243.00000000000017</v>
      </c>
      <c r="O197" s="13">
        <f>N197*VLOOKUP('Données projet'!$B$9,Paramètres!$A$1:$I$89,3,0)*VLOOKUP('Données projet'!$B$9,Paramètres!$A$1:$I$89,5,0)</f>
        <v>212.28480000000016</v>
      </c>
      <c r="P197" s="13">
        <f t="shared" ref="P197:P203" si="203">EXP(-1.0587+0.8836*LN(O197)+0.284)</f>
        <v>52.434557099704236</v>
      </c>
      <c r="Q197" s="20">
        <f t="shared" si="162"/>
        <v>461.0528802819851</v>
      </c>
      <c r="R197" s="59">
        <f t="shared" si="191"/>
        <v>754.38621361531841</v>
      </c>
      <c r="S197" s="59">
        <f ca="1">AVERAGE(OFFSET($R$3,0,0,'Données projet'!$E$9+1,1))-AVERAGE(OFFSET($H$3,0,0,'Données projet'!$E$9+1,1))</f>
        <v>368.41876532159154</v>
      </c>
      <c r="T197" s="59">
        <f t="shared" ref="T197:T203" si="204">$T$3</f>
        <v>369.39570124551125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0.23928928614684192</v>
      </c>
      <c r="AA197" s="21">
        <f>EXP(-LN(2)/25)*AA196+(1-EXP(-LN(2)/25))/(LN(2)/25)*Calculateur!V197*Calculateur!X197*VLOOKUP('Données projet'!$B$9,Paramètres!$A$1:$I$89,3,0)*0.475*44/12</f>
        <v>0.17191781047651647</v>
      </c>
      <c r="AB197" s="21">
        <f>EXP(-LN(2)/2)*AB196+(1-EXP(-LN(2)/2))/(LN(2)/2)*V197*Y197*VLOOKUP('Données projet'!$B$9,Paramètres!$A$1:$I$89,3,0)*0.475*44/12</f>
        <v>3.6748823570518175E-24</v>
      </c>
      <c r="AC197" s="22">
        <f t="shared" si="163"/>
        <v>0.41120709662335841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-5.1159076974727213E-13</v>
      </c>
      <c r="AJ197" s="13">
        <f>AI197*VLOOKUP('Données projet'!$B$10,Paramètres!$A$1:$I$89,3,0)*VLOOKUP('Données projet'!$B$10,Paramètres!$A$1:$I$89,5,0)</f>
        <v>-4.4692569645121704E-13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402.82278346470082</v>
      </c>
      <c r="AO197" s="59">
        <f t="shared" ref="AO197:AO203" si="205">$AO$3</f>
        <v>440.17787299198977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0.13921726394247325</v>
      </c>
      <c r="AV197" s="21">
        <f>EXP(-LN(2)/25)*AV196+(1-EXP(-LN(2)/25))/(LN(2)/25)*Calculateur!AQ197*Calculateur!AS197*VLOOKUP('Données projet'!$B$10,Paramètres!$A$1:$I$89,3,0)*0.475*44/12</f>
        <v>0.23879763845314561</v>
      </c>
      <c r="AW197" s="21">
        <f>EXP(-LN(2)/2)*AW196+(1-EXP(-LN(2)/2))/(LN(2)/2)*AQ197*AT197*VLOOKUP('Données projet'!$B$10,Paramètres!$A$1:$I$89,3,0)*0.475*44/12</f>
        <v>5.4585239823001196E-24</v>
      </c>
      <c r="AX197" s="21">
        <f t="shared" si="166"/>
        <v>0.37801490239561886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-3.4106051316484809E-13</v>
      </c>
      <c r="BE197" s="13">
        <f>BD197*VLOOKUP('Données projet'!$B$11,Paramètres!$A$1:$I$89,3,0)*VLOOKUP('Données projet'!$B$11,Paramètres!$A$1:$I$89,5,0)</f>
        <v>-3.0859155231155454E-13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469.68830256438338</v>
      </c>
      <c r="BJ197" s="59">
        <f t="shared" ref="BJ197:BJ203" si="206">$BJ$3</f>
        <v>332.61387922152159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9.3587023254050675E-2</v>
      </c>
      <c r="BQ197" s="21">
        <f>EXP(-LN(2)/25)*BQ196+(1-EXP(-LN(2)/25))/(LN(2)/25)*Calculateur!BL197*Calculateur!BN197*VLOOKUP('Données projet'!$B$11,Paramètres!$A$1:$I$89,3,0)*0.475*44/12</f>
        <v>0.11958062709326378</v>
      </c>
      <c r="BR197" s="21">
        <f>EXP(-LN(2)/2)*BR196+(1-EXP(-LN(2)/2))/(LN(2)/2)*BL197*BO197*VLOOKUP('Données projet'!$B$11,Paramètres!$A$1:$I$89,3,0)*0.475*44/12</f>
        <v>4.4571255788418158E-24</v>
      </c>
      <c r="BS197" s="22">
        <f t="shared" si="169"/>
        <v>0.21316765034731444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1.1368683772161603E-13</v>
      </c>
      <c r="BZ197" s="13">
        <f>BY197*VLOOKUP('Données projet'!$B$12,Paramètres!$A$1:$I$89,3,0)*VLOOKUP('Données projet'!$B$12,Paramètres!$A$1:$I$89,5,0)</f>
        <v>1.0818439477588981E-13</v>
      </c>
      <c r="CA197" s="13">
        <f t="shared" si="170"/>
        <v>1.6104228458716316E-12</v>
      </c>
      <c r="CB197" s="20">
        <f t="shared" si="171"/>
        <v>2.9932409441277661E-12</v>
      </c>
      <c r="CC197" s="59">
        <f t="shared" si="195"/>
        <v>293.33333333333633</v>
      </c>
      <c r="CD197" s="59">
        <f ca="1">AVERAGE(OFFSET($CC$3,0,0,'Données projet'!$E$12+1,1))-AVERAGE(OFFSET($H$3,0,0,'Données projet'!$E$12+1,1))</f>
        <v>609.40025883662452</v>
      </c>
      <c r="CE197" s="59">
        <f t="shared" ref="CE197:CE203" si="207">$CE$3</f>
        <v>294.48909834404577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4.1783798902549983E-2</v>
      </c>
      <c r="CM197" s="21">
        <f>EXP(-LN(2)/2)*CM196+(1-EXP(-LN(2)/2))/(LN(2)/2)*CG197*CJ197*VLOOKUP('Données projet'!$B$12,Paramètres!$A$1:$I$89,3,0)*0.475*44/12</f>
        <v>1.6246399752149853E-24</v>
      </c>
      <c r="CN197" s="22">
        <f t="shared" si="172"/>
        <v>4.1783798902549983E-2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-1.1368683772161603E-13</v>
      </c>
      <c r="CU197" s="17">
        <f>CT197*VLOOKUP('Données projet'!$B$13,Paramètres!$A$1:$I$89,3,0)*VLOOKUP('Données projet'!$B$13,Paramètres!$A$1:$I$89,5,0)</f>
        <v>-5.3205440053716299E-14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346.16623654404509</v>
      </c>
      <c r="CZ197" s="59">
        <f t="shared" ref="CZ197:CZ203" si="208">$CZ$3</f>
        <v>281.80933156559087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0.12179768368906288</v>
      </c>
      <c r="DG197" s="21">
        <f>EXP(-LN(2)/25)*DG196+(1-EXP(-LN(2)/25))/(LN(2)/25)*Calculateur!DB197*Calculateur!DD197*VLOOKUP('Données projet'!$B$13,Paramètres!$A$1:$I$89,3,0)*0.475*44/12</f>
        <v>8.325591356826674E-2</v>
      </c>
      <c r="DH197" s="21">
        <f>EXP(-LN(2)/2)*DH196+(1-EXP(-LN(2)/2))/(LN(2)/2)*DB197*DE197*VLOOKUP('Données projet'!$B$13,Paramètres!$A$1:$I$89,3,0)*0.475*44/12</f>
        <v>2.0332464409251776E-24</v>
      </c>
      <c r="DI197" s="22">
        <f t="shared" si="175"/>
        <v>0.20505359725732963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6.2527760746888816E-13</v>
      </c>
      <c r="DP197" s="17">
        <f>DO197*VLOOKUP('Données projet'!$B$14,Paramètres!$A$1:$I$89,3,0)*VLOOKUP('Données projet'!$B$14,Paramètres!$A$1:$I$89,5,0)</f>
        <v>3.9017322706058616E-13</v>
      </c>
      <c r="DQ197" s="13">
        <f t="shared" si="176"/>
        <v>5.0025007393608908E-12</v>
      </c>
      <c r="DR197" s="20">
        <f t="shared" si="177"/>
        <v>9.3922404915174053E-12</v>
      </c>
      <c r="DS197" s="59">
        <f t="shared" si="197"/>
        <v>293.33333333334269</v>
      </c>
      <c r="DT197" s="59">
        <f ca="1">AVERAGE(OFFSET($DS$3,0,0,'Données projet'!$E$14+1,1))-AVERAGE(OFFSET($H$3,0,0,'Données projet'!$E$14+1,1))</f>
        <v>319.97171762304686</v>
      </c>
      <c r="DU197" s="59">
        <f t="shared" ref="DU197:DU203" si="209">$DU$3</f>
        <v>337.89345858359621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0.27017905670776465</v>
      </c>
      <c r="EB197" s="21">
        <f>EXP(-LN(2)/25)*EB196+(1-EXP(-LN(2)/25))/(LN(2)/25)*Calculateur!DW197*Calculateur!DY197*VLOOKUP('Données projet'!$B$14,Paramètres!$A$1:$I$89,3,0)*0.475*44/12</f>
        <v>0.22032005134760196</v>
      </c>
      <c r="EC197" s="21">
        <f>EXP(-LN(2)/2)*EC196+(1-EXP(-LN(2)/2))/(LN(2)/2)*DW197*DZ197*VLOOKUP('Données projet'!$B$14,Paramètres!$A$1:$I$89,3,0)*0.475*44/12</f>
        <v>4.1753627840770569E-24</v>
      </c>
      <c r="ED197" s="22">
        <f t="shared" si="178"/>
        <v>0.49049910805536662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>
        <f>EJ197*VLOOKUP('Données projet'!$B$15,Paramètres!$A$1:$I$89,3,0)*VLOOKUP('Données projet'!$B$15,Paramètres!$A$1:$I$89,5,0)</f>
        <v>0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258.46015871559956</v>
      </c>
      <c r="EP197" s="59">
        <f t="shared" ref="EP197:EP203" si="210">$EP$3</f>
        <v>280.26155987300996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0.24138449305985185</v>
      </c>
      <c r="EW197" s="21">
        <f>EXP(-LN(2)/25)*EW196+(1-EXP(-LN(2)/25))/(LN(2)/25)*Calculateur!ER197*Calculateur!ET197*VLOOKUP('Données projet'!$B$15,Paramètres!$A$1:$I$89,3,0)*0.475*44/12</f>
        <v>0.13068850175196059</v>
      </c>
      <c r="EX197" s="21">
        <f>EXP(-LN(2)/2)*EX196+(1-EXP(-LN(2)/2))/(LN(2)/2)*ER197*EU197*VLOOKUP('Données projet'!$B$15,Paramètres!$A$1:$I$89,3,0)*0.475*44/12</f>
        <v>1.1261427884405061E-24</v>
      </c>
      <c r="EY197" s="22">
        <f t="shared" si="181"/>
        <v>0.37207299481181244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243.00000000000017</v>
      </c>
      <c r="O198" s="13">
        <f>N198*VLOOKUP('Données projet'!$B$9,Paramètres!$A$1:$I$89,3,0)*VLOOKUP('Données projet'!$B$9,Paramètres!$A$1:$I$89,5,0)</f>
        <v>212.28480000000016</v>
      </c>
      <c r="P198" s="13">
        <f t="shared" si="203"/>
        <v>52.434557099704236</v>
      </c>
      <c r="Q198" s="20">
        <f t="shared" si="162"/>
        <v>461.0528802819851</v>
      </c>
      <c r="R198" s="59">
        <f t="shared" si="191"/>
        <v>754.38621361531841</v>
      </c>
      <c r="S198" s="59">
        <f ca="1">AVERAGE(OFFSET($R$3,0,0,'Données projet'!$E$9+1,1))-AVERAGE(OFFSET($H$3,0,0,'Données projet'!$E$9+1,1))</f>
        <v>368.41876532159154</v>
      </c>
      <c r="T198" s="59">
        <f t="shared" si="204"/>
        <v>369.39570124551125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0.23459696919755532</v>
      </c>
      <c r="AA198" s="21">
        <f>EXP(-LN(2)/25)*AA197+(1-EXP(-LN(2)/25))/(LN(2)/25)*Calculateur!V198*Calculateur!X198*VLOOKUP('Données projet'!$B$9,Paramètres!$A$1:$I$89,3,0)*0.475*44/12</f>
        <v>0.16721670890827139</v>
      </c>
      <c r="AB198" s="21">
        <f>EXP(-LN(2)/2)*AB197+(1-EXP(-LN(2)/2))/(LN(2)/2)*V198*Y198*VLOOKUP('Données projet'!$B$9,Paramètres!$A$1:$I$89,3,0)*0.475*44/12</f>
        <v>2.5985342347341436E-24</v>
      </c>
      <c r="AC198" s="22">
        <f t="shared" si="163"/>
        <v>0.40181367810582669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-5.1159076974727213E-13</v>
      </c>
      <c r="AJ198" s="13">
        <f>AI198*VLOOKUP('Données projet'!$B$10,Paramètres!$A$1:$I$89,3,0)*VLOOKUP('Données projet'!$B$10,Paramètres!$A$1:$I$89,5,0)</f>
        <v>-4.4692569645121704E-13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402.82278346470082</v>
      </c>
      <c r="AO198" s="59">
        <f t="shared" si="205"/>
        <v>440.17787299198977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0.13648729831070777</v>
      </c>
      <c r="AV198" s="21">
        <f>EXP(-LN(2)/25)*AV197+(1-EXP(-LN(2)/25))/(LN(2)/25)*Calculateur!AQ198*Calculateur!AS198*VLOOKUP('Données projet'!$B$10,Paramètres!$A$1:$I$89,3,0)*0.475*44/12</f>
        <v>0.23226770447182232</v>
      </c>
      <c r="AW198" s="21">
        <f>EXP(-LN(2)/2)*AW197+(1-EXP(-LN(2)/2))/(LN(2)/2)*AQ198*AT198*VLOOKUP('Données projet'!$B$10,Paramètres!$A$1:$I$89,3,0)*0.475*44/12</f>
        <v>3.8597593231538126E-24</v>
      </c>
      <c r="AX198" s="21">
        <f t="shared" si="166"/>
        <v>0.36875500278253009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-3.4106051316484809E-13</v>
      </c>
      <c r="BE198" s="13">
        <f>BD198*VLOOKUP('Données projet'!$B$11,Paramètres!$A$1:$I$89,3,0)*VLOOKUP('Données projet'!$B$11,Paramètres!$A$1:$I$89,5,0)</f>
        <v>-3.0859155231155454E-13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469.68830256438338</v>
      </c>
      <c r="BJ198" s="59">
        <f t="shared" si="206"/>
        <v>332.61387922152159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9.17518388104865E-2</v>
      </c>
      <c r="BQ198" s="21">
        <f>EXP(-LN(2)/25)*BQ197+(1-EXP(-LN(2)/25))/(LN(2)/25)*Calculateur!BL198*Calculateur!BN198*VLOOKUP('Données projet'!$B$11,Paramètres!$A$1:$I$89,3,0)*0.475*44/12</f>
        <v>0.11631068855692661</v>
      </c>
      <c r="BR198" s="21">
        <f>EXP(-LN(2)/2)*BR197+(1-EXP(-LN(2)/2))/(LN(2)/2)*BL198*BO198*VLOOKUP('Données projet'!$B$11,Paramètres!$A$1:$I$89,3,0)*0.475*44/12</f>
        <v>3.1516637213990639E-24</v>
      </c>
      <c r="BS198" s="22">
        <f t="shared" si="169"/>
        <v>0.2080625273674131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1.1368683772161603E-13</v>
      </c>
      <c r="BZ198" s="13">
        <f>BY198*VLOOKUP('Données projet'!$B$12,Paramètres!$A$1:$I$89,3,0)*VLOOKUP('Données projet'!$B$12,Paramètres!$A$1:$I$89,5,0)</f>
        <v>1.0818439477588981E-13</v>
      </c>
      <c r="CA198" s="13">
        <f t="shared" si="170"/>
        <v>1.6104228458716316E-12</v>
      </c>
      <c r="CB198" s="20">
        <f t="shared" si="171"/>
        <v>2.9932409441277661E-12</v>
      </c>
      <c r="CC198" s="59">
        <f t="shared" si="195"/>
        <v>293.33333333333633</v>
      </c>
      <c r="CD198" s="59">
        <f ca="1">AVERAGE(OFFSET($CC$3,0,0,'Données projet'!$E$12+1,1))-AVERAGE(OFFSET($H$3,0,0,'Données projet'!$E$12+1,1))</f>
        <v>609.40025883662452</v>
      </c>
      <c r="CE198" s="59">
        <f t="shared" si="207"/>
        <v>294.48909834404577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4.0641218724245268E-2</v>
      </c>
      <c r="CM198" s="21">
        <f>EXP(-LN(2)/2)*CM197+(1-EXP(-LN(2)/2))/(LN(2)/2)*CG198*CJ198*VLOOKUP('Données projet'!$B$12,Paramètres!$A$1:$I$89,3,0)*0.475*44/12</f>
        <v>1.1487939434612607E-24</v>
      </c>
      <c r="CN198" s="22">
        <f t="shared" si="172"/>
        <v>4.0641218724245268E-2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-1.1368683772161603E-13</v>
      </c>
      <c r="CU198" s="17">
        <f>CT198*VLOOKUP('Données projet'!$B$13,Paramètres!$A$1:$I$89,3,0)*VLOOKUP('Données projet'!$B$13,Paramètres!$A$1:$I$89,5,0)</f>
        <v>-5.3205440053716299E-14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346.16623654404509</v>
      </c>
      <c r="CZ198" s="59">
        <f t="shared" si="208"/>
        <v>281.80933156559087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0.11940930540117195</v>
      </c>
      <c r="DG198" s="21">
        <f>EXP(-LN(2)/25)*DG197+(1-EXP(-LN(2)/25))/(LN(2)/25)*Calculateur!DB198*Calculateur!DD198*VLOOKUP('Données projet'!$B$13,Paramètres!$A$1:$I$89,3,0)*0.475*44/12</f>
        <v>8.0979276233504274E-2</v>
      </c>
      <c r="DH198" s="21">
        <f>EXP(-LN(2)/2)*DH197+(1-EXP(-LN(2)/2))/(LN(2)/2)*DB198*DE198*VLOOKUP('Données projet'!$B$13,Paramètres!$A$1:$I$89,3,0)*0.475*44/12</f>
        <v>1.4377223462016061E-24</v>
      </c>
      <c r="DI198" s="22">
        <f t="shared" si="175"/>
        <v>0.20038858163467621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6.2527760746888816E-13</v>
      </c>
      <c r="DP198" s="17">
        <f>DO198*VLOOKUP('Données projet'!$B$14,Paramètres!$A$1:$I$89,3,0)*VLOOKUP('Données projet'!$B$14,Paramètres!$A$1:$I$89,5,0)</f>
        <v>3.9017322706058616E-13</v>
      </c>
      <c r="DQ198" s="13">
        <f t="shared" si="176"/>
        <v>5.0025007393608908E-12</v>
      </c>
      <c r="DR198" s="20">
        <f t="shared" si="177"/>
        <v>9.3922404915174053E-12</v>
      </c>
      <c r="DS198" s="59">
        <f t="shared" si="197"/>
        <v>293.33333333334269</v>
      </c>
      <c r="DT198" s="59">
        <f ca="1">AVERAGE(OFFSET($DS$3,0,0,'Données projet'!$E$14+1,1))-AVERAGE(OFFSET($H$3,0,0,'Données projet'!$E$14+1,1))</f>
        <v>319.97171762304686</v>
      </c>
      <c r="DU198" s="59">
        <f t="shared" si="209"/>
        <v>337.89345858359621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0.26488101019867805</v>
      </c>
      <c r="EB198" s="21">
        <f>EXP(-LN(2)/25)*EB197+(1-EXP(-LN(2)/25))/(LN(2)/25)*Calculateur!DW198*Calculateur!DY198*VLOOKUP('Données projet'!$B$14,Paramètres!$A$1:$I$89,3,0)*0.475*44/12</f>
        <v>0.21429538795737382</v>
      </c>
      <c r="EC198" s="21">
        <f>EXP(-LN(2)/2)*EC197+(1-EXP(-LN(2)/2))/(LN(2)/2)*DW198*DZ198*VLOOKUP('Données projet'!$B$14,Paramètres!$A$1:$I$89,3,0)*0.475*44/12</f>
        <v>2.9524273385348294E-24</v>
      </c>
      <c r="ED198" s="22">
        <f t="shared" si="178"/>
        <v>0.47917639815605184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>
        <f>EJ198*VLOOKUP('Données projet'!$B$15,Paramètres!$A$1:$I$89,3,0)*VLOOKUP('Données projet'!$B$15,Paramètres!$A$1:$I$89,5,0)</f>
        <v>0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258.46015871559956</v>
      </c>
      <c r="EP198" s="59">
        <f t="shared" si="210"/>
        <v>280.26155987300996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0.23665109038095117</v>
      </c>
      <c r="EW198" s="21">
        <f>EXP(-LN(2)/25)*EW197+(1-EXP(-LN(2)/25))/(LN(2)/25)*Calculateur!ER198*Calculateur!ET198*VLOOKUP('Données projet'!$B$15,Paramètres!$A$1:$I$89,3,0)*0.475*44/12</f>
        <v>0.12711481779894362</v>
      </c>
      <c r="EX198" s="21">
        <f>EXP(-LN(2)/2)*EX197+(1-EXP(-LN(2)/2))/(LN(2)/2)*ER198*EU198*VLOOKUP('Données projet'!$B$15,Paramètres!$A$1:$I$89,3,0)*0.475*44/12</f>
        <v>7.9630320229060941E-25</v>
      </c>
      <c r="EY198" s="22">
        <f t="shared" si="181"/>
        <v>0.36376590817989479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243.00000000000017</v>
      </c>
      <c r="O199" s="13">
        <f>N199*VLOOKUP('Données projet'!$B$9,Paramètres!$A$1:$I$89,3,0)*VLOOKUP('Données projet'!$B$9,Paramètres!$A$1:$I$89,5,0)</f>
        <v>212.28480000000016</v>
      </c>
      <c r="P199" s="13">
        <f t="shared" si="203"/>
        <v>52.434557099704236</v>
      </c>
      <c r="Q199" s="20">
        <f t="shared" si="162"/>
        <v>461.0528802819851</v>
      </c>
      <c r="R199" s="59">
        <f t="shared" si="191"/>
        <v>754.38621361531841</v>
      </c>
      <c r="S199" s="59">
        <f ca="1">AVERAGE(OFFSET($R$3,0,0,'Données projet'!$E$9+1,1))-AVERAGE(OFFSET($H$3,0,0,'Données projet'!$E$9+1,1))</f>
        <v>368.41876532159154</v>
      </c>
      <c r="T199" s="59">
        <f t="shared" si="204"/>
        <v>369.39570124551125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0.22999666572161351</v>
      </c>
      <c r="AA199" s="21">
        <f>EXP(-LN(2)/25)*AA198+(1-EXP(-LN(2)/25))/(LN(2)/25)*Calculateur!V199*Calculateur!X199*VLOOKUP('Données projet'!$B$9,Paramètres!$A$1:$I$89,3,0)*0.475*44/12</f>
        <v>0.16264415920963016</v>
      </c>
      <c r="AB199" s="21">
        <f>EXP(-LN(2)/2)*AB198+(1-EXP(-LN(2)/2))/(LN(2)/2)*V199*Y199*VLOOKUP('Données projet'!$B$9,Paramètres!$A$1:$I$89,3,0)*0.475*44/12</f>
        <v>1.8374411785259087E-24</v>
      </c>
      <c r="AC199" s="22">
        <f t="shared" si="163"/>
        <v>0.39264082493124364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-5.1159076974727213E-13</v>
      </c>
      <c r="AJ199" s="13">
        <f>AI199*VLOOKUP('Données projet'!$B$10,Paramètres!$A$1:$I$89,3,0)*VLOOKUP('Données projet'!$B$10,Paramètres!$A$1:$I$89,5,0)</f>
        <v>-4.4692569645121704E-13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402.82278346470082</v>
      </c>
      <c r="AO199" s="59">
        <f t="shared" si="205"/>
        <v>440.17787299198977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0.13381086563986661</v>
      </c>
      <c r="AV199" s="21">
        <f>EXP(-LN(2)/25)*AV198+(1-EXP(-LN(2)/25))/(LN(2)/25)*Calculateur!AQ199*Calculateur!AS199*VLOOKUP('Données projet'!$B$10,Paramètres!$A$1:$I$89,3,0)*0.475*44/12</f>
        <v>0.22591633187861263</v>
      </c>
      <c r="AW199" s="21">
        <f>EXP(-LN(2)/2)*AW198+(1-EXP(-LN(2)/2))/(LN(2)/2)*AQ199*AT199*VLOOKUP('Données projet'!$B$10,Paramètres!$A$1:$I$89,3,0)*0.475*44/12</f>
        <v>2.7292619911500598E-24</v>
      </c>
      <c r="AX199" s="21">
        <f t="shared" si="166"/>
        <v>0.35972719751847926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-3.4106051316484809E-13</v>
      </c>
      <c r="BE199" s="13">
        <f>BD199*VLOOKUP('Données projet'!$B$11,Paramètres!$A$1:$I$89,3,0)*VLOOKUP('Données projet'!$B$11,Paramètres!$A$1:$I$89,5,0)</f>
        <v>-3.0859155231155454E-13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469.68830256438338</v>
      </c>
      <c r="BJ199" s="59">
        <f t="shared" si="206"/>
        <v>332.61387922152159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8.9952641214508633E-2</v>
      </c>
      <c r="BQ199" s="21">
        <f>EXP(-LN(2)/25)*BQ198+(1-EXP(-LN(2)/25))/(LN(2)/25)*Calculateur!BL199*Calculateur!BN199*VLOOKUP('Données projet'!$B$11,Paramètres!$A$1:$I$89,3,0)*0.475*44/12</f>
        <v>0.11313016666182417</v>
      </c>
      <c r="BR199" s="21">
        <f>EXP(-LN(2)/2)*BR198+(1-EXP(-LN(2)/2))/(LN(2)/2)*BL199*BO199*VLOOKUP('Données projet'!$B$11,Paramètres!$A$1:$I$89,3,0)*0.475*44/12</f>
        <v>2.2285627894209079E-24</v>
      </c>
      <c r="BS199" s="22">
        <f t="shared" si="169"/>
        <v>0.20308280787633282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1.1368683772161603E-13</v>
      </c>
      <c r="BZ199" s="13">
        <f>BY199*VLOOKUP('Données projet'!$B$12,Paramètres!$A$1:$I$89,3,0)*VLOOKUP('Données projet'!$B$12,Paramètres!$A$1:$I$89,5,0)</f>
        <v>1.0818439477588981E-13</v>
      </c>
      <c r="CA199" s="13">
        <f t="shared" si="170"/>
        <v>1.6104228458716316E-12</v>
      </c>
      <c r="CB199" s="20">
        <f t="shared" si="171"/>
        <v>2.9932409441277661E-12</v>
      </c>
      <c r="CC199" s="59">
        <f t="shared" si="195"/>
        <v>293.33333333333633</v>
      </c>
      <c r="CD199" s="59">
        <f ca="1">AVERAGE(OFFSET($CC$3,0,0,'Données projet'!$E$12+1,1))-AVERAGE(OFFSET($H$3,0,0,'Données projet'!$E$12+1,1))</f>
        <v>609.40025883662452</v>
      </c>
      <c r="CE199" s="59">
        <f t="shared" si="207"/>
        <v>294.48909834404577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3.9529882461001975E-2</v>
      </c>
      <c r="CM199" s="21">
        <f>EXP(-LN(2)/2)*CM198+(1-EXP(-LN(2)/2))/(LN(2)/2)*CG199*CJ199*VLOOKUP('Données projet'!$B$12,Paramètres!$A$1:$I$89,3,0)*0.475*44/12</f>
        <v>8.1231998760749284E-25</v>
      </c>
      <c r="CN199" s="22">
        <f t="shared" si="172"/>
        <v>3.9529882461001975E-2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-1.1368683772161603E-13</v>
      </c>
      <c r="CU199" s="17">
        <f>CT199*VLOOKUP('Données projet'!$B$13,Paramètres!$A$1:$I$89,3,0)*VLOOKUP('Données projet'!$B$13,Paramètres!$A$1:$I$89,5,0)</f>
        <v>-5.3205440053716299E-14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346.16623654404509</v>
      </c>
      <c r="CZ199" s="59">
        <f t="shared" si="208"/>
        <v>281.80933156559087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0.11706776175473965</v>
      </c>
      <c r="DG199" s="21">
        <f>EXP(-LN(2)/25)*DG198+(1-EXP(-LN(2)/25))/(LN(2)/25)*Calculateur!DB199*Calculateur!DD199*VLOOKUP('Données projet'!$B$13,Paramètres!$A$1:$I$89,3,0)*0.475*44/12</f>
        <v>7.8764893666384048E-2</v>
      </c>
      <c r="DH199" s="21">
        <f>EXP(-LN(2)/2)*DH198+(1-EXP(-LN(2)/2))/(LN(2)/2)*DB199*DE199*VLOOKUP('Données projet'!$B$13,Paramètres!$A$1:$I$89,3,0)*0.475*44/12</f>
        <v>1.0166232204625888E-24</v>
      </c>
      <c r="DI199" s="22">
        <f t="shared" si="175"/>
        <v>0.19583265542112371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6.2527760746888816E-13</v>
      </c>
      <c r="DP199" s="17">
        <f>DO199*VLOOKUP('Données projet'!$B$14,Paramètres!$A$1:$I$89,3,0)*VLOOKUP('Données projet'!$B$14,Paramètres!$A$1:$I$89,5,0)</f>
        <v>3.9017322706058616E-13</v>
      </c>
      <c r="DQ199" s="13">
        <f t="shared" si="176"/>
        <v>5.0025007393608908E-12</v>
      </c>
      <c r="DR199" s="20">
        <f t="shared" si="177"/>
        <v>9.3922404915174053E-12</v>
      </c>
      <c r="DS199" s="59">
        <f t="shared" si="197"/>
        <v>293.33333333334269</v>
      </c>
      <c r="DT199" s="59">
        <f ca="1">AVERAGE(OFFSET($DS$3,0,0,'Données projet'!$E$14+1,1))-AVERAGE(OFFSET($H$3,0,0,'Données projet'!$E$14+1,1))</f>
        <v>319.97171762304686</v>
      </c>
      <c r="DU199" s="59">
        <f t="shared" si="209"/>
        <v>337.89345858359621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0.25968685515014533</v>
      </c>
      <c r="EB199" s="21">
        <f>EXP(-LN(2)/25)*EB198+(1-EXP(-LN(2)/25))/(LN(2)/25)*Calculateur!DW199*Calculateur!DY199*VLOOKUP('Données projet'!$B$14,Paramètres!$A$1:$I$89,3,0)*0.475*44/12</f>
        <v>0.20843546930437476</v>
      </c>
      <c r="EC199" s="21">
        <f>EXP(-LN(2)/2)*EC198+(1-EXP(-LN(2)/2))/(LN(2)/2)*DW199*DZ199*VLOOKUP('Données projet'!$B$14,Paramètres!$A$1:$I$89,3,0)*0.475*44/12</f>
        <v>2.0876813920385285E-24</v>
      </c>
      <c r="ED199" s="22">
        <f t="shared" si="178"/>
        <v>0.46812232445452007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>
        <f>EJ199*VLOOKUP('Données projet'!$B$15,Paramètres!$A$1:$I$89,3,0)*VLOOKUP('Données projet'!$B$15,Paramètres!$A$1:$I$89,5,0)</f>
        <v>0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258.46015871559956</v>
      </c>
      <c r="EP199" s="59">
        <f t="shared" si="210"/>
        <v>280.26155987300996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0.23201050684149316</v>
      </c>
      <c r="EW199" s="21">
        <f>EXP(-LN(2)/25)*EW198+(1-EXP(-LN(2)/25))/(LN(2)/25)*Calculateur!ER199*Calculateur!ET199*VLOOKUP('Données projet'!$B$15,Paramètres!$A$1:$I$89,3,0)*0.475*44/12</f>
        <v>0.12363885642155377</v>
      </c>
      <c r="EX199" s="21">
        <f>EXP(-LN(2)/2)*EX198+(1-EXP(-LN(2)/2))/(LN(2)/2)*ER199*EU199*VLOOKUP('Données projet'!$B$15,Paramètres!$A$1:$I$89,3,0)*0.475*44/12</f>
        <v>5.6307139422025303E-25</v>
      </c>
      <c r="EY199" s="22">
        <f t="shared" si="181"/>
        <v>0.35564936326304691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243.00000000000017</v>
      </c>
      <c r="O200" s="13">
        <f>N200*VLOOKUP('Données projet'!$B$9,Paramètres!$A$1:$I$89,3,0)*VLOOKUP('Données projet'!$B$9,Paramètres!$A$1:$I$89,5,0)</f>
        <v>212.28480000000016</v>
      </c>
      <c r="P200" s="13">
        <f t="shared" si="203"/>
        <v>52.434557099704236</v>
      </c>
      <c r="Q200" s="20">
        <f t="shared" si="162"/>
        <v>461.0528802819851</v>
      </c>
      <c r="R200" s="59">
        <f t="shared" si="191"/>
        <v>754.38621361531841</v>
      </c>
      <c r="S200" s="59">
        <f ca="1">AVERAGE(OFFSET($R$3,0,0,'Données projet'!$E$9+1,1))-AVERAGE(OFFSET($H$3,0,0,'Données projet'!$E$9+1,1))</f>
        <v>368.41876532159154</v>
      </c>
      <c r="T200" s="59">
        <f t="shared" si="204"/>
        <v>369.39570124551125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0.22548657139092684</v>
      </c>
      <c r="AA200" s="21">
        <f>EXP(-LN(2)/25)*AA199+(1-EXP(-LN(2)/25))/(LN(2)/25)*Calculateur!V200*Calculateur!X200*VLOOKUP('Données projet'!$B$9,Paramètres!$A$1:$I$89,3,0)*0.475*44/12</f>
        <v>0.15819664612295822</v>
      </c>
      <c r="AB200" s="21">
        <f>EXP(-LN(2)/2)*AB199+(1-EXP(-LN(2)/2))/(LN(2)/2)*V200*Y200*VLOOKUP('Données projet'!$B$9,Paramètres!$A$1:$I$89,3,0)*0.475*44/12</f>
        <v>1.2992671173670718E-24</v>
      </c>
      <c r="AC200" s="22">
        <f t="shared" si="163"/>
        <v>0.38368321751388507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-5.1159076974727213E-13</v>
      </c>
      <c r="AJ200" s="13">
        <f>AI200*VLOOKUP('Données projet'!$B$10,Paramètres!$A$1:$I$89,3,0)*VLOOKUP('Données projet'!$B$10,Paramètres!$A$1:$I$89,5,0)</f>
        <v>-4.4692569645121704E-13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402.82278346470082</v>
      </c>
      <c r="AO200" s="59">
        <f t="shared" si="205"/>
        <v>440.17787299198977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0.1311869161812379</v>
      </c>
      <c r="AV200" s="21">
        <f>EXP(-LN(2)/25)*AV199+(1-EXP(-LN(2)/25))/(LN(2)/25)*Calculateur!AQ200*Calculateur!AS200*VLOOKUP('Données projet'!$B$10,Paramètres!$A$1:$I$89,3,0)*0.475*44/12</f>
        <v>0.21973863790296841</v>
      </c>
      <c r="AW200" s="21">
        <f>EXP(-LN(2)/2)*AW199+(1-EXP(-LN(2)/2))/(LN(2)/2)*AQ200*AT200*VLOOKUP('Données projet'!$B$10,Paramètres!$A$1:$I$89,3,0)*0.475*44/12</f>
        <v>1.9298796615769063E-24</v>
      </c>
      <c r="AX200" s="21">
        <f t="shared" si="166"/>
        <v>0.35092555408420634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-3.4106051316484809E-13</v>
      </c>
      <c r="BE200" s="13">
        <f>BD200*VLOOKUP('Données projet'!$B$11,Paramètres!$A$1:$I$89,3,0)*VLOOKUP('Données projet'!$B$11,Paramètres!$A$1:$I$89,5,0)</f>
        <v>-3.0859155231155454E-13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469.68830256438338</v>
      </c>
      <c r="BJ200" s="59">
        <f t="shared" si="206"/>
        <v>332.61387922152159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8.8188724785985717E-2</v>
      </c>
      <c r="BQ200" s="21">
        <f>EXP(-LN(2)/25)*BQ199+(1-EXP(-LN(2)/25))/(LN(2)/25)*Calculateur!BL200*Calculateur!BN200*VLOOKUP('Données projet'!$B$11,Paramètres!$A$1:$I$89,3,0)*0.475*44/12</f>
        <v>0.11003661630519969</v>
      </c>
      <c r="BR200" s="21">
        <f>EXP(-LN(2)/2)*BR199+(1-EXP(-LN(2)/2))/(LN(2)/2)*BL200*BO200*VLOOKUP('Données projet'!$B$11,Paramètres!$A$1:$I$89,3,0)*0.475*44/12</f>
        <v>1.5758318606995319E-24</v>
      </c>
      <c r="BS200" s="22">
        <f t="shared" si="169"/>
        <v>0.19822534109118539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1.1368683772161603E-13</v>
      </c>
      <c r="BZ200" s="13">
        <f>BY200*VLOOKUP('Données projet'!$B$12,Paramètres!$A$1:$I$89,3,0)*VLOOKUP('Données projet'!$B$12,Paramètres!$A$1:$I$89,5,0)</f>
        <v>1.0818439477588981E-13</v>
      </c>
      <c r="CA200" s="13">
        <f t="shared" si="170"/>
        <v>1.6104228458716316E-12</v>
      </c>
      <c r="CB200" s="20">
        <f t="shared" si="171"/>
        <v>2.9932409441277661E-12</v>
      </c>
      <c r="CC200" s="59">
        <f t="shared" si="195"/>
        <v>293.33333333333633</v>
      </c>
      <c r="CD200" s="59">
        <f ca="1">AVERAGE(OFFSET($CC$3,0,0,'Données projet'!$E$12+1,1))-AVERAGE(OFFSET($H$3,0,0,'Données projet'!$E$12+1,1))</f>
        <v>609.40025883662452</v>
      </c>
      <c r="CE200" s="59">
        <f t="shared" si="207"/>
        <v>294.48909834404577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3.8448935746319704E-2</v>
      </c>
      <c r="CM200" s="21">
        <f>EXP(-LN(2)/2)*CM199+(1-EXP(-LN(2)/2))/(LN(2)/2)*CG200*CJ200*VLOOKUP('Données projet'!$B$12,Paramètres!$A$1:$I$89,3,0)*0.475*44/12</f>
        <v>5.7439697173063046E-25</v>
      </c>
      <c r="CN200" s="22">
        <f t="shared" si="172"/>
        <v>3.8448935746319704E-2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-1.1368683772161603E-13</v>
      </c>
      <c r="CU200" s="17">
        <f>CT200*VLOOKUP('Données projet'!$B$13,Paramètres!$A$1:$I$89,3,0)*VLOOKUP('Données projet'!$B$13,Paramètres!$A$1:$I$89,5,0)</f>
        <v>-5.3205440053716299E-14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346.16623654404509</v>
      </c>
      <c r="CZ200" s="59">
        <f t="shared" si="208"/>
        <v>281.80933156559087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0.11477213435101329</v>
      </c>
      <c r="DG200" s="21">
        <f>EXP(-LN(2)/25)*DG199+(1-EXP(-LN(2)/25))/(LN(2)/25)*Calculateur!DB200*Calculateur!DD200*VLOOKUP('Données projet'!$B$13,Paramètres!$A$1:$I$89,3,0)*0.475*44/12</f>
        <v>7.6611063507011037E-2</v>
      </c>
      <c r="DH200" s="21">
        <f>EXP(-LN(2)/2)*DH199+(1-EXP(-LN(2)/2))/(LN(2)/2)*DB200*DE200*VLOOKUP('Données projet'!$B$13,Paramètres!$A$1:$I$89,3,0)*0.475*44/12</f>
        <v>7.1886117310080304E-25</v>
      </c>
      <c r="DI200" s="22">
        <f t="shared" si="175"/>
        <v>0.19138319785802432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6.2527760746888816E-13</v>
      </c>
      <c r="DP200" s="17">
        <f>DO200*VLOOKUP('Données projet'!$B$14,Paramètres!$A$1:$I$89,3,0)*VLOOKUP('Données projet'!$B$14,Paramètres!$A$1:$I$89,5,0)</f>
        <v>3.9017322706058616E-13</v>
      </c>
      <c r="DQ200" s="13">
        <f t="shared" si="176"/>
        <v>5.0025007393608908E-12</v>
      </c>
      <c r="DR200" s="20">
        <f t="shared" si="177"/>
        <v>9.3922404915174053E-12</v>
      </c>
      <c r="DS200" s="59">
        <f t="shared" si="197"/>
        <v>293.33333333334269</v>
      </c>
      <c r="DT200" s="59">
        <f ca="1">AVERAGE(OFFSET($DS$3,0,0,'Données projet'!$E$14+1,1))-AVERAGE(OFFSET($H$3,0,0,'Données projet'!$E$14+1,1))</f>
        <v>319.97171762304686</v>
      </c>
      <c r="DU200" s="59">
        <f t="shared" si="209"/>
        <v>337.89345858359621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0.25459455431399258</v>
      </c>
      <c r="EB200" s="21">
        <f>EXP(-LN(2)/25)*EB199+(1-EXP(-LN(2)/25))/(LN(2)/25)*Calculateur!DW200*Calculateur!DY200*VLOOKUP('Données projet'!$B$14,Paramètres!$A$1:$I$89,3,0)*0.475*44/12</f>
        <v>0.20273579043510168</v>
      </c>
      <c r="EC200" s="21">
        <f>EXP(-LN(2)/2)*EC199+(1-EXP(-LN(2)/2))/(LN(2)/2)*DW200*DZ200*VLOOKUP('Données projet'!$B$14,Paramètres!$A$1:$I$89,3,0)*0.475*44/12</f>
        <v>1.4762136692674147E-24</v>
      </c>
      <c r="ED200" s="22">
        <f t="shared" si="178"/>
        <v>0.45733034474909429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>
        <f>EJ200*VLOOKUP('Données projet'!$B$15,Paramètres!$A$1:$I$89,3,0)*VLOOKUP('Données projet'!$B$15,Paramètres!$A$1:$I$89,5,0)</f>
        <v>0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258.46015871559956</v>
      </c>
      <c r="EP200" s="59">
        <f t="shared" si="210"/>
        <v>280.26155987300996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0.22746092231476747</v>
      </c>
      <c r="EW200" s="21">
        <f>EXP(-LN(2)/25)*EW199+(1-EXP(-LN(2)/25))/(LN(2)/25)*Calculateur!ER200*Calculateur!ET200*VLOOKUP('Données projet'!$B$15,Paramètres!$A$1:$I$89,3,0)*0.475*44/12</f>
        <v>0.12025794539082151</v>
      </c>
      <c r="EX200" s="21">
        <f>EXP(-LN(2)/2)*EX199+(1-EXP(-LN(2)/2))/(LN(2)/2)*ER200*EU200*VLOOKUP('Données projet'!$B$15,Paramètres!$A$1:$I$89,3,0)*0.475*44/12</f>
        <v>3.9815160114530471E-25</v>
      </c>
      <c r="EY200" s="22">
        <f t="shared" si="181"/>
        <v>0.34771886770558896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243.00000000000017</v>
      </c>
      <c r="O201" s="13">
        <f>N201*VLOOKUP('Données projet'!$B$9,Paramètres!$A$1:$I$89,3,0)*VLOOKUP('Données projet'!$B$9,Paramètres!$A$1:$I$89,5,0)</f>
        <v>212.28480000000016</v>
      </c>
      <c r="P201" s="13">
        <f t="shared" si="203"/>
        <v>52.434557099704236</v>
      </c>
      <c r="Q201" s="20">
        <f t="shared" si="162"/>
        <v>461.0528802819851</v>
      </c>
      <c r="R201" s="59">
        <f t="shared" si="191"/>
        <v>754.38621361531841</v>
      </c>
      <c r="S201" s="59">
        <f ca="1">AVERAGE(OFFSET($R$3,0,0,'Données projet'!$E$9+1,1))-AVERAGE(OFFSET($H$3,0,0,'Données projet'!$E$9+1,1))</f>
        <v>368.41876532159154</v>
      </c>
      <c r="T201" s="59">
        <f t="shared" si="204"/>
        <v>369.39570124551125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0.22106491725917904</v>
      </c>
      <c r="AA201" s="21">
        <f>EXP(-LN(2)/25)*AA200+(1-EXP(-LN(2)/25))/(LN(2)/25)*Calculateur!V201*Calculateur!X201*VLOOKUP('Données projet'!$B$9,Paramètres!$A$1:$I$89,3,0)*0.475*44/12</f>
        <v>0.15387075051552587</v>
      </c>
      <c r="AB201" s="21">
        <f>EXP(-LN(2)/2)*AB200+(1-EXP(-LN(2)/2))/(LN(2)/2)*V201*Y201*VLOOKUP('Données projet'!$B$9,Paramètres!$A$1:$I$89,3,0)*0.475*44/12</f>
        <v>9.1872058926295437E-25</v>
      </c>
      <c r="AC201" s="22">
        <f t="shared" si="163"/>
        <v>0.37493566777470488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-5.1159076974727213E-13</v>
      </c>
      <c r="AJ201" s="13">
        <f>AI201*VLOOKUP('Données projet'!$B$10,Paramètres!$A$1:$I$89,3,0)*VLOOKUP('Données projet'!$B$10,Paramètres!$A$1:$I$89,5,0)</f>
        <v>-4.4692569645121704E-13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402.82278346470082</v>
      </c>
      <c r="AO201" s="59">
        <f t="shared" si="205"/>
        <v>440.17787299198977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0.12861442077104177</v>
      </c>
      <c r="AV201" s="21">
        <f>EXP(-LN(2)/25)*AV200+(1-EXP(-LN(2)/25))/(LN(2)/25)*Calculateur!AQ201*Calculateur!AS201*VLOOKUP('Données projet'!$B$10,Paramètres!$A$1:$I$89,3,0)*0.475*44/12</f>
        <v>0.21372987329395898</v>
      </c>
      <c r="AW201" s="21">
        <f>EXP(-LN(2)/2)*AW200+(1-EXP(-LN(2)/2))/(LN(2)/2)*AQ201*AT201*VLOOKUP('Données projet'!$B$10,Paramètres!$A$1:$I$89,3,0)*0.475*44/12</f>
        <v>1.3646309955750299E-24</v>
      </c>
      <c r="AX201" s="21">
        <f t="shared" si="166"/>
        <v>0.34234429406500078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-3.4106051316484809E-13</v>
      </c>
      <c r="BE201" s="13">
        <f>BD201*VLOOKUP('Données projet'!$B$11,Paramètres!$A$1:$I$89,3,0)*VLOOKUP('Données projet'!$B$11,Paramètres!$A$1:$I$89,5,0)</f>
        <v>-3.0859155231155454E-13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469.68830256438338</v>
      </c>
      <c r="BJ201" s="59">
        <f t="shared" si="206"/>
        <v>332.61387922152159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8.6459397682743355E-2</v>
      </c>
      <c r="BQ201" s="21">
        <f>EXP(-LN(2)/25)*BQ200+(1-EXP(-LN(2)/25))/(LN(2)/25)*Calculateur!BL201*Calculateur!BN201*VLOOKUP('Données projet'!$B$11,Paramètres!$A$1:$I$89,3,0)*0.475*44/12</f>
        <v>0.10702765924575984</v>
      </c>
      <c r="BR201" s="21">
        <f>EXP(-LN(2)/2)*BR200+(1-EXP(-LN(2)/2))/(LN(2)/2)*BL201*BO201*VLOOKUP('Données projet'!$B$11,Paramètres!$A$1:$I$89,3,0)*0.475*44/12</f>
        <v>1.1142813947104539E-24</v>
      </c>
      <c r="BS201" s="22">
        <f t="shared" si="169"/>
        <v>0.19348705692850321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1.1368683772161603E-13</v>
      </c>
      <c r="BZ201" s="13">
        <f>BY201*VLOOKUP('Données projet'!$B$12,Paramètres!$A$1:$I$89,3,0)*VLOOKUP('Données projet'!$B$12,Paramètres!$A$1:$I$89,5,0)</f>
        <v>1.0818439477588981E-13</v>
      </c>
      <c r="CA201" s="13">
        <f t="shared" si="170"/>
        <v>1.6104228458716316E-12</v>
      </c>
      <c r="CB201" s="20">
        <f t="shared" si="171"/>
        <v>2.9932409441277661E-12</v>
      </c>
      <c r="CC201" s="59">
        <f t="shared" si="195"/>
        <v>293.33333333333633</v>
      </c>
      <c r="CD201" s="59">
        <f ca="1">AVERAGE(OFFSET($CC$3,0,0,'Données projet'!$E$12+1,1))-AVERAGE(OFFSET($H$3,0,0,'Données projet'!$E$12+1,1))</f>
        <v>609.40025883662452</v>
      </c>
      <c r="CE201" s="59">
        <f t="shared" si="207"/>
        <v>294.48909834404577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3.7397547576394935E-2</v>
      </c>
      <c r="CM201" s="21">
        <f>EXP(-LN(2)/2)*CM200+(1-EXP(-LN(2)/2))/(LN(2)/2)*CG201*CJ201*VLOOKUP('Données projet'!$B$12,Paramètres!$A$1:$I$89,3,0)*0.475*44/12</f>
        <v>4.0615999380374646E-25</v>
      </c>
      <c r="CN201" s="22">
        <f t="shared" si="172"/>
        <v>3.7397547576394935E-2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-1.1368683772161603E-13</v>
      </c>
      <c r="CU201" s="17">
        <f>CT201*VLOOKUP('Données projet'!$B$13,Paramètres!$A$1:$I$89,3,0)*VLOOKUP('Données projet'!$B$13,Paramètres!$A$1:$I$89,5,0)</f>
        <v>-5.3205440053716299E-14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346.16623654404509</v>
      </c>
      <c r="CZ201" s="59">
        <f t="shared" si="208"/>
        <v>281.80933156559087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0.11252152280047954</v>
      </c>
      <c r="DG201" s="21">
        <f>EXP(-LN(2)/25)*DG200+(1-EXP(-LN(2)/25))/(LN(2)/25)*Calculateur!DB201*Calculateur!DD201*VLOOKUP('Données projet'!$B$13,Paramètres!$A$1:$I$89,3,0)*0.475*44/12</f>
        <v>7.4516129946611082E-2</v>
      </c>
      <c r="DH201" s="21">
        <f>EXP(-LN(2)/2)*DH200+(1-EXP(-LN(2)/2))/(LN(2)/2)*DB201*DE201*VLOOKUP('Données projet'!$B$13,Paramètres!$A$1:$I$89,3,0)*0.475*44/12</f>
        <v>5.0831161023129439E-25</v>
      </c>
      <c r="DI201" s="22">
        <f t="shared" si="175"/>
        <v>0.18703765274709061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6.2527760746888816E-13</v>
      </c>
      <c r="DP201" s="17">
        <f>DO201*VLOOKUP('Données projet'!$B$14,Paramètres!$A$1:$I$89,3,0)*VLOOKUP('Données projet'!$B$14,Paramètres!$A$1:$I$89,5,0)</f>
        <v>3.9017322706058616E-13</v>
      </c>
      <c r="DQ201" s="13">
        <f t="shared" si="176"/>
        <v>5.0025007393608908E-12</v>
      </c>
      <c r="DR201" s="20">
        <f t="shared" si="177"/>
        <v>9.3922404915174053E-12</v>
      </c>
      <c r="DS201" s="59">
        <f t="shared" si="197"/>
        <v>293.33333333334269</v>
      </c>
      <c r="DT201" s="59">
        <f ca="1">AVERAGE(OFFSET($DS$3,0,0,'Données projet'!$E$14+1,1))-AVERAGE(OFFSET($H$3,0,0,'Données projet'!$E$14+1,1))</f>
        <v>319.97171762304686</v>
      </c>
      <c r="DU201" s="59">
        <f t="shared" si="209"/>
        <v>337.89345858359621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0.24960211039123997</v>
      </c>
      <c r="EB201" s="21">
        <f>EXP(-LN(2)/25)*EB200+(1-EXP(-LN(2)/25))/(LN(2)/25)*Calculateur!DW201*Calculateur!DY201*VLOOKUP('Données projet'!$B$14,Paramètres!$A$1:$I$89,3,0)*0.475*44/12</f>
        <v>0.19719196958424196</v>
      </c>
      <c r="EC201" s="21">
        <f>EXP(-LN(2)/2)*EC200+(1-EXP(-LN(2)/2))/(LN(2)/2)*DW201*DZ201*VLOOKUP('Données projet'!$B$14,Paramètres!$A$1:$I$89,3,0)*0.475*44/12</f>
        <v>1.0438406960192642E-24</v>
      </c>
      <c r="ED201" s="22">
        <f t="shared" si="178"/>
        <v>0.44679407997548193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>
        <f>EJ201*VLOOKUP('Données projet'!$B$15,Paramètres!$A$1:$I$89,3,0)*VLOOKUP('Données projet'!$B$15,Paramètres!$A$1:$I$89,5,0)</f>
        <v>0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258.46015871559956</v>
      </c>
      <c r="EP201" s="59">
        <f t="shared" si="210"/>
        <v>280.26155987300996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0.22300055236563832</v>
      </c>
      <c r="EW201" s="21">
        <f>EXP(-LN(2)/25)*EW200+(1-EXP(-LN(2)/25))/(LN(2)/25)*Calculateur!ER201*Calculateur!ET201*VLOOKUP('Données projet'!$B$15,Paramètres!$A$1:$I$89,3,0)*0.475*44/12</f>
        <v>0.116969485550019</v>
      </c>
      <c r="EX201" s="21">
        <f>EXP(-LN(2)/2)*EX200+(1-EXP(-LN(2)/2))/(LN(2)/2)*ER201*EU201*VLOOKUP('Données projet'!$B$15,Paramètres!$A$1:$I$89,3,0)*0.475*44/12</f>
        <v>2.8153569711012652E-25</v>
      </c>
      <c r="EY201" s="22">
        <f t="shared" si="181"/>
        <v>0.33997003791565733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243.00000000000017</v>
      </c>
      <c r="O202" s="13">
        <f>N202*VLOOKUP('Données projet'!$B$9,Paramètres!$A$1:$I$89,3,0)*VLOOKUP('Données projet'!$B$9,Paramètres!$A$1:$I$89,5,0)</f>
        <v>212.28480000000016</v>
      </c>
      <c r="P202" s="13">
        <f t="shared" si="203"/>
        <v>52.434557099704236</v>
      </c>
      <c r="Q202" s="20">
        <f t="shared" si="162"/>
        <v>461.0528802819851</v>
      </c>
      <c r="R202" s="59">
        <f t="shared" si="191"/>
        <v>754.38621361531841</v>
      </c>
      <c r="S202" s="59">
        <f ca="1">AVERAGE(OFFSET($R$3,0,0,'Données projet'!$E$9+1,1))-AVERAGE(OFFSET($H$3,0,0,'Données projet'!$E$9+1,1))</f>
        <v>368.41876532159154</v>
      </c>
      <c r="T202" s="59">
        <f t="shared" si="204"/>
        <v>369.39570124551125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0.21672996906801209</v>
      </c>
      <c r="AA202" s="21">
        <f>EXP(-LN(2)/25)*AA201+(1-EXP(-LN(2)/25))/(LN(2)/25)*Calculateur!V202*Calculateur!X202*VLOOKUP('Données projet'!$B$9,Paramètres!$A$1:$I$89,3,0)*0.475*44/12</f>
        <v>0.14966314675096773</v>
      </c>
      <c r="AB202" s="21">
        <f>EXP(-LN(2)/2)*AB201+(1-EXP(-LN(2)/2))/(LN(2)/2)*V202*Y202*VLOOKUP('Données projet'!$B$9,Paramètres!$A$1:$I$89,3,0)*0.475*44/12</f>
        <v>6.4963355868353589E-25</v>
      </c>
      <c r="AC202" s="22">
        <f t="shared" si="163"/>
        <v>0.36639311581897982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-5.1159076974727213E-13</v>
      </c>
      <c r="AJ202" s="13">
        <f>AI202*VLOOKUP('Données projet'!$B$10,Paramètres!$A$1:$I$89,3,0)*VLOOKUP('Données projet'!$B$10,Paramètres!$A$1:$I$89,5,0)</f>
        <v>-4.4692569645121704E-13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402.82278346470082</v>
      </c>
      <c r="AO202" s="59">
        <f t="shared" si="205"/>
        <v>440.17787299198977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0.12609237042677229</v>
      </c>
      <c r="AV202" s="21">
        <f>EXP(-LN(2)/25)*AV201+(1-EXP(-LN(2)/25))/(LN(2)/25)*Calculateur!AQ202*Calculateur!AS202*VLOOKUP('Données projet'!$B$10,Paramètres!$A$1:$I$89,3,0)*0.475*44/12</f>
        <v>0.20788541866917012</v>
      </c>
      <c r="AW202" s="21">
        <f>EXP(-LN(2)/2)*AW201+(1-EXP(-LN(2)/2))/(LN(2)/2)*AQ202*AT202*VLOOKUP('Données projet'!$B$10,Paramètres!$A$1:$I$89,3,0)*0.475*44/12</f>
        <v>9.6493983078845315E-25</v>
      </c>
      <c r="AX202" s="21">
        <f t="shared" si="166"/>
        <v>0.33397778909594245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-3.4106051316484809E-13</v>
      </c>
      <c r="BE202" s="13">
        <f>BD202*VLOOKUP('Données projet'!$B$11,Paramètres!$A$1:$I$89,3,0)*VLOOKUP('Données projet'!$B$11,Paramètres!$A$1:$I$89,5,0)</f>
        <v>-3.0859155231155454E-13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469.68830256438338</v>
      </c>
      <c r="BJ202" s="59">
        <f t="shared" si="206"/>
        <v>332.61387922152159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8.47639816292102E-2</v>
      </c>
      <c r="BQ202" s="21">
        <f>EXP(-LN(2)/25)*BQ201+(1-EXP(-LN(2)/25))/(LN(2)/25)*Calculateur!BL202*Calculateur!BN202*VLOOKUP('Données projet'!$B$11,Paramètres!$A$1:$I$89,3,0)*0.475*44/12</f>
        <v>0.10410098227534455</v>
      </c>
      <c r="BR202" s="21">
        <f>EXP(-LN(2)/2)*BR201+(1-EXP(-LN(2)/2))/(LN(2)/2)*BL202*BO202*VLOOKUP('Données projet'!$B$11,Paramètres!$A$1:$I$89,3,0)*0.475*44/12</f>
        <v>7.8791593034976596E-25</v>
      </c>
      <c r="BS202" s="22">
        <f t="shared" si="169"/>
        <v>0.18886496390455476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1.1368683772161603E-13</v>
      </c>
      <c r="BZ202" s="13">
        <f>BY202*VLOOKUP('Données projet'!$B$12,Paramètres!$A$1:$I$89,3,0)*VLOOKUP('Données projet'!$B$12,Paramètres!$A$1:$I$89,5,0)</f>
        <v>1.0818439477588981E-13</v>
      </c>
      <c r="CA202" s="13">
        <f t="shared" si="170"/>
        <v>1.6104228458716316E-12</v>
      </c>
      <c r="CB202" s="20">
        <f t="shared" si="171"/>
        <v>2.9932409441277661E-12</v>
      </c>
      <c r="CC202" s="59">
        <f t="shared" si="195"/>
        <v>293.33333333333633</v>
      </c>
      <c r="CD202" s="59">
        <f ca="1">AVERAGE(OFFSET($CC$3,0,0,'Données projet'!$E$12+1,1))-AVERAGE(OFFSET($H$3,0,0,'Données projet'!$E$12+1,1))</f>
        <v>609.40025883662452</v>
      </c>
      <c r="CE202" s="59">
        <f t="shared" si="207"/>
        <v>294.48909834404577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3.6374909671266858E-2</v>
      </c>
      <c r="CM202" s="21">
        <f>EXP(-LN(2)/2)*CM201+(1-EXP(-LN(2)/2))/(LN(2)/2)*CG202*CJ202*VLOOKUP('Données projet'!$B$12,Paramètres!$A$1:$I$89,3,0)*0.475*44/12</f>
        <v>2.8719848586531528E-25</v>
      </c>
      <c r="CN202" s="22">
        <f t="shared" si="172"/>
        <v>3.6374909671266858E-2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-1.1368683772161603E-13</v>
      </c>
      <c r="CU202" s="17">
        <f>CT202*VLOOKUP('Données projet'!$B$13,Paramètres!$A$1:$I$89,3,0)*VLOOKUP('Données projet'!$B$13,Paramètres!$A$1:$I$89,5,0)</f>
        <v>-5.3205440053716299E-14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346.16623654404509</v>
      </c>
      <c r="CZ202" s="59">
        <f t="shared" si="208"/>
        <v>281.80933156559087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0.11031504436971426</v>
      </c>
      <c r="DG202" s="21">
        <f>EXP(-LN(2)/25)*DG201+(1-EXP(-LN(2)/25))/(LN(2)/25)*Calculateur!DB202*Calculateur!DD202*VLOOKUP('Données projet'!$B$13,Paramètres!$A$1:$I$89,3,0)*0.475*44/12</f>
        <v>7.2478482454588031E-2</v>
      </c>
      <c r="DH202" s="21">
        <f>EXP(-LN(2)/2)*DH201+(1-EXP(-LN(2)/2))/(LN(2)/2)*DB202*DE202*VLOOKUP('Données projet'!$B$13,Paramètres!$A$1:$I$89,3,0)*0.475*44/12</f>
        <v>3.5943058655040152E-25</v>
      </c>
      <c r="DI202" s="22">
        <f t="shared" si="175"/>
        <v>0.18279352682430228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6.2527760746888816E-13</v>
      </c>
      <c r="DP202" s="17">
        <f>DO202*VLOOKUP('Données projet'!$B$14,Paramètres!$A$1:$I$89,3,0)*VLOOKUP('Données projet'!$B$14,Paramètres!$A$1:$I$89,5,0)</f>
        <v>3.9017322706058616E-13</v>
      </c>
      <c r="DQ202" s="13">
        <f t="shared" si="176"/>
        <v>5.0025007393608908E-12</v>
      </c>
      <c r="DR202" s="20">
        <f t="shared" si="177"/>
        <v>9.3922404915174053E-12</v>
      </c>
      <c r="DS202" s="59">
        <f t="shared" si="197"/>
        <v>293.33333333334269</v>
      </c>
      <c r="DT202" s="59">
        <f ca="1">AVERAGE(OFFSET($DS$3,0,0,'Données projet'!$E$14+1,1))-AVERAGE(OFFSET($H$3,0,0,'Données projet'!$E$14+1,1))</f>
        <v>319.97171762304686</v>
      </c>
      <c r="DU202" s="59">
        <f t="shared" si="209"/>
        <v>337.89345858359621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0.24470756524872242</v>
      </c>
      <c r="EB202" s="21">
        <f>EXP(-LN(2)/25)*EB201+(1-EXP(-LN(2)/25))/(LN(2)/25)*Calculateur!DW202*Calculateur!DY202*VLOOKUP('Données projet'!$B$14,Paramètres!$A$1:$I$89,3,0)*0.475*44/12</f>
        <v>0.19179974480608586</v>
      </c>
      <c r="EC202" s="21">
        <f>EXP(-LN(2)/2)*EC201+(1-EXP(-LN(2)/2))/(LN(2)/2)*DW202*DZ202*VLOOKUP('Données projet'!$B$14,Paramètres!$A$1:$I$89,3,0)*0.475*44/12</f>
        <v>7.3810683463370735E-25</v>
      </c>
      <c r="ED202" s="22">
        <f t="shared" si="178"/>
        <v>0.43650731005480825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>
        <f>EJ202*VLOOKUP('Données projet'!$B$15,Paramètres!$A$1:$I$89,3,0)*VLOOKUP('Données projet'!$B$15,Paramètres!$A$1:$I$89,5,0)</f>
        <v>0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258.46015871559956</v>
      </c>
      <c r="EP202" s="59">
        <f t="shared" si="210"/>
        <v>280.26155987300996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0.21862764755065453</v>
      </c>
      <c r="EW202" s="21">
        <f>EXP(-LN(2)/25)*EW201+(1-EXP(-LN(2)/25))/(LN(2)/25)*Calculateur!ER202*Calculateur!ET202*VLOOKUP('Données projet'!$B$15,Paramètres!$A$1:$I$89,3,0)*0.475*44/12</f>
        <v>0.11377094881649583</v>
      </c>
      <c r="EX202" s="21">
        <f>EXP(-LN(2)/2)*EX201+(1-EXP(-LN(2)/2))/(LN(2)/2)*ER202*EU202*VLOOKUP('Données projet'!$B$15,Paramètres!$A$1:$I$89,3,0)*0.475*44/12</f>
        <v>1.9907580057265235E-25</v>
      </c>
      <c r="EY202" s="22">
        <f t="shared" si="181"/>
        <v>0.33239859636715036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243.00000000000017</v>
      </c>
      <c r="O203" s="13">
        <f>N203*VLOOKUP('Données projet'!$B$9,Paramètres!$A$1:$I$89,3,0)*VLOOKUP('Données projet'!$B$9,Paramètres!$A$1:$I$89,5,0)</f>
        <v>212.28480000000016</v>
      </c>
      <c r="P203" s="13">
        <f t="shared" si="203"/>
        <v>52.434557099704236</v>
      </c>
      <c r="Q203" s="20">
        <f t="shared" si="162"/>
        <v>461.0528802819851</v>
      </c>
      <c r="R203" s="59">
        <f t="shared" si="191"/>
        <v>754.38621361531841</v>
      </c>
      <c r="S203" s="59">
        <f ca="1">AVERAGE(OFFSET($R$3,0,0,'Données projet'!$E$9+1,1))-AVERAGE(OFFSET($H$3,0,0,'Données projet'!$E$9+1,1))</f>
        <v>368.41876532159154</v>
      </c>
      <c r="T203" s="59">
        <f t="shared" si="204"/>
        <v>369.39570124551125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0.21248002656681661</v>
      </c>
      <c r="AA203" s="21">
        <f>EXP(-LN(2)/25)*AA202+(1-EXP(-LN(2)/25))/(LN(2)/25)*Calculateur!V203*Calculateur!X203*VLOOKUP('Données projet'!$B$9,Paramètres!$A$1:$I$89,3,0)*0.475*44/12</f>
        <v>0.14557060013261969</v>
      </c>
      <c r="AB203" s="21">
        <f>EXP(-LN(2)/2)*AB202+(1-EXP(-LN(2)/2))/(LN(2)/2)*V203*Y203*VLOOKUP('Données projet'!$B$9,Paramètres!$A$1:$I$89,3,0)*0.475*44/12</f>
        <v>4.5936029463147719E-25</v>
      </c>
      <c r="AC203" s="22">
        <f t="shared" si="163"/>
        <v>0.35805062669943633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-5.1159076974727213E-13</v>
      </c>
      <c r="AJ203" s="13">
        <f>AI203*VLOOKUP('Données projet'!$B$10,Paramètres!$A$1:$I$89,3,0)*VLOOKUP('Données projet'!$B$10,Paramètres!$A$1:$I$89,5,0)</f>
        <v>-4.4692569645121704E-13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402.82278346470082</v>
      </c>
      <c r="AO203" s="59">
        <f t="shared" si="205"/>
        <v>440.17787299198977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0.12361977595145514</v>
      </c>
      <c r="AV203" s="21">
        <f>EXP(-LN(2)/25)*AV202+(1-EXP(-LN(2)/25))/(LN(2)/25)*Calculateur!AQ203*Calculateur!AS203*VLOOKUP('Données projet'!$B$10,Paramètres!$A$1:$I$89,3,0)*0.475*44/12</f>
        <v>0.20220078096344263</v>
      </c>
      <c r="AW203" s="21">
        <f>EXP(-LN(2)/2)*AW202+(1-EXP(-LN(2)/2))/(LN(2)/2)*AQ203*AT203*VLOOKUP('Données projet'!$B$10,Paramètres!$A$1:$I$89,3,0)*0.475*44/12</f>
        <v>6.8231549778751495E-25</v>
      </c>
      <c r="AX203" s="21">
        <f t="shared" si="166"/>
        <v>0.32582055691489775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-3.4106051316484809E-13</v>
      </c>
      <c r="BE203" s="13">
        <f>BD203*VLOOKUP('Données projet'!$B$11,Paramètres!$A$1:$I$89,3,0)*VLOOKUP('Données projet'!$B$11,Paramètres!$A$1:$I$89,5,0)</f>
        <v>-3.0859155231155454E-13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469.68830256438338</v>
      </c>
      <c r="BJ203" s="59">
        <f t="shared" si="206"/>
        <v>332.61387922152159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8.3101811650385146E-2</v>
      </c>
      <c r="BQ203" s="21">
        <f>EXP(-LN(2)/25)*BQ202+(1-EXP(-LN(2)/25))/(LN(2)/25)*Calculateur!BL203*Calculateur!BN203*VLOOKUP('Données projet'!$B$11,Paramètres!$A$1:$I$89,3,0)*0.475*44/12</f>
        <v>0.10125433544059252</v>
      </c>
      <c r="BR203" s="21">
        <f>EXP(-LN(2)/2)*BR202+(1-EXP(-LN(2)/2))/(LN(2)/2)*BL203*BO203*VLOOKUP('Données projet'!$B$11,Paramètres!$A$1:$I$89,3,0)*0.475*44/12</f>
        <v>5.5714069735522697E-25</v>
      </c>
      <c r="BS203" s="22">
        <f t="shared" si="169"/>
        <v>0.18435614709097767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1.1368683772161603E-13</v>
      </c>
      <c r="BZ203" s="13">
        <f>BY203*VLOOKUP('Données projet'!$B$12,Paramètres!$A$1:$I$89,3,0)*VLOOKUP('Données projet'!$B$12,Paramètres!$A$1:$I$89,5,0)</f>
        <v>1.0818439477588981E-13</v>
      </c>
      <c r="CA203" s="13">
        <f t="shared" si="170"/>
        <v>1.6104228458716316E-12</v>
      </c>
      <c r="CB203" s="20">
        <f t="shared" si="171"/>
        <v>2.9932409441277661E-12</v>
      </c>
      <c r="CC203" s="59">
        <f t="shared" si="195"/>
        <v>293.33333333333633</v>
      </c>
      <c r="CD203" s="59">
        <f ca="1">AVERAGE(OFFSET($CC$3,0,0,'Données projet'!$E$12+1,1))-AVERAGE(OFFSET($H$3,0,0,'Données projet'!$E$12+1,1))</f>
        <v>609.40025883662452</v>
      </c>
      <c r="CE203" s="59">
        <f t="shared" si="207"/>
        <v>294.48909834404577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3.5380235853432702E-2</v>
      </c>
      <c r="CM203" s="21">
        <f>EXP(-LN(2)/2)*CM202+(1-EXP(-LN(2)/2))/(LN(2)/2)*CG203*CJ203*VLOOKUP('Données projet'!$B$12,Paramètres!$A$1:$I$89,3,0)*0.475*44/12</f>
        <v>2.0307999690187325E-25</v>
      </c>
      <c r="CN203" s="22">
        <f t="shared" si="172"/>
        <v>3.5380235853432702E-2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-1.1368683772161603E-13</v>
      </c>
      <c r="CU203" s="17">
        <f>CT203*VLOOKUP('Données projet'!$B$13,Paramètres!$A$1:$I$89,3,0)*VLOOKUP('Données projet'!$B$13,Paramètres!$A$1:$I$89,5,0)</f>
        <v>-5.3205440053716299E-14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346.16623654404509</v>
      </c>
      <c r="CZ203" s="59">
        <f t="shared" si="208"/>
        <v>281.80933156559087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0.10815183363515733</v>
      </c>
      <c r="DG203" s="21">
        <f>EXP(-LN(2)/25)*DG202+(1-EXP(-LN(2)/25))/(LN(2)/25)*Calculateur!DB203*Calculateur!DD203*VLOOKUP('Données projet'!$B$13,Paramètres!$A$1:$I$89,3,0)*0.475*44/12</f>
        <v>7.0496554540389583E-2</v>
      </c>
      <c r="DH203" s="21">
        <f>EXP(-LN(2)/2)*DH202+(1-EXP(-LN(2)/2))/(LN(2)/2)*DB203*DE203*VLOOKUP('Données projet'!$B$13,Paramètres!$A$1:$I$89,3,0)*0.475*44/12</f>
        <v>2.5415580511564719E-25</v>
      </c>
      <c r="DI203" s="22">
        <f t="shared" si="175"/>
        <v>0.1786483881755469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6.2527760746888816E-13</v>
      </c>
      <c r="DP203" s="17">
        <f>DO203*VLOOKUP('Données projet'!$B$14,Paramètres!$A$1:$I$89,3,0)*VLOOKUP('Données projet'!$B$14,Paramètres!$A$1:$I$89,5,0)</f>
        <v>3.9017322706058616E-13</v>
      </c>
      <c r="DQ203" s="13">
        <f t="shared" si="176"/>
        <v>5.0025007393608908E-12</v>
      </c>
      <c r="DR203" s="20">
        <f t="shared" si="177"/>
        <v>9.3922404915174053E-12</v>
      </c>
      <c r="DS203" s="59">
        <f t="shared" si="197"/>
        <v>293.33333333334269</v>
      </c>
      <c r="DT203" s="59">
        <f ca="1">AVERAGE(OFFSET($DS$3,0,0,'Données projet'!$E$14+1,1))-AVERAGE(OFFSET($H$3,0,0,'Données projet'!$E$14+1,1))</f>
        <v>319.97171762304686</v>
      </c>
      <c r="DU203" s="59">
        <f t="shared" si="209"/>
        <v>337.89345858359621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0.23990899915107189</v>
      </c>
      <c r="EB203" s="21">
        <f>EXP(-LN(2)/25)*EB202+(1-EXP(-LN(2)/25))/(LN(2)/25)*Calculateur!DW203*Calculateur!DY203*VLOOKUP('Données projet'!$B$14,Paramètres!$A$1:$I$89,3,0)*0.475*44/12</f>
        <v>0.18655497069805321</v>
      </c>
      <c r="EC203" s="21">
        <f>EXP(-LN(2)/2)*EC202+(1-EXP(-LN(2)/2))/(LN(2)/2)*DW203*DZ203*VLOOKUP('Données projet'!$B$14,Paramètres!$A$1:$I$89,3,0)*0.475*44/12</f>
        <v>5.2192034800963212E-25</v>
      </c>
      <c r="ED203" s="22">
        <f t="shared" si="178"/>
        <v>0.4264639698491251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>
        <f>EJ203*VLOOKUP('Données projet'!$B$15,Paramètres!$A$1:$I$89,3,0)*VLOOKUP('Données projet'!$B$15,Paramètres!$A$1:$I$89,5,0)</f>
        <v>0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258.46015871559956</v>
      </c>
      <c r="EP203" s="59">
        <f t="shared" si="210"/>
        <v>280.26155987300996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0.21434049273188402</v>
      </c>
      <c r="EW203" s="21">
        <f>EXP(-LN(2)/25)*EW202+(1-EXP(-LN(2)/25))/(LN(2)/25)*Calculateur!ER203*Calculateur!ET203*VLOOKUP('Données projet'!$B$15,Paramètres!$A$1:$I$89,3,0)*0.475*44/12</f>
        <v>0.11065987623815457</v>
      </c>
      <c r="EX203" s="21">
        <f>EXP(-LN(2)/2)*EX202+(1-EXP(-LN(2)/2))/(LN(2)/2)*ER203*EU203*VLOOKUP('Données projet'!$B$15,Paramètres!$A$1:$I$89,3,0)*0.475*44/12</f>
        <v>1.4076784855506326E-25</v>
      </c>
      <c r="EY203" s="22">
        <f t="shared" si="181"/>
        <v>0.32500036897003859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1.4003603312913959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1.2709816152101407</v>
      </c>
      <c r="BA205" s="82">
        <f>EXP(LN('Données projet'!B88)/'Données projet'!A88)</f>
        <v>1.2392705892426346</v>
      </c>
      <c r="BV205" s="82">
        <f>EXP(LN('Données projet'!B114)/'Données projet'!A114)</f>
        <v>1.189207115002721</v>
      </c>
      <c r="CQ205" s="82">
        <f>EXP(LN('Données projet'!B140)/'Données projet'!A140)</f>
        <v>1.2880503926580862</v>
      </c>
      <c r="DL205" s="82">
        <f>EXP(LN('Données projet'!B166)/'Données projet'!A166)</f>
        <v>1.2693871579679339</v>
      </c>
      <c r="EG205" s="82">
        <f>EXP(LN('Données projet'!B192)/'Données projet'!A192)</f>
        <v>1.3480061545972777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K29" sqref="K2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rouge d'Amérique</v>
      </c>
      <c r="B6" s="146">
        <f>'Données projet'!D9</f>
        <v>1.1460000000000001</v>
      </c>
      <c r="C6" s="147">
        <f ca="1">IF(OR('Données projet'!B9="",'Données projet'!C9="",'Données projet'!C9=0%),0,Calculateur!S3)</f>
        <v>368.41876532159154</v>
      </c>
      <c r="D6" s="147">
        <f>IF(OR('Données projet'!B9="",'Données projet'!C9="",'Données projet'!C9=0%),0,Calculateur!T3)</f>
        <v>369.39570124551125</v>
      </c>
      <c r="E6" s="147">
        <f ca="1">MIN(C6,D6)</f>
        <v>368.41876532159154</v>
      </c>
      <c r="F6" s="147">
        <f ca="1">E6*B6</f>
        <v>422.20790505854393</v>
      </c>
      <c r="G6" s="147">
        <f ca="1">F6*(100%-'Données projet'!$C$24)*(100%-'Données projet'!$C$25)*(100%-'Données projet'!$C$26)*(100%-'Données projet'!$C$27)</f>
        <v>341.98840309742059</v>
      </c>
      <c r="H6" s="148">
        <f>IF(OR('Données projet'!B9="",'Données projet'!C9="",'Données projet'!C9=0%),0,AVERAGE(Calculateur!$AC$3:$AC$33)*B6)</f>
        <v>7.9831317873383476</v>
      </c>
      <c r="I6" s="149">
        <f>H6*(100%-'Données projet'!$C$24)*(100%-'Données projet'!$C$25)*(100%-'Données projet'!$C$26)*(100%-'Données projet'!$C$27)</f>
        <v>6.4663367477440623</v>
      </c>
      <c r="J6" s="150">
        <f>IF(OR('Données projet'!B9="",'Données projet'!C9="",'Données projet'!C9=0%),0,SUM(Calculateur!$V$3:$V$33)*VLOOKUP('Données projet'!$B$9,Paramètres!$A$1:$I$89,9,0)*B6)</f>
        <v>30.369000000000003</v>
      </c>
      <c r="K6" s="151">
        <f>J6*(100%-'Données projet'!$C$24)*(100%-'Données projet'!$C$25)*(100%-'Données projet'!$C$26)*(100%-'Données projet'!$C$27)</f>
        <v>24.598890000000004</v>
      </c>
      <c r="L6" s="152">
        <f ca="1">G6+I6+K6</f>
        <v>373.05362984516461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Erable champêtre</v>
      </c>
      <c r="B7" s="154">
        <f>'Données projet'!D10</f>
        <v>0.57300000000000006</v>
      </c>
      <c r="C7" s="147">
        <f ca="1">IF(OR('Données projet'!B10="",'Données projet'!C10="",'Données projet'!C10=0%),0,Calculateur!AN3)</f>
        <v>402.82278346470082</v>
      </c>
      <c r="D7" s="147">
        <f>IF(OR('Données projet'!B10="",'Données projet'!C10="",'Données projet'!C10=0%),0,Calculateur!AO3)</f>
        <v>440.17787299198977</v>
      </c>
      <c r="E7" s="147">
        <f t="shared" ref="E7:E15" ca="1" si="0">MIN(C7,D7)</f>
        <v>402.82278346470082</v>
      </c>
      <c r="F7" s="147">
        <f t="shared" ref="F7:F15" ca="1" si="1">E7*B7</f>
        <v>230.81745492527361</v>
      </c>
      <c r="G7" s="147">
        <f ca="1">F7*(100%-'Données projet'!$C$24)*(100%-'Données projet'!$C$25)*(100%-'Données projet'!$C$26)*(100%-'Données projet'!$C$27)</f>
        <v>186.96213848947164</v>
      </c>
      <c r="H7" s="155">
        <f>IF(OR('Données projet'!B10="",'Données projet'!C10="",'Données projet'!C10=0%),0,AVERAGE(Calculateur!$AX$3:$AX$33)*B7)</f>
        <v>3.2123778669591552</v>
      </c>
      <c r="I7" s="149">
        <f>H7*(100%-'Données projet'!$C$24)*(100%-'Données projet'!$C$25)*(100%-'Données projet'!$C$26)*(100%-'Données projet'!$C$27)</f>
        <v>2.602026072236916</v>
      </c>
      <c r="J7" s="150">
        <f>IF(OR('Données projet'!B10="",'Données projet'!C10="",'Données projet'!C10=0%),0,SUM(Calculateur!$AQ$3:$AQ$33)*VLOOKUP('Données projet'!$B$10,Paramètres!$A$1:$I$89,9,0)*B7)</f>
        <v>19.625250000000001</v>
      </c>
      <c r="K7" s="151">
        <f>J7*(100%-'Données projet'!$C$24)*(100%-'Données projet'!$C$25)*(100%-'Données projet'!$C$26)*(100%-'Données projet'!$C$27)</f>
        <v>15.896452500000002</v>
      </c>
      <c r="L7" s="152">
        <f t="shared" ref="L7:L15" ca="1" si="2">G7+I7+K7</f>
        <v>205.46061706170858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Chêne sessile</v>
      </c>
      <c r="B8" s="154">
        <f>'Données projet'!D11</f>
        <v>3.3425000000000002</v>
      </c>
      <c r="C8" s="147">
        <f ca="1">IF(OR('Données projet'!B11="",'Données projet'!C11="",'Données projet'!C11=0%),0,Calculateur!BI3)</f>
        <v>469.68830256438338</v>
      </c>
      <c r="D8" s="147">
        <f>IF(OR('Données projet'!B11="",'Données projet'!C11="",'Données projet'!C11=0%),0,Calculateur!BJ3)</f>
        <v>332.61387922152159</v>
      </c>
      <c r="E8" s="147">
        <f t="shared" ca="1" si="0"/>
        <v>332.61387922152159</v>
      </c>
      <c r="F8" s="147">
        <f t="shared" ca="1" si="1"/>
        <v>1111.761891297936</v>
      </c>
      <c r="G8" s="147">
        <f ca="1">F8*(100%-'Données projet'!$C$24)*(100%-'Données projet'!$C$25)*(100%-'Données projet'!$C$26)*(100%-'Données projet'!$C$27)</f>
        <v>900.52713195132822</v>
      </c>
      <c r="H8" s="155">
        <f>IF(OR('Données projet'!B11="",'Données projet'!C11="",'Données projet'!C11=0%),0,AVERAGE(Calculateur!$BS$3:$BS$33)*B8)</f>
        <v>4.8703988617352216</v>
      </c>
      <c r="I8" s="149">
        <f>H8*(100%-'Données projet'!$C$24)*(100%-'Données projet'!$C$25)*(100%-'Données projet'!$C$26)*(100%-'Données projet'!$C$27)</f>
        <v>3.9450230780055295</v>
      </c>
      <c r="J8" s="150">
        <f>IF(OR('Données projet'!B11="",'Données projet'!C11="",'Données projet'!C11=0%),0,SUM(Calculateur!$BL$3:$BL$33)*VLOOKUP('Données projet'!$B$11,Paramètres!$A$1:$I$89,9,0)*B8)</f>
        <v>51.808750000000003</v>
      </c>
      <c r="K8" s="151">
        <f>J8*(100%-'Données projet'!$C$24)*(100%-'Données projet'!$C$25)*(100%-'Données projet'!$C$26)*(100%-'Données projet'!$C$27)</f>
        <v>41.965087500000003</v>
      </c>
      <c r="L8" s="152">
        <f t="shared" ca="1" si="2"/>
        <v>946.43724252933373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Charme</v>
      </c>
      <c r="B9" s="154">
        <f>'Données projet'!D12</f>
        <v>0.57300000000000006</v>
      </c>
      <c r="C9" s="147">
        <f ca="1">IF(OR('Données projet'!B12="",'Données projet'!C12="",'Données projet'!C12=0%),0,Calculateur!CD3)</f>
        <v>609.40025883662452</v>
      </c>
      <c r="D9" s="147">
        <f>IF(OR('Données projet'!B12="",'Données projet'!C12="",'Données projet'!C12=0%),0,Calculateur!CE3)</f>
        <v>294.48909834404577</v>
      </c>
      <c r="E9" s="147">
        <f t="shared" ca="1" si="0"/>
        <v>294.48909834404577</v>
      </c>
      <c r="F9" s="147">
        <f t="shared" ca="1" si="1"/>
        <v>168.74225335113826</v>
      </c>
      <c r="G9" s="147">
        <f ca="1">F9*(100%-'Données projet'!$C$24)*(100%-'Données projet'!$C$25)*(100%-'Données projet'!$C$26)*(100%-'Données projet'!$C$27)</f>
        <v>136.681225214422</v>
      </c>
      <c r="H9" s="155">
        <f>IF(OR('Données projet'!B12="",'Données projet'!C12="",'Données projet'!C12=0%),0,AVERAGE(Calculateur!$CN$3:$CN$33)*B9)</f>
        <v>0.21808589308926932</v>
      </c>
      <c r="I9" s="149">
        <f>H9*(100%-'Données projet'!$C$24)*(100%-'Données projet'!$C$25)*(100%-'Données projet'!$C$26)*(100%-'Données projet'!$C$27)</f>
        <v>0.17664957340230816</v>
      </c>
      <c r="J9" s="150">
        <f>IF(OR('Données projet'!B12="",'Données projet'!C12="",'Données projet'!C12=0%),0,SUM(Calculateur!$CG$3:$CG$33)*VLOOKUP('Données projet'!$B$12,Paramètres!$A$1:$I$89,9,0)*B9)</f>
        <v>5.0137500000000008</v>
      </c>
      <c r="K9" s="151">
        <f>J9*(100%-'Données projet'!$C$24)*(100%-'Données projet'!$C$25)*(100%-'Données projet'!$C$26)*(100%-'Données projet'!$C$27)</f>
        <v>4.061137500000001</v>
      </c>
      <c r="L9" s="152">
        <f t="shared" ca="1" si="2"/>
        <v>140.9190122878243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Cèdre de l'Atlas</v>
      </c>
      <c r="B10" s="154">
        <f>'Données projet'!D13</f>
        <v>2.3875000000000002</v>
      </c>
      <c r="C10" s="147">
        <f ca="1">IF(OR('Données projet'!B13="",'Données projet'!C13="",'Données projet'!C13=0%),0,Calculateur!CY3)</f>
        <v>346.16623654404509</v>
      </c>
      <c r="D10" s="147">
        <f>IF(OR('Données projet'!B13="",'Données projet'!C13="",'Données projet'!C13=0%),0,Calculateur!CZ3)</f>
        <v>281.80933156559087</v>
      </c>
      <c r="E10" s="147">
        <f t="shared" ca="1" si="0"/>
        <v>281.80933156559087</v>
      </c>
      <c r="F10" s="147">
        <f t="shared" ca="1" si="1"/>
        <v>672.81977911284821</v>
      </c>
      <c r="G10" s="147">
        <f ca="1">F10*(100%-'Données projet'!$C$24)*(100%-'Données projet'!$C$25)*(100%-'Données projet'!$C$26)*(100%-'Données projet'!$C$27)</f>
        <v>544.98402108140704</v>
      </c>
      <c r="H10" s="155">
        <f>IF(OR('Données projet'!B13="",'Données projet'!C13="",'Données projet'!C13=0%),0,AVERAGE(Calculateur!$DI$3:$DI$33)*B10)</f>
        <v>3.8969574942071374</v>
      </c>
      <c r="I10" s="149">
        <f>H10*(100%-'Données projet'!$C$24)*(100%-'Données projet'!$C$25)*(100%-'Données projet'!$C$26)*(100%-'Données projet'!$C$27)</f>
        <v>3.1565355703077813</v>
      </c>
      <c r="J10" s="150">
        <f>IF(OR('Données projet'!B13="",'Données projet'!C13="",'Données projet'!C13=0%),0,SUM(Calculateur!$DB$3:$DB$33)*VLOOKUP('Données projet'!$B$13,Paramètres!$A$1:$I$89,9,0)*B10)</f>
        <v>59.954900000000002</v>
      </c>
      <c r="K10" s="151">
        <f>J10*(100%-'Données projet'!$C$24)*(100%-'Données projet'!$C$25)*(100%-'Données projet'!$C$26)*(100%-'Données projet'!$C$27)</f>
        <v>48.563469000000005</v>
      </c>
      <c r="L10" s="152">
        <f t="shared" ca="1" si="2"/>
        <v>596.70402565171491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Mélèze d'Europe</v>
      </c>
      <c r="B11" s="154">
        <f>'Données projet'!D14</f>
        <v>0.76400000000000012</v>
      </c>
      <c r="C11" s="147">
        <f ca="1">IF(OR('Données projet'!B14="",'Données projet'!C14="",'Données projet'!C14=0%),0,Calculateur!DT3)</f>
        <v>319.97171762304686</v>
      </c>
      <c r="D11" s="147">
        <f>IF(OR('Données projet'!B14="",'Données projet'!C14="",'Données projet'!C14=0%),0,Calculateur!DU3)</f>
        <v>337.89345858359621</v>
      </c>
      <c r="E11" s="147">
        <f t="shared" ca="1" si="0"/>
        <v>319.97171762304686</v>
      </c>
      <c r="F11" s="147">
        <f t="shared" ca="1" si="1"/>
        <v>244.45839226400784</v>
      </c>
      <c r="G11" s="147">
        <f ca="1">F11*(100%-'Données projet'!$C$24)*(100%-'Données projet'!$C$25)*(100%-'Données projet'!$C$26)*(100%-'Données projet'!$C$27)</f>
        <v>198.01129773384636</v>
      </c>
      <c r="H11" s="155">
        <f>IF(OR('Données projet'!B14="",'Données projet'!C14="",'Données projet'!C14=0%),0,AVERAGE(Calculateur!$ED$3:$ED$33)*B11)</f>
        <v>4.2440336157029295</v>
      </c>
      <c r="I11" s="149">
        <f>H11*(100%-'Données projet'!$C$24)*(100%-'Données projet'!$C$25)*(100%-'Données projet'!$C$26)*(100%-'Données projet'!$C$27)</f>
        <v>3.437667228719373</v>
      </c>
      <c r="J11" s="150">
        <f>IF(OR('Données projet'!B14="",'Données projet'!C14="",'Données projet'!C14=0%),0,SUM(Calculateur!$DW$3:$DW$33)*VLOOKUP('Données projet'!$B$14,Paramètres!$A$1:$I$89,9,0)*B11)</f>
        <v>35.151640000000008</v>
      </c>
      <c r="K11" s="151">
        <f>J11*(100%-'Données projet'!$C$24)*(100%-'Données projet'!$C$25)*(100%-'Données projet'!$C$26)*(100%-'Données projet'!$C$27)</f>
        <v>28.472828400000008</v>
      </c>
      <c r="L11" s="152">
        <f t="shared" ca="1" si="2"/>
        <v>229.92179336256572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Pin maritime</v>
      </c>
      <c r="B12" s="154">
        <f>'Données projet'!D15</f>
        <v>0.76400000000000012</v>
      </c>
      <c r="C12" s="147">
        <f ca="1">IF(OR('Données projet'!B15="",'Données projet'!C15="",'Données projet'!C15=0%),0,Calculateur!EO3)</f>
        <v>258.46015871559956</v>
      </c>
      <c r="D12" s="147">
        <f>IF(OR('Données projet'!B15="",'Données projet'!C15="",'Données projet'!C15=0%),0,Calculateur!EP3)</f>
        <v>280.26155987300996</v>
      </c>
      <c r="E12" s="147">
        <f t="shared" ca="1" si="0"/>
        <v>258.46015871559956</v>
      </c>
      <c r="F12" s="147">
        <f t="shared" ca="1" si="1"/>
        <v>197.4635612587181</v>
      </c>
      <c r="G12" s="147">
        <f ca="1">F12*(100%-'Données projet'!$C$24)*(100%-'Données projet'!$C$25)*(100%-'Données projet'!$C$26)*(100%-'Données projet'!$C$27)</f>
        <v>159.94548461956165</v>
      </c>
      <c r="H12" s="155">
        <f>IF(OR('Données projet'!B15="",'Données projet'!C15="",'Données projet'!C15=0%),0,AVERAGE(Calculateur!$EY$3:$EY$33)*B12)</f>
        <v>5.562752396604334</v>
      </c>
      <c r="I12" s="149">
        <f>H12*(100%-'Données projet'!$C$24)*(100%-'Données projet'!$C$25)*(100%-'Données projet'!$C$26)*(100%-'Données projet'!$C$27)</f>
        <v>4.505829441249511</v>
      </c>
      <c r="J12" s="150">
        <f>IF(OR('Données projet'!B15="",'Données projet'!C15="",'Données projet'!C15=0%),0,SUM(Calculateur!$ER$3:$ER$33)*VLOOKUP('Données projet'!$B$15,Paramètres!$A$1:$I$89,9,0)*B12)</f>
        <v>46.428280000000008</v>
      </c>
      <c r="K12" s="151">
        <f>J12*(100%-'Données projet'!$C$24)*(100%-'Données projet'!$C$25)*(100%-'Données projet'!$C$26)*(100%-'Données projet'!$C$27)</f>
        <v>37.606906800000004</v>
      </c>
      <c r="L12" s="152">
        <f t="shared" ca="1" si="2"/>
        <v>202.05822086081116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3048.2712372684655</v>
      </c>
      <c r="G16" s="166">
        <f t="shared" ca="1" si="3"/>
        <v>2469.0997021874573</v>
      </c>
      <c r="H16" s="167">
        <f t="shared" si="3"/>
        <v>29.987737915636394</v>
      </c>
      <c r="I16" s="167">
        <f t="shared" si="3"/>
        <v>24.290067711665483</v>
      </c>
      <c r="J16" s="168">
        <f t="shared" si="3"/>
        <v>248.35157000000004</v>
      </c>
      <c r="K16" s="168">
        <f t="shared" si="3"/>
        <v>201.16477170000002</v>
      </c>
      <c r="L16" s="169">
        <f t="shared" ca="1" si="3"/>
        <v>2694.5545415991228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Erable champêtre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Cèdre de l'Atlas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Mélèze d'Europe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Pin maritime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8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F203" sqref="F20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rouge d'Amérique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762.57323014520125</v>
      </c>
      <c r="U10" s="178">
        <f>'Données projet'!D9</f>
        <v>1.1460000000000001</v>
      </c>
      <c r="V10" s="177">
        <f>U10*T10</f>
        <v>873.90892174640078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Erable champêtre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-69.807173274834099</v>
      </c>
      <c r="U11" s="178">
        <f>'Données projet'!D10</f>
        <v>0.57300000000000006</v>
      </c>
      <c r="V11" s="177">
        <f t="shared" ref="V11" si="0">U11*T11</f>
        <v>-39.999510286479946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-352.27162809113258</v>
      </c>
      <c r="U12" s="178">
        <f>'Données projet'!D11</f>
        <v>3.3425000000000002</v>
      </c>
      <c r="V12" s="177">
        <f t="shared" ref="V12:V19" si="1">U12*T12</f>
        <v>-1177.4679168946107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-686.86694577922515</v>
      </c>
      <c r="U13" s="178">
        <f>'Données projet'!D12</f>
        <v>0.57300000000000006</v>
      </c>
      <c r="V13" s="177">
        <f t="shared" si="1"/>
        <v>-393.57475993149603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rouge d'Amérique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Cèdre de l'Atlas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1258.0507652609945</v>
      </c>
      <c r="U14" s="178">
        <f>'Données projet'!D13</f>
        <v>2.3875000000000002</v>
      </c>
      <c r="V14" s="177">
        <f t="shared" si="1"/>
        <v>3003.5962020606244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Mélèze d'Europe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1028.2142492479245</v>
      </c>
      <c r="U15" s="178">
        <f>'Données projet'!D14</f>
        <v>0.76400000000000012</v>
      </c>
      <c r="V15" s="177">
        <f t="shared" si="1"/>
        <v>785.55568642541448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Pin maritime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3089.5104874747667</v>
      </c>
      <c r="U16" s="178">
        <f>'Données projet'!D15</f>
        <v>0.76400000000000012</v>
      </c>
      <c r="V16" s="177">
        <f t="shared" si="1"/>
        <v>2360.3860124307221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1260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0</v>
      </c>
      <c r="I21" s="191">
        <v>1200</v>
      </c>
      <c r="J21" s="1" t="s">
        <v>326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0</v>
      </c>
      <c r="I22" s="191">
        <v>2314</v>
      </c>
      <c r="J22" s="1" t="s">
        <v>324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>
        <v>12</v>
      </c>
      <c r="D23" s="182">
        <f>B23*C23</f>
        <v>0</v>
      </c>
      <c r="E23" s="193"/>
      <c r="F23" s="230"/>
      <c r="H23" s="190">
        <v>0</v>
      </c>
      <c r="I23" s="191">
        <v>1223</v>
      </c>
      <c r="J23" s="1" t="s">
        <v>330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-58565.663781916293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15</v>
      </c>
      <c r="B24" s="181">
        <f>'Données projet'!D37</f>
        <v>0</v>
      </c>
      <c r="C24" s="193">
        <v>20</v>
      </c>
      <c r="D24" s="182">
        <f t="shared" ref="D24:D42" si="2">B24*C24</f>
        <v>0</v>
      </c>
      <c r="E24" s="193"/>
      <c r="F24" s="233"/>
      <c r="H24" s="190">
        <v>0</v>
      </c>
      <c r="I24" s="191">
        <v>908</v>
      </c>
      <c r="J24" s="1" t="s">
        <v>325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34306.476839314899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20</v>
      </c>
      <c r="B25" s="181">
        <f>'Données projet'!D38</f>
        <v>54</v>
      </c>
      <c r="C25" s="193">
        <v>25</v>
      </c>
      <c r="D25" s="182">
        <f t="shared" si="2"/>
        <v>1350</v>
      </c>
      <c r="E25" s="193"/>
      <c r="F25" s="233"/>
      <c r="H25" s="190">
        <v>1</v>
      </c>
      <c r="I25" s="191">
        <v>400</v>
      </c>
      <c r="J25" s="1" t="s">
        <v>327</v>
      </c>
      <c r="K25" s="208"/>
      <c r="L25" s="130" t="s">
        <v>285</v>
      </c>
      <c r="M25" s="130"/>
      <c r="N25" s="130"/>
      <c r="O25" s="130"/>
      <c r="P25" s="192">
        <v>165</v>
      </c>
      <c r="Q25" s="234"/>
      <c r="R25" s="23"/>
      <c r="S25" s="186" t="s">
        <v>266</v>
      </c>
      <c r="T25" s="299">
        <f ca="1">T23-T24</f>
        <v>-92872.140621231199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30</v>
      </c>
      <c r="B26" s="181">
        <f>'Données projet'!D39</f>
        <v>52</v>
      </c>
      <c r="C26" s="193">
        <v>35</v>
      </c>
      <c r="D26" s="182">
        <f t="shared" si="2"/>
        <v>1820</v>
      </c>
      <c r="E26" s="193"/>
      <c r="F26" s="233"/>
      <c r="G26" s="229"/>
      <c r="H26" s="190">
        <v>3</v>
      </c>
      <c r="I26" s="191">
        <v>400</v>
      </c>
      <c r="J26" s="1" t="s">
        <v>328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40</v>
      </c>
      <c r="B27" s="181">
        <f>'Données projet'!D40</f>
        <v>54</v>
      </c>
      <c r="C27" s="193">
        <v>45</v>
      </c>
      <c r="D27" s="182">
        <f t="shared" si="2"/>
        <v>2430</v>
      </c>
      <c r="E27" s="193"/>
      <c r="F27" s="233"/>
      <c r="G27" s="229"/>
      <c r="H27" s="190">
        <v>5</v>
      </c>
      <c r="I27" s="191">
        <v>400</v>
      </c>
      <c r="J27" s="1" t="s">
        <v>329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50</v>
      </c>
      <c r="B28" s="181">
        <f>'Données projet'!D41</f>
        <v>50</v>
      </c>
      <c r="C28" s="193">
        <v>50</v>
      </c>
      <c r="D28" s="182">
        <f t="shared" si="2"/>
        <v>2500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60</v>
      </c>
      <c r="B29" s="181">
        <f>'Données projet'!D42</f>
        <v>44</v>
      </c>
      <c r="C29" s="193">
        <v>90</v>
      </c>
      <c r="D29" s="182">
        <f t="shared" si="2"/>
        <v>3960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70</v>
      </c>
      <c r="B30" s="181">
        <f>'Données projet'!D43</f>
        <v>38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3592.3012397188377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80</v>
      </c>
      <c r="B31" s="181">
        <f>'Données projet'!D44</f>
        <v>31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90</v>
      </c>
      <c r="B32" s="181">
        <f>'Données projet'!D45</f>
        <v>26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100</v>
      </c>
      <c r="B33" s="181">
        <f>'Données projet'!D46</f>
        <v>24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165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157.89473684210526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151.09544195416774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144.58893966906004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138.36262169288045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132.40442267261287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126.70279681589753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121.24669551760527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116.02554594986154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111.02923057403019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106.24806753495714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101.67279189948052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Erable champêtre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97.294537702852196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93.104820768279609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89.0955222662963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1680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85.258872982101707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81.587438260384445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78.074103598454016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74.71206085976462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71.494795081114475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68.416071847956445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65.469925213355452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67</v>
      </c>
      <c r="C55" s="191">
        <v>15</v>
      </c>
      <c r="D55" s="179">
        <f t="shared" ref="D55:D73" si="4">B55*C55</f>
        <v>1005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62.650646137182271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70</v>
      </c>
      <c r="C56" s="191">
        <v>20</v>
      </c>
      <c r="D56" s="179">
        <f t="shared" si="4"/>
        <v>1400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59.952771423140923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70</v>
      </c>
      <c r="C57" s="191">
        <v>20</v>
      </c>
      <c r="D57" s="179">
        <f t="shared" si="4"/>
        <v>1400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57.371073132192286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50</v>
      </c>
      <c r="B58" s="181">
        <f>'Données projet'!D66</f>
        <v>43</v>
      </c>
      <c r="C58" s="191">
        <v>30</v>
      </c>
      <c r="D58" s="179">
        <f t="shared" si="4"/>
        <v>1290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54.900548451858647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60</v>
      </c>
      <c r="B59" s="181">
        <f>'Données projet'!D67</f>
        <v>30</v>
      </c>
      <c r="C59" s="191">
        <v>40</v>
      </c>
      <c r="D59" s="179">
        <f t="shared" si="4"/>
        <v>1200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52.536410001778627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70</v>
      </c>
      <c r="B60" s="181">
        <f>'Données projet'!D68</f>
        <v>26</v>
      </c>
      <c r="C60" s="191">
        <v>50</v>
      </c>
      <c r="D60" s="179">
        <f t="shared" si="4"/>
        <v>1300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50.274076556725952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80</v>
      </c>
      <c r="B61" s="181">
        <f>'Données projet'!D69</f>
        <v>342</v>
      </c>
      <c r="C61" s="191">
        <v>70</v>
      </c>
      <c r="D61" s="179">
        <f t="shared" si="4"/>
        <v>23940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48.109164169115758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46.037477673794974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44.055002558655495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42.157897185316259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40.342485344800266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38.605249133780163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36.942822137588678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35.351982906783427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33.829648714625293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32.372869583373486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30.978822567821524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29.644806284996676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28.368235679422661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27.146637013801595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25.977643075408228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24.858988588907394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23.788505826705645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22.764120408330761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2352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21.783847280699298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20.845786871482577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19.948121408117309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19.089111395327567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18.267092244332606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17.480471047208233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6</v>
      </c>
      <c r="C85" s="191">
        <v>15</v>
      </c>
      <c r="D85" s="179">
        <f>B85*C85</f>
        <v>90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16.727723490151423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56</v>
      </c>
      <c r="C86" s="191">
        <v>20</v>
      </c>
      <c r="D86" s="179">
        <f t="shared" ref="D86:D104" si="6">B86*C86</f>
        <v>1120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16.007390899666433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56</v>
      </c>
      <c r="C87" s="191">
        <v>24</v>
      </c>
      <c r="D87" s="179">
        <f t="shared" si="6"/>
        <v>1344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15.318077415948746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56</v>
      </c>
      <c r="C88" s="191">
        <v>24</v>
      </c>
      <c r="D88" s="179">
        <f t="shared" si="6"/>
        <v>1344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14.65844728798923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56</v>
      </c>
      <c r="C89" s="191">
        <v>35</v>
      </c>
      <c r="D89" s="179">
        <f t="shared" si="6"/>
        <v>1960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14.02722228515716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56</v>
      </c>
      <c r="C90" s="191">
        <v>70</v>
      </c>
      <c r="D90" s="179">
        <f t="shared" si="6"/>
        <v>3920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13.423179220246089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56</v>
      </c>
      <c r="C91" s="191">
        <v>100</v>
      </c>
      <c r="D91" s="179">
        <f t="shared" si="6"/>
        <v>5600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12.845147579182862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56</v>
      </c>
      <c r="C92" s="191">
        <v>140</v>
      </c>
      <c r="D92" s="179">
        <f t="shared" si="6"/>
        <v>7840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12.292007252806567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55</v>
      </c>
      <c r="C93" s="191">
        <v>180</v>
      </c>
      <c r="D93" s="179">
        <f t="shared" si="6"/>
        <v>9900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11.762686366322075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110</v>
      </c>
      <c r="B94" s="181">
        <f>'Données projet'!D97</f>
        <v>51</v>
      </c>
      <c r="C94" s="191">
        <v>200</v>
      </c>
      <c r="D94" s="179">
        <f t="shared" si="6"/>
        <v>10200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11.256159202222079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120</v>
      </c>
      <c r="B95" s="181">
        <f>'Données projet'!D98</f>
        <v>352</v>
      </c>
      <c r="C95" s="191">
        <v>250</v>
      </c>
      <c r="D95" s="179">
        <f t="shared" si="6"/>
        <v>88000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10.771444212652712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1680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0</v>
      </c>
      <c r="C116" s="191"/>
      <c r="D116" s="179">
        <f t="shared" ref="D116:D124" si="8"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35</v>
      </c>
      <c r="C117" s="191">
        <v>15</v>
      </c>
      <c r="D117" s="179">
        <f t="shared" si="8"/>
        <v>525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56</v>
      </c>
      <c r="C118" s="191">
        <v>20</v>
      </c>
      <c r="D118" s="179">
        <f t="shared" si="8"/>
        <v>1120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56</v>
      </c>
      <c r="C119" s="191">
        <v>20</v>
      </c>
      <c r="D119" s="179">
        <f t="shared" si="8"/>
        <v>1120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56</v>
      </c>
      <c r="C120" s="191">
        <v>30</v>
      </c>
      <c r="D120" s="179">
        <f t="shared" si="8"/>
        <v>1680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56</v>
      </c>
      <c r="C121" s="191">
        <v>40</v>
      </c>
      <c r="D121" s="179">
        <f t="shared" si="8"/>
        <v>2240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56</v>
      </c>
      <c r="C122" s="191">
        <v>50</v>
      </c>
      <c r="D122" s="179">
        <f t="shared" si="8"/>
        <v>2800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53</v>
      </c>
      <c r="C123" s="191">
        <v>70</v>
      </c>
      <c r="D123" s="179">
        <f t="shared" si="8"/>
        <v>3710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49</v>
      </c>
      <c r="C124" s="191">
        <v>80</v>
      </c>
      <c r="D124" s="179">
        <f t="shared" si="8"/>
        <v>3920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110</v>
      </c>
      <c r="B125" s="181">
        <f>'Données projet'!D123</f>
        <v>45</v>
      </c>
      <c r="C125" s="191">
        <v>80</v>
      </c>
      <c r="D125" s="179">
        <f t="shared" ref="D125:D135" si="9">B125*C125</f>
        <v>3600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120</v>
      </c>
      <c r="B126" s="181">
        <f>'Données projet'!D124</f>
        <v>43</v>
      </c>
      <c r="C126" s="191">
        <v>80</v>
      </c>
      <c r="D126" s="179">
        <f t="shared" si="9"/>
        <v>3440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130</v>
      </c>
      <c r="B127" s="181">
        <f>'Données projet'!D125</f>
        <v>41</v>
      </c>
      <c r="C127" s="191">
        <v>80</v>
      </c>
      <c r="D127" s="179">
        <f t="shared" si="9"/>
        <v>3280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140</v>
      </c>
      <c r="B128" s="181">
        <f>'Données projet'!D126</f>
        <v>30</v>
      </c>
      <c r="C128" s="191">
        <v>80</v>
      </c>
      <c r="D128" s="179">
        <f t="shared" si="9"/>
        <v>2400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150</v>
      </c>
      <c r="B129" s="181">
        <f>'Données projet'!D127</f>
        <v>467</v>
      </c>
      <c r="C129" s="191">
        <v>80</v>
      </c>
      <c r="D129" s="179">
        <f t="shared" si="9"/>
        <v>37360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Cèdre de l'Atlas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2520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20</v>
      </c>
      <c r="B147" s="175">
        <f>'Données projet'!D140</f>
        <v>12.5</v>
      </c>
      <c r="C147" s="191">
        <v>25</v>
      </c>
      <c r="D147" s="182">
        <f t="shared" ref="D147:D153" si="11">B147*C147</f>
        <v>312.5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30</v>
      </c>
      <c r="B148" s="175">
        <f>'Données projet'!D141</f>
        <v>45.9</v>
      </c>
      <c r="C148" s="191">
        <v>35</v>
      </c>
      <c r="D148" s="182">
        <f t="shared" si="11"/>
        <v>1606.5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40</v>
      </c>
      <c r="B149" s="175">
        <f>'Données projet'!D142</f>
        <v>83.4</v>
      </c>
      <c r="C149" s="191">
        <v>48</v>
      </c>
      <c r="D149" s="182">
        <f t="shared" si="11"/>
        <v>4003.2000000000003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83.4</v>
      </c>
      <c r="C150" s="191">
        <v>60</v>
      </c>
      <c r="D150" s="182">
        <f t="shared" si="11"/>
        <v>5004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60</v>
      </c>
      <c r="B151" s="175">
        <f>'Données projet'!D144</f>
        <v>83.4</v>
      </c>
      <c r="C151" s="191">
        <v>70</v>
      </c>
      <c r="D151" s="182">
        <f t="shared" si="11"/>
        <v>5838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70</v>
      </c>
      <c r="B152" s="175">
        <f>'Données projet'!D145</f>
        <v>83.4</v>
      </c>
      <c r="C152" s="191">
        <v>80</v>
      </c>
      <c r="D152" s="182">
        <f t="shared" si="11"/>
        <v>6672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80</v>
      </c>
      <c r="B153" s="175">
        <f>'Données projet'!D146</f>
        <v>83.4</v>
      </c>
      <c r="C153" s="191">
        <v>90</v>
      </c>
      <c r="D153" s="182">
        <f t="shared" si="11"/>
        <v>7506.0000000000009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90</v>
      </c>
      <c r="B154" s="175">
        <f>'Données projet'!D147</f>
        <v>83.4</v>
      </c>
      <c r="C154" s="191">
        <v>90</v>
      </c>
      <c r="D154" s="182">
        <f t="shared" ref="D154:D166" si="12">B154*C154</f>
        <v>7506.0000000000009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100</v>
      </c>
      <c r="B155" s="175">
        <f>'Données projet'!D148</f>
        <v>726.2</v>
      </c>
      <c r="C155" s="191">
        <v>100</v>
      </c>
      <c r="D155" s="182">
        <f t="shared" si="12"/>
        <v>72620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2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2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2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2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2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2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2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2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2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2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2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Mélèze d'Europe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1344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20</v>
      </c>
      <c r="B178" s="181">
        <f>'Données projet'!D166</f>
        <v>37</v>
      </c>
      <c r="C178" s="193">
        <v>22</v>
      </c>
      <c r="D178" s="179">
        <f>B178*C178</f>
        <v>814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30</v>
      </c>
      <c r="B179" s="181">
        <f>'Données projet'!D167</f>
        <v>70</v>
      </c>
      <c r="C179" s="193">
        <v>30</v>
      </c>
      <c r="D179" s="179">
        <f t="shared" ref="D179:D197" si="13">B179*C179</f>
        <v>2100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40</v>
      </c>
      <c r="B180" s="181">
        <f>'Données projet'!D168</f>
        <v>70</v>
      </c>
      <c r="C180" s="193">
        <v>35</v>
      </c>
      <c r="D180" s="179">
        <f t="shared" si="13"/>
        <v>2450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50</v>
      </c>
      <c r="B181" s="181">
        <f>'Données projet'!D169</f>
        <v>60</v>
      </c>
      <c r="C181" s="193">
        <v>40</v>
      </c>
      <c r="D181" s="179">
        <f t="shared" si="13"/>
        <v>2400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60</v>
      </c>
      <c r="B182" s="181">
        <f>'Données projet'!D170</f>
        <v>47</v>
      </c>
      <c r="C182" s="193">
        <v>42</v>
      </c>
      <c r="D182" s="179">
        <f t="shared" si="13"/>
        <v>1974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70</v>
      </c>
      <c r="B183" s="181">
        <f>'Données projet'!D171</f>
        <v>36</v>
      </c>
      <c r="C183" s="193">
        <v>45</v>
      </c>
      <c r="D183" s="179">
        <f t="shared" si="13"/>
        <v>1620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80</v>
      </c>
      <c r="B184" s="181">
        <f>'Données projet'!D172</f>
        <v>387</v>
      </c>
      <c r="C184" s="193">
        <v>50</v>
      </c>
      <c r="D184" s="179">
        <f t="shared" si="13"/>
        <v>19350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3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3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3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3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3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3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3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3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3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3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3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3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3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Pin maritime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504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12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16</v>
      </c>
      <c r="B210" s="181">
        <f>'Données projet'!D193</f>
        <v>15</v>
      </c>
      <c r="C210" s="193">
        <v>22</v>
      </c>
      <c r="D210" s="179">
        <f t="shared" ref="D210:D228" si="14">B210*C210</f>
        <v>330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20</v>
      </c>
      <c r="B211" s="181">
        <f>'Données projet'!D194</f>
        <v>22</v>
      </c>
      <c r="C211" s="193">
        <v>30</v>
      </c>
      <c r="D211" s="179">
        <f t="shared" si="14"/>
        <v>660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24</v>
      </c>
      <c r="B212" s="181">
        <f>'Données projet'!D195</f>
        <v>31</v>
      </c>
      <c r="C212" s="193">
        <v>35</v>
      </c>
      <c r="D212" s="179">
        <f t="shared" si="14"/>
        <v>1085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28</v>
      </c>
      <c r="B213" s="181">
        <f>'Données projet'!D196</f>
        <v>35</v>
      </c>
      <c r="C213" s="193">
        <v>40</v>
      </c>
      <c r="D213" s="179">
        <f t="shared" si="14"/>
        <v>1400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34</v>
      </c>
      <c r="B214" s="181">
        <f>'Données projet'!D197</f>
        <v>46</v>
      </c>
      <c r="C214" s="193">
        <v>42</v>
      </c>
      <c r="D214" s="179">
        <f t="shared" si="14"/>
        <v>1932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40</v>
      </c>
      <c r="B215" s="181">
        <f>'Données projet'!D198</f>
        <v>41</v>
      </c>
      <c r="C215" s="193">
        <v>45</v>
      </c>
      <c r="D215" s="179">
        <f t="shared" si="14"/>
        <v>1845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46</v>
      </c>
      <c r="B216" s="181">
        <f>'Données projet'!D199</f>
        <v>29</v>
      </c>
      <c r="C216" s="193">
        <v>50</v>
      </c>
      <c r="D216" s="179">
        <f t="shared" si="14"/>
        <v>1450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54</v>
      </c>
      <c r="B217" s="181">
        <f>'Données projet'!D200</f>
        <v>16</v>
      </c>
      <c r="C217" s="193">
        <v>60</v>
      </c>
      <c r="D217" s="179">
        <f t="shared" si="14"/>
        <v>960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62</v>
      </c>
      <c r="B218" s="181">
        <f>'Données projet'!D201</f>
        <v>316</v>
      </c>
      <c r="C218" s="193">
        <v>65</v>
      </c>
      <c r="D218" s="179">
        <f t="shared" si="14"/>
        <v>20540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4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4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4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4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4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4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4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4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4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4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5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5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5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5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5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5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5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5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5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5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5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5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5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5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5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5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5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5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5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6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6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6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6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6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6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6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6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6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6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6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6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6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6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6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6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6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6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6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7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7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7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7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7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7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7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7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7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7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7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7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7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7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7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7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7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7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7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ROBINET</cp:lastModifiedBy>
  <cp:lastPrinted>2024-06-03T15:58:31Z</cp:lastPrinted>
  <dcterms:created xsi:type="dcterms:W3CDTF">2021-02-01T08:22:39Z</dcterms:created>
  <dcterms:modified xsi:type="dcterms:W3CDTF">2024-06-11T14:56:48Z</dcterms:modified>
</cp:coreProperties>
</file>