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66-B-CHAZAL-GES(10)-BEAUREGARD-SCEV-Lux-SaintUsage-15,8ha/"/>
    </mc:Choice>
  </mc:AlternateContent>
  <xr:revisionPtr revIDLastSave="0" documentId="13_ncr:1_{7F2A91E6-9F39-CF4B-B1E8-3CDBFF0F811C}" xr6:coauthVersionLast="47" xr6:coauthVersionMax="47" xr10:uidLastSave="{00000000-0000-0000-0000-000000000000}"/>
  <bookViews>
    <workbookView xWindow="1440" yWindow="1960" windowWidth="28800" windowHeight="171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AC154" i="2"/>
  <c r="HJ154" i="2"/>
  <c r="EY154" i="2"/>
  <c r="DI154" i="2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EX156" i="2"/>
  <c r="EB156" i="2"/>
  <c r="DH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W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EY159" i="2"/>
  <c r="FS160" i="2"/>
  <c r="HI160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EX161" i="2"/>
  <c r="EA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G162" i="2"/>
  <c r="EY161" i="2"/>
  <c r="EW162" i="2"/>
  <c r="EC162" i="2"/>
  <c r="DI161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EY162" i="2"/>
  <c r="HH163" i="2"/>
  <c r="EV163" i="2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ED163" i="2"/>
  <c r="EA164" i="2"/>
  <c r="FS164" i="2"/>
  <c r="EY163" i="2"/>
  <c r="EV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EX167" i="2"/>
  <c r="EY166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HH168" i="2"/>
  <c r="EV168" i="2"/>
  <c r="EC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HI172" i="2"/>
  <c r="ED171" i="2"/>
  <c r="EV172" i="2"/>
  <c r="EA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J172" i="2"/>
  <c r="EX173" i="2"/>
  <c r="ED172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HI175" i="2"/>
  <c r="FS175" i="2"/>
  <c r="EW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Y175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A178" i="2"/>
  <c r="FS178" i="2"/>
  <c r="EW178" i="2"/>
  <c r="ED177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G179" i="2"/>
  <c r="ED178" i="2"/>
  <c r="EV179" i="2"/>
  <c r="HI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I185" i="2"/>
  <c r="EV185" i="2"/>
  <c r="EB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FS186" i="2"/>
  <c r="ED185" i="2"/>
  <c r="EB186" i="2"/>
  <c r="FR186" i="2"/>
  <c r="EW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EY186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EY188" i="2"/>
  <c r="EB189" i="2"/>
  <c r="EV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EY189" i="2"/>
  <c r="EW190" i="2"/>
  <c r="EV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HG192" i="2"/>
  <c r="EW192" i="2"/>
  <c r="EB192" i="2"/>
  <c r="EC192" i="2"/>
  <c r="EV192" i="2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Y192" i="2"/>
  <c r="EX193" i="2"/>
  <c r="DI192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FQ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Y194" i="2"/>
  <c r="EB195" i="2"/>
  <c r="ED194" i="2"/>
  <c r="FQ195" i="2"/>
  <c r="EA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HG199" i="2"/>
  <c r="HH199" i="2"/>
  <c r="FS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J200" i="2"/>
  <c r="ED200" i="2"/>
  <c r="DI200" i="2"/>
  <c r="FS201" i="2"/>
  <c r="EB201" i="2"/>
  <c r="HG201" i="2"/>
  <c r="HH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FZ6" i="2"/>
  <c r="FS202" i="2"/>
  <c r="HI202" i="2"/>
  <c r="EX202" i="2"/>
  <c r="EY201" i="2"/>
  <c r="EW202" i="2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52" i="2" a="1"/>
  <c r="CS52" i="2" s="1"/>
  <c r="CS129" i="2" a="1"/>
  <c r="CS129" i="2" s="1"/>
  <c r="CS116" i="2" a="1"/>
  <c r="CS116" i="2" s="1"/>
  <c r="CS137" i="2" a="1"/>
  <c r="CS137" i="2" s="1"/>
  <c r="CS77" i="2" a="1"/>
  <c r="CS77" i="2" s="1"/>
  <c r="CS105" i="2" a="1"/>
  <c r="CS105" i="2" s="1"/>
  <c r="CS38" i="2" a="1"/>
  <c r="CS38" i="2" s="1"/>
  <c r="CS120" i="2" a="1"/>
  <c r="CS120" i="2" s="1"/>
  <c r="EI165" i="2" a="1"/>
  <c r="EI165" i="2" s="1"/>
  <c r="EI20" i="2" a="1"/>
  <c r="EI20" i="2" s="1"/>
  <c r="CS185" i="2" a="1"/>
  <c r="CS185" i="2" s="1"/>
  <c r="CS56" i="2" a="1"/>
  <c r="CS56" i="2" s="1"/>
  <c r="DN6" i="2" a="1"/>
  <c r="DN6" i="2" s="1"/>
  <c r="DO6" i="2" s="1"/>
  <c r="CS24" i="2" a="1"/>
  <c r="CS24" i="2" s="1"/>
  <c r="CS134" i="2" a="1"/>
  <c r="CS134" i="2" s="1"/>
  <c r="CS72" i="2" a="1"/>
  <c r="CS72" i="2" s="1"/>
  <c r="AX200" i="2"/>
  <c r="GT181" i="2" l="1" a="1"/>
  <c r="GT181" i="2" s="1"/>
  <c r="FY191" i="2" a="1"/>
  <c r="FY191" i="2" s="1"/>
  <c r="DN167" i="2" a="1"/>
  <c r="DN167" i="2" s="1"/>
  <c r="DN43" i="2" a="1"/>
  <c r="DN43" i="2" s="1"/>
  <c r="EI195" i="2" a="1"/>
  <c r="EI195" i="2" s="1"/>
  <c r="EI128" i="2" a="1"/>
  <c r="EI128" i="2" s="1"/>
  <c r="AH166" i="2" a="1"/>
  <c r="AH166" i="2" s="1"/>
  <c r="AH92" i="2" a="1"/>
  <c r="AH92" i="2" s="1"/>
  <c r="DN132" i="2" a="1"/>
  <c r="DN132" i="2" s="1"/>
  <c r="FY153" i="2" a="1"/>
  <c r="FY153" i="2" s="1"/>
  <c r="DN49" i="2" a="1"/>
  <c r="DN49" i="2" s="1"/>
  <c r="DN186" i="2" a="1"/>
  <c r="DN186" i="2" s="1"/>
  <c r="FY196" i="2" a="1"/>
  <c r="FY196" i="2" s="1"/>
  <c r="FY58" i="2" a="1"/>
  <c r="FY58" i="2" s="1"/>
  <c r="DN80" i="2" a="1"/>
  <c r="DN80" i="2" s="1"/>
  <c r="AH62" i="2" a="1"/>
  <c r="AH62" i="2" s="1"/>
  <c r="AH199" i="2" a="1"/>
  <c r="AH199" i="2" s="1"/>
  <c r="DN124" i="2" a="1"/>
  <c r="DN124" i="2" s="1"/>
  <c r="EI178" i="2" a="1"/>
  <c r="EI178" i="2" s="1"/>
  <c r="EI37" i="2" a="1"/>
  <c r="EI37" i="2" s="1"/>
  <c r="EI67" i="2" a="1"/>
  <c r="EI67" i="2" s="1"/>
  <c r="EI145" i="2" a="1"/>
  <c r="EI145" i="2" s="1"/>
  <c r="FY143" i="2" a="1"/>
  <c r="FY143" i="2" s="1"/>
  <c r="FY66" i="2" a="1"/>
  <c r="FY66" i="2" s="1"/>
  <c r="FY121" i="2" a="1"/>
  <c r="FY121" i="2" s="1"/>
  <c r="FY30" i="2" a="1"/>
  <c r="FY30" i="2" s="1"/>
  <c r="FY42" i="2" a="1"/>
  <c r="FY42" i="2" s="1"/>
  <c r="FY190" i="2" a="1"/>
  <c r="FY190" i="2" s="1"/>
  <c r="FY86" i="2" a="1"/>
  <c r="FY86" i="2" s="1"/>
  <c r="FD189" i="2" a="1"/>
  <c r="FD189" i="2" s="1"/>
  <c r="DN114" i="2" a="1"/>
  <c r="DN114" i="2" s="1"/>
  <c r="DN38" i="2" a="1"/>
  <c r="DN38" i="2" s="1"/>
  <c r="DN45" i="2" a="1"/>
  <c r="DN45" i="2" s="1"/>
  <c r="DN30" i="2" a="1"/>
  <c r="DN30" i="2" s="1"/>
  <c r="DN190" i="2" a="1"/>
  <c r="DN190" i="2" s="1"/>
  <c r="DN123" i="2" a="1"/>
  <c r="DN123" i="2" s="1"/>
  <c r="DN65" i="2" a="1"/>
  <c r="DN65" i="2" s="1"/>
  <c r="DN70" i="2" a="1"/>
  <c r="DN70" i="2" s="1"/>
  <c r="DN31" i="2" a="1"/>
  <c r="DN31" i="2" s="1"/>
  <c r="DN192" i="2" a="1"/>
  <c r="DN192" i="2" s="1"/>
  <c r="DN66" i="2" a="1"/>
  <c r="DN66" i="2" s="1"/>
  <c r="DN133" i="2" a="1"/>
  <c r="DN133" i="2" s="1"/>
  <c r="DN188" i="2" a="1"/>
  <c r="DN188" i="2" s="1"/>
  <c r="DN41" i="2" a="1"/>
  <c r="DN41" i="2" s="1"/>
  <c r="DN129" i="2" a="1"/>
  <c r="DN129" i="2" s="1"/>
  <c r="DN113" i="2" a="1"/>
  <c r="DN113" i="2" s="1"/>
  <c r="DN25" i="2" a="1"/>
  <c r="DN25" i="2" s="1"/>
  <c r="CS114" i="2" a="1"/>
  <c r="CS114" i="2" s="1"/>
  <c r="CS66" i="2" a="1"/>
  <c r="CS66" i="2" s="1"/>
  <c r="BX107" i="2" a="1"/>
  <c r="BX107" i="2" s="1"/>
  <c r="BC185" i="2" a="1"/>
  <c r="BC185" i="2" s="1"/>
  <c r="BC143" i="2" a="1"/>
  <c r="BC143" i="2" s="1"/>
  <c r="BC55" i="2" a="1"/>
  <c r="BC55" i="2" s="1"/>
  <c r="BC130" i="2" a="1"/>
  <c r="BC130" i="2" s="1"/>
  <c r="BC18" i="2" a="1"/>
  <c r="BC18" i="2" s="1"/>
  <c r="BC58" i="2" a="1"/>
  <c r="BC58" i="2" s="1"/>
  <c r="BC38" i="2" a="1"/>
  <c r="BC38" i="2" s="1"/>
  <c r="BC151" i="2" a="1"/>
  <c r="BC151" i="2" s="1"/>
  <c r="GT38" i="2" a="1"/>
  <c r="GT38" i="2" s="1"/>
  <c r="GT11" i="2" a="1"/>
  <c r="GT11" i="2" s="1"/>
  <c r="FY109" i="2" a="1"/>
  <c r="FY109" i="2" s="1"/>
  <c r="FY62" i="2" a="1"/>
  <c r="FY62" i="2" s="1"/>
  <c r="FY126" i="2" a="1"/>
  <c r="FY126" i="2" s="1"/>
  <c r="DN170" i="2" a="1"/>
  <c r="DN170" i="2" s="1"/>
  <c r="FY104" i="2" a="1"/>
  <c r="FY104" i="2" s="1"/>
  <c r="FY92" i="2" a="1"/>
  <c r="FY92" i="2" s="1"/>
  <c r="FY35" i="2" a="1"/>
  <c r="FY35" i="2" s="1"/>
  <c r="EY202" i="2"/>
  <c r="FY149" i="2" a="1"/>
  <c r="FY149" i="2" s="1"/>
  <c r="FY152" i="2" a="1"/>
  <c r="FY152" i="2" s="1"/>
  <c r="FY54" i="2" a="1"/>
  <c r="FY54" i="2" s="1"/>
  <c r="HJ202" i="2"/>
  <c r="FY50" i="2" a="1"/>
  <c r="FY50" i="2" s="1"/>
  <c r="DN110" i="2" a="1"/>
  <c r="DN110" i="2" s="1"/>
  <c r="BC83" i="2" a="1"/>
  <c r="BC83" i="2" s="1"/>
  <c r="FY167" i="2" a="1"/>
  <c r="FY167" i="2" s="1"/>
  <c r="AH163" i="2" a="1"/>
  <c r="AH163" i="2" s="1"/>
  <c r="DN184" i="2" a="1"/>
  <c r="DN184" i="2" s="1"/>
  <c r="FY72" i="2" a="1"/>
  <c r="FY72" i="2" s="1"/>
  <c r="FY110" i="2" a="1"/>
  <c r="FY110" i="2" s="1"/>
  <c r="FY79" i="2" a="1"/>
  <c r="FY79" i="2" s="1"/>
  <c r="FY133" i="2" a="1"/>
  <c r="FY133" i="2" s="1"/>
  <c r="FY174" i="2" a="1"/>
  <c r="FY174" i="2" s="1"/>
  <c r="DN46" i="2" a="1"/>
  <c r="DN46" i="2" s="1"/>
  <c r="DN164" i="2" a="1"/>
  <c r="DN164" i="2" s="1"/>
  <c r="BC164" i="2" a="1"/>
  <c r="BC164" i="2" s="1"/>
  <c r="FY82" i="2" a="1"/>
  <c r="FY82" i="2" s="1"/>
  <c r="AH90" i="2" a="1"/>
  <c r="AH90" i="2" s="1"/>
  <c r="DN115" i="2" a="1"/>
  <c r="DN115" i="2" s="1"/>
  <c r="DN137" i="2" a="1"/>
  <c r="DN137" i="2" s="1"/>
  <c r="BC34" i="2" a="1"/>
  <c r="BC34" i="2" s="1"/>
  <c r="FY99" i="2" a="1"/>
  <c r="FY99" i="2" s="1"/>
  <c r="FY140" i="2" a="1"/>
  <c r="FY140" i="2" s="1"/>
  <c r="DN135" i="2" a="1"/>
  <c r="DN135" i="2" s="1"/>
  <c r="BC192" i="2" a="1"/>
  <c r="BC192" i="2" s="1"/>
  <c r="FY115" i="2" a="1"/>
  <c r="FY115" i="2" s="1"/>
  <c r="DN153" i="2" a="1"/>
  <c r="DN153" i="2" s="1"/>
  <c r="FY172" i="2" a="1"/>
  <c r="FY172" i="2" s="1"/>
  <c r="FY116" i="2" a="1"/>
  <c r="FY116" i="2" s="1"/>
  <c r="FY29" i="2" a="1"/>
  <c r="FY29" i="2" s="1"/>
  <c r="GT147" i="2" a="1"/>
  <c r="GT147" i="2" s="1"/>
  <c r="GT184" i="2" a="1"/>
  <c r="GT184" i="2" s="1"/>
  <c r="GT74" i="2" a="1"/>
  <c r="GT74" i="2" s="1"/>
  <c r="BC117" i="2" a="1"/>
  <c r="BC117" i="2" s="1"/>
  <c r="GT152" i="2" a="1"/>
  <c r="GT152" i="2" s="1"/>
  <c r="DN55" i="2" a="1"/>
  <c r="DN55" i="2" s="1"/>
  <c r="GT15" i="2" a="1"/>
  <c r="GT15" i="2" s="1"/>
  <c r="GT189" i="2" a="1"/>
  <c r="GT189" i="2" s="1"/>
  <c r="BC7" i="2" a="1"/>
  <c r="BC7" i="2" s="1"/>
  <c r="BD7" i="2" s="1"/>
  <c r="FD194" i="2" a="1"/>
  <c r="FD194" i="2" s="1"/>
  <c r="FY182" i="2" a="1"/>
  <c r="FY182" i="2" s="1"/>
  <c r="AH19" i="2" a="1"/>
  <c r="AH19" i="2" s="1"/>
  <c r="DN150" i="2" a="1"/>
  <c r="DN150" i="2" s="1"/>
  <c r="DN50" i="2" a="1"/>
  <c r="DN50" i="2" s="1"/>
  <c r="GT33" i="2" a="1"/>
  <c r="GT33" i="2" s="1"/>
  <c r="BC181" i="2" a="1"/>
  <c r="BC181" i="2" s="1"/>
  <c r="FY34" i="2" a="1"/>
  <c r="FY34" i="2" s="1"/>
  <c r="FY178" i="2" a="1"/>
  <c r="FY178" i="2" s="1"/>
  <c r="FY111" i="2" a="1"/>
  <c r="FY111" i="2" s="1"/>
  <c r="FY102" i="2" a="1"/>
  <c r="FY102" i="2" s="1"/>
  <c r="FY165" i="2" a="1"/>
  <c r="FY165" i="2" s="1"/>
  <c r="FY47" i="2" a="1"/>
  <c r="FY47" i="2" s="1"/>
  <c r="GT115" i="2" a="1"/>
  <c r="GT115" i="2" s="1"/>
  <c r="GT138" i="2" a="1"/>
  <c r="GT138" i="2" s="1"/>
  <c r="GT198" i="2" a="1"/>
  <c r="GT198" i="2" s="1"/>
  <c r="GT133" i="2" a="1"/>
  <c r="GT133" i="2" s="1"/>
  <c r="BC65" i="2" a="1"/>
  <c r="BC65" i="2" s="1"/>
  <c r="FY164" i="2" a="1"/>
  <c r="FY164" i="2" s="1"/>
  <c r="FY55" i="2" a="1"/>
  <c r="FY55" i="2" s="1"/>
  <c r="FY73" i="2" a="1"/>
  <c r="FY73" i="2" s="1"/>
  <c r="FY69" i="2" a="1"/>
  <c r="FY69" i="2" s="1"/>
  <c r="FY146" i="2" a="1"/>
  <c r="FY146" i="2" s="1"/>
  <c r="GT178" i="2" a="1"/>
  <c r="GT178" i="2" s="1"/>
  <c r="GT21" i="2" a="1"/>
  <c r="GT21" i="2" s="1"/>
  <c r="GT121" i="2" a="1"/>
  <c r="GT121" i="2" s="1"/>
  <c r="BC114" i="2" a="1"/>
  <c r="BC114" i="2" s="1"/>
  <c r="FY32" i="2" a="1"/>
  <c r="FY32" i="2" s="1"/>
  <c r="GT126" i="2" a="1"/>
  <c r="GT126" i="2" s="1"/>
  <c r="GT102" i="2" a="1"/>
  <c r="GT102" i="2" s="1"/>
  <c r="GT107" i="2" a="1"/>
  <c r="GT107" i="2" s="1"/>
  <c r="GT174" i="2" a="1"/>
  <c r="GT174" i="2" s="1"/>
  <c r="BC31" i="2" a="1"/>
  <c r="BC31" i="2" s="1"/>
  <c r="BC126" i="2" a="1"/>
  <c r="BC126" i="2" s="1"/>
  <c r="FY188" i="2" a="1"/>
  <c r="FY188" i="2" s="1"/>
  <c r="FY22" i="2" a="1"/>
  <c r="FY22" i="2" s="1"/>
  <c r="DN16" i="2" a="1"/>
  <c r="DN16" i="2" s="1"/>
  <c r="DN168" i="2" a="1"/>
  <c r="DN168" i="2" s="1"/>
  <c r="GT190" i="2" a="1"/>
  <c r="GT190" i="2" s="1"/>
  <c r="BC84" i="2" a="1"/>
  <c r="BC84" i="2" s="1"/>
  <c r="FY142" i="2" a="1"/>
  <c r="FY142" i="2" s="1"/>
  <c r="DN103" i="2" a="1"/>
  <c r="DN103" i="2" s="1"/>
  <c r="DN86" i="2" a="1"/>
  <c r="DN86" i="2" s="1"/>
  <c r="DN152" i="2" a="1"/>
  <c r="DN152" i="2" s="1"/>
  <c r="GT51" i="2" a="1"/>
  <c r="GT51" i="2" s="1"/>
  <c r="BC82" i="2" a="1"/>
  <c r="BC82" i="2" s="1"/>
  <c r="FY124" i="2" a="1"/>
  <c r="FY124" i="2" s="1"/>
  <c r="FY28" i="2" a="1"/>
  <c r="FY28" i="2" s="1"/>
  <c r="FY173" i="2" a="1"/>
  <c r="FY173" i="2" s="1"/>
  <c r="FY71" i="2" a="1"/>
  <c r="FY71" i="2" s="1"/>
  <c r="FY90" i="2" a="1"/>
  <c r="FY90" i="2" s="1"/>
  <c r="GT12" i="2" a="1"/>
  <c r="GT12" i="2" s="1"/>
  <c r="GT122" i="2" a="1"/>
  <c r="GT122" i="2" s="1"/>
  <c r="FY24" i="2" a="1"/>
  <c r="FY24" i="2" s="1"/>
  <c r="FY186" i="2" a="1"/>
  <c r="FY186" i="2" s="1"/>
  <c r="FY120" i="2" a="1"/>
  <c r="FY120" i="2" s="1"/>
  <c r="DN187" i="2" a="1"/>
  <c r="DN187" i="2" s="1"/>
  <c r="DN176" i="2" a="1"/>
  <c r="DN176" i="2" s="1"/>
  <c r="DN162" i="2" a="1"/>
  <c r="DN162" i="2" s="1"/>
  <c r="GT191" i="2" a="1"/>
  <c r="GT191" i="2" s="1"/>
  <c r="DN63" i="2" a="1"/>
  <c r="DN63" i="2" s="1"/>
  <c r="BC32" i="2" a="1"/>
  <c r="BC32" i="2" s="1"/>
  <c r="FY80" i="2" a="1"/>
  <c r="FY80" i="2" s="1"/>
  <c r="AH151" i="2" a="1"/>
  <c r="AH151" i="2" s="1"/>
  <c r="DN177" i="2" a="1"/>
  <c r="DN177" i="2" s="1"/>
  <c r="DN29" i="2" a="1"/>
  <c r="DN29" i="2" s="1"/>
  <c r="GT68" i="2" a="1"/>
  <c r="GT68" i="2" s="1"/>
  <c r="BC47" i="2" a="1"/>
  <c r="BC47" i="2" s="1"/>
  <c r="FY169" i="2" a="1"/>
  <c r="FY169" i="2" s="1"/>
  <c r="FY78" i="2" a="1"/>
  <c r="FY78" i="2" s="1"/>
  <c r="FY159" i="2" a="1"/>
  <c r="FY159" i="2" s="1"/>
  <c r="FY18" i="2" a="1"/>
  <c r="FY18" i="2" s="1"/>
  <c r="FY57" i="2" a="1"/>
  <c r="FY57" i="2" s="1"/>
  <c r="FD160" i="2" a="1"/>
  <c r="FD160" i="2" s="1"/>
  <c r="FD48" i="2" a="1"/>
  <c r="FD48" i="2" s="1"/>
  <c r="FD59" i="2" a="1"/>
  <c r="FD59" i="2" s="1"/>
  <c r="FD137" i="2" a="1"/>
  <c r="FD137" i="2" s="1"/>
  <c r="FD44" i="2" a="1"/>
  <c r="FD44" i="2" s="1"/>
  <c r="FD144" i="2" a="1"/>
  <c r="FD144" i="2" s="1"/>
  <c r="FD82" i="2" a="1"/>
  <c r="FD82" i="2" s="1"/>
  <c r="FD188" i="2" a="1"/>
  <c r="FD188" i="2" s="1"/>
  <c r="FD60" i="2" a="1"/>
  <c r="FD60" i="2" s="1"/>
  <c r="FD167" i="2" a="1"/>
  <c r="FD167" i="2" s="1"/>
  <c r="FD131" i="2" a="1"/>
  <c r="FD131" i="2" s="1"/>
  <c r="FD14" i="2" a="1"/>
  <c r="FD14" i="2" s="1"/>
  <c r="FD21" i="2" a="1"/>
  <c r="FD21" i="2" s="1"/>
  <c r="FD43" i="2" a="1"/>
  <c r="FD43" i="2" s="1"/>
  <c r="FD19" i="2" a="1"/>
  <c r="FD19" i="2" s="1"/>
  <c r="FD159" i="2" a="1"/>
  <c r="FD159" i="2" s="1"/>
  <c r="FD107" i="2" a="1"/>
  <c r="FD107" i="2" s="1"/>
  <c r="FD187" i="2" a="1"/>
  <c r="FD187" i="2" s="1"/>
  <c r="FD64" i="2" a="1"/>
  <c r="FD64" i="2" s="1"/>
  <c r="EI34" i="2" a="1"/>
  <c r="EI34" i="2" s="1"/>
  <c r="EI162" i="2" a="1"/>
  <c r="EI162" i="2" s="1"/>
  <c r="EI150" i="2" a="1"/>
  <c r="EI150" i="2" s="1"/>
  <c r="EI35" i="2" a="1"/>
  <c r="EI35" i="2" s="1"/>
  <c r="EI71" i="2" a="1"/>
  <c r="EI71" i="2" s="1"/>
  <c r="EI29" i="2" a="1"/>
  <c r="EI29" i="2" s="1"/>
  <c r="EI139" i="2" a="1"/>
  <c r="EI139" i="2" s="1"/>
  <c r="EI57" i="2" a="1"/>
  <c r="EI57" i="2" s="1"/>
  <c r="EI106" i="2" a="1"/>
  <c r="EI106" i="2" s="1"/>
  <c r="EI36" i="2" a="1"/>
  <c r="EI36" i="2" s="1"/>
  <c r="EI153" i="2" a="1"/>
  <c r="EI153" i="2" s="1"/>
  <c r="EI87" i="2" a="1"/>
  <c r="EI87" i="2" s="1"/>
  <c r="EI166" i="2" a="1"/>
  <c r="EI166" i="2" s="1"/>
  <c r="EI170" i="2" a="1"/>
  <c r="EI170" i="2" s="1"/>
  <c r="EI16" i="2" a="1"/>
  <c r="EI16" i="2" s="1"/>
  <c r="EI109" i="2" a="1"/>
  <c r="EI109" i="2" s="1"/>
  <c r="EI198" i="2" a="1"/>
  <c r="EI198" i="2" s="1"/>
  <c r="EI113" i="2" a="1"/>
  <c r="EI113" i="2" s="1"/>
  <c r="EI38" i="2" a="1"/>
  <c r="EI38" i="2" s="1"/>
  <c r="EI142" i="2" a="1"/>
  <c r="EI142" i="2" s="1"/>
  <c r="BC68" i="2" a="1"/>
  <c r="BC68" i="2" s="1"/>
  <c r="CS161" i="2" a="1"/>
  <c r="CS161" i="2" s="1"/>
  <c r="FR203" i="2"/>
  <c r="HG203" i="2"/>
  <c r="BP203" i="2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ED203" i="2"/>
  <c r="FT203" i="2"/>
  <c r="EY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Z183" i="2" l="1"/>
  <c r="GZ101" i="2"/>
  <c r="GZ178" i="2"/>
  <c r="GZ68" i="2"/>
  <c r="GZ184" i="2"/>
  <c r="GZ187" i="2"/>
  <c r="GZ62" i="2"/>
  <c r="GZ74" i="2"/>
  <c r="GZ35" i="2"/>
  <c r="GZ50" i="2"/>
  <c r="GZ182" i="2"/>
  <c r="GZ138" i="2"/>
  <c r="GZ57" i="2"/>
  <c r="GZ151" i="2"/>
  <c r="GZ155" i="2"/>
  <c r="GZ73" i="2"/>
  <c r="GZ88" i="2"/>
  <c r="GZ150" i="2"/>
  <c r="GZ18" i="2"/>
  <c r="GZ20" i="2"/>
  <c r="GZ53" i="2"/>
  <c r="GZ133" i="2"/>
  <c r="GZ61" i="2"/>
  <c r="GZ89" i="2"/>
  <c r="GZ97" i="2"/>
  <c r="GZ103" i="2"/>
  <c r="GZ127" i="2"/>
  <c r="GZ11" i="2"/>
  <c r="GZ75" i="2"/>
  <c r="GZ87" i="2"/>
  <c r="GZ29" i="2"/>
  <c r="GZ148" i="2"/>
  <c r="GZ47" i="2"/>
  <c r="GZ140" i="2"/>
  <c r="GZ52" i="2"/>
  <c r="GZ110" i="2"/>
  <c r="GZ85" i="2"/>
  <c r="GZ175" i="2"/>
  <c r="GZ76" i="2"/>
  <c r="GZ107" i="2"/>
  <c r="GZ42" i="2"/>
  <c r="GZ34" i="2"/>
  <c r="GZ93" i="2"/>
  <c r="GZ170" i="2"/>
  <c r="GZ146" i="2"/>
  <c r="GZ90" i="2"/>
  <c r="GZ154" i="2"/>
  <c r="GZ173" i="2"/>
  <c r="GZ55" i="2"/>
  <c r="GZ49" i="2"/>
  <c r="GZ167" i="2"/>
  <c r="GZ141" i="2"/>
  <c r="GZ45" i="2"/>
  <c r="GZ38" i="2"/>
  <c r="GZ78" i="2"/>
  <c r="GZ125" i="2"/>
  <c r="GZ46" i="2"/>
  <c r="GZ43" i="2"/>
  <c r="GZ13" i="2"/>
  <c r="GZ129" i="2"/>
  <c r="GZ166" i="2"/>
  <c r="GZ197" i="2"/>
  <c r="GZ108" i="2"/>
  <c r="GZ165" i="2"/>
  <c r="GZ157" i="2"/>
  <c r="GZ81" i="2"/>
  <c r="GZ82" i="2"/>
  <c r="GZ149" i="2"/>
  <c r="GZ119" i="2"/>
  <c r="GZ124" i="2"/>
  <c r="GZ63" i="2"/>
  <c r="GZ69" i="2"/>
  <c r="GZ117" i="2"/>
  <c r="GZ27" i="2"/>
  <c r="GZ9" i="2"/>
  <c r="GZ58" i="2"/>
  <c r="GZ163" i="2"/>
  <c r="GZ17" i="2"/>
  <c r="GZ176" i="2"/>
  <c r="GZ36" i="2"/>
  <c r="GZ21" i="2"/>
  <c r="GZ92" i="2"/>
  <c r="GZ172" i="2"/>
  <c r="GZ164" i="2"/>
  <c r="GZ96" i="2"/>
  <c r="GZ67" i="2"/>
  <c r="GZ12" i="2"/>
  <c r="GZ25" i="2"/>
  <c r="GZ186" i="2"/>
  <c r="GZ123" i="2"/>
  <c r="GZ44" i="2"/>
  <c r="GZ131" i="2"/>
  <c r="GZ114" i="2"/>
  <c r="GZ14" i="2"/>
  <c r="GZ10" i="2"/>
  <c r="GZ116" i="2"/>
  <c r="GZ41" i="2"/>
  <c r="GZ65" i="2"/>
  <c r="GZ132" i="2"/>
  <c r="GZ191" i="2"/>
  <c r="GZ171" i="2"/>
  <c r="GZ200" i="2"/>
  <c r="GZ194" i="2"/>
  <c r="GZ22" i="2"/>
  <c r="GZ152" i="2"/>
  <c r="GZ104" i="2"/>
  <c r="GZ15" i="2"/>
  <c r="GZ99" i="2"/>
  <c r="GZ72" i="2"/>
  <c r="GZ39" i="2"/>
  <c r="GZ130" i="2"/>
  <c r="GZ54" i="2"/>
  <c r="GZ174" i="2"/>
  <c r="GZ79" i="2"/>
  <c r="GZ7" i="2"/>
  <c r="GZ159" i="2"/>
  <c r="GZ143" i="2"/>
  <c r="GZ190" i="2"/>
  <c r="GZ106" i="2"/>
  <c r="GZ135" i="2"/>
  <c r="GZ160" i="2"/>
  <c r="GZ113" i="2"/>
  <c r="GZ71" i="2"/>
  <c r="GZ37" i="2"/>
  <c r="GZ105" i="2"/>
  <c r="GZ100" i="2"/>
  <c r="GZ195" i="2"/>
  <c r="GZ134" i="2"/>
  <c r="GZ122" i="2"/>
  <c r="GZ162" i="2"/>
  <c r="GZ31" i="2"/>
  <c r="GZ95" i="2"/>
  <c r="GZ109" i="2"/>
  <c r="GZ6" i="2"/>
  <c r="GZ189" i="2"/>
  <c r="GZ128" i="2"/>
  <c r="GZ66" i="2"/>
  <c r="GZ33" i="2"/>
  <c r="GZ161" i="2"/>
  <c r="GZ28" i="2"/>
  <c r="GZ136" i="2"/>
  <c r="GZ115" i="2"/>
  <c r="GZ48" i="2"/>
  <c r="GZ181" i="2"/>
  <c r="GZ202" i="2"/>
  <c r="GZ111" i="2"/>
  <c r="GZ4" i="2"/>
  <c r="GZ8" i="2"/>
  <c r="GZ201" i="2"/>
  <c r="GZ120" i="2"/>
  <c r="GZ185" i="2"/>
  <c r="GZ84" i="2"/>
  <c r="GZ51" i="2"/>
  <c r="GZ168" i="2"/>
  <c r="GZ198" i="2"/>
  <c r="GZ192" i="2"/>
  <c r="GZ30" i="2"/>
  <c r="GZ193" i="2"/>
  <c r="GZ98" i="2"/>
  <c r="GZ60" i="2"/>
  <c r="GZ180" i="2"/>
  <c r="GZ203" i="2"/>
  <c r="GZ19" i="2"/>
  <c r="GZ70" i="2"/>
  <c r="GZ158" i="2"/>
  <c r="GZ86" i="2"/>
  <c r="GZ137" i="2"/>
  <c r="GZ64" i="2"/>
  <c r="GZ139" i="2"/>
  <c r="GZ59" i="2"/>
  <c r="GZ144" i="2"/>
  <c r="GZ188" i="2"/>
  <c r="GZ179" i="2"/>
  <c r="GZ91" i="2"/>
  <c r="GZ23" i="2"/>
  <c r="GZ32" i="2"/>
  <c r="GZ156" i="2"/>
  <c r="GZ26" i="2"/>
  <c r="GZ5" i="2"/>
  <c r="GZ153" i="2"/>
  <c r="GZ121" i="2"/>
  <c r="GZ169" i="2"/>
  <c r="GZ102" i="2"/>
  <c r="GZ147" i="2"/>
  <c r="GZ126" i="2"/>
  <c r="GZ199" i="2"/>
  <c r="GZ16" i="2"/>
  <c r="GZ112" i="2"/>
  <c r="GZ56" i="2"/>
  <c r="GZ142" i="2"/>
  <c r="GZ118" i="2"/>
  <c r="GZ83" i="2"/>
  <c r="GZ24" i="2"/>
  <c r="GZ80" i="2"/>
  <c r="GZ145" i="2"/>
  <c r="GZ40" i="2"/>
  <c r="GZ94" i="2"/>
  <c r="GZ77" i="2"/>
  <c r="GZ196" i="2"/>
  <c r="GZ177" i="2"/>
  <c r="GZ3" i="2"/>
  <c r="C15" i="4" s="1"/>
  <c r="E15" i="4" s="1"/>
  <c r="F15" i="4" s="1"/>
  <c r="G15" i="4" s="1"/>
  <c r="L15" i="4" s="1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DT102" i="2" l="1"/>
  <c r="DT60" i="2"/>
  <c r="DT106" i="2"/>
  <c r="DT71" i="2"/>
  <c r="DT81" i="2"/>
  <c r="DT56" i="2"/>
  <c r="DT6" i="2"/>
  <c r="DT86" i="2"/>
  <c r="DT90" i="2"/>
  <c r="DT39" i="2"/>
  <c r="DT112" i="2"/>
  <c r="DT19" i="2"/>
  <c r="DT34" i="2"/>
  <c r="DT33" i="2"/>
  <c r="DT63" i="2"/>
  <c r="DT4" i="2"/>
  <c r="DT136" i="2"/>
  <c r="DT75" i="2"/>
  <c r="DT13" i="2"/>
  <c r="DT26" i="2"/>
  <c r="DT190" i="2"/>
  <c r="DT187" i="2"/>
  <c r="DT173" i="2"/>
  <c r="DT37" i="2"/>
  <c r="DT93" i="2"/>
  <c r="DT100" i="2"/>
  <c r="DT164" i="2"/>
  <c r="DT166" i="2"/>
  <c r="DT178" i="2"/>
  <c r="DT103" i="2"/>
  <c r="DT180" i="2"/>
  <c r="DT162" i="2"/>
  <c r="DT194" i="2"/>
  <c r="DT91" i="2"/>
  <c r="DT171" i="2"/>
  <c r="DT8" i="2"/>
  <c r="DT163" i="2"/>
  <c r="DT123" i="2"/>
  <c r="DT118" i="2"/>
  <c r="DT156" i="2"/>
  <c r="DT72" i="2"/>
  <c r="DT201" i="2"/>
  <c r="DT80" i="2"/>
  <c r="DT88" i="2"/>
  <c r="DT140" i="2"/>
  <c r="DT116" i="2"/>
  <c r="DT202" i="2"/>
  <c r="DT191" i="2"/>
  <c r="DT197" i="2"/>
  <c r="DT179" i="2"/>
  <c r="DT183" i="2"/>
  <c r="DT87" i="2"/>
  <c r="DT177" i="2"/>
  <c r="DT48" i="2"/>
  <c r="DT98" i="2"/>
  <c r="DT61" i="2"/>
  <c r="DT113" i="2"/>
  <c r="DT126" i="2"/>
  <c r="DT198" i="2"/>
  <c r="DT83" i="2"/>
  <c r="DT174" i="2"/>
  <c r="DT62" i="2"/>
  <c r="DT133" i="2"/>
  <c r="DT64" i="2"/>
  <c r="DT97" i="2"/>
  <c r="DT41" i="2"/>
  <c r="DT117" i="2"/>
  <c r="DT43" i="2"/>
  <c r="DT151" i="2"/>
  <c r="DT49" i="2"/>
  <c r="DT181" i="2"/>
  <c r="DT160" i="2"/>
  <c r="DT141" i="2"/>
  <c r="DT203" i="2"/>
  <c r="DT96" i="2"/>
  <c r="DT124" i="2"/>
  <c r="DT21" i="2"/>
  <c r="DT20" i="2"/>
  <c r="DT70" i="2"/>
  <c r="DT76" i="2"/>
  <c r="DT82" i="2"/>
  <c r="DT111" i="2"/>
  <c r="DT131" i="2"/>
  <c r="DT32" i="2"/>
  <c r="DT99" i="2"/>
  <c r="DT157" i="2"/>
  <c r="DT128" i="2"/>
  <c r="DT138" i="2"/>
  <c r="DT158" i="2"/>
  <c r="DT14" i="2"/>
  <c r="DT182" i="2"/>
  <c r="DT129" i="2"/>
  <c r="DT150" i="2"/>
  <c r="DT122" i="2"/>
  <c r="DT119" i="2"/>
  <c r="DT85" i="2"/>
  <c r="DT193" i="2"/>
  <c r="DT84" i="2"/>
  <c r="DT176" i="2"/>
  <c r="DT104" i="2"/>
  <c r="DT110" i="2"/>
  <c r="DT44" i="2"/>
  <c r="DT120" i="2"/>
  <c r="DT74" i="2"/>
  <c r="DT107" i="2"/>
  <c r="DT101" i="2"/>
  <c r="DT55" i="2"/>
  <c r="DT125" i="2"/>
  <c r="DT168" i="2"/>
  <c r="DT11" i="2"/>
  <c r="DT199" i="2"/>
  <c r="DT172" i="2"/>
  <c r="DT23" i="2"/>
  <c r="DT161" i="2"/>
  <c r="DT175" i="2"/>
  <c r="DT45" i="2"/>
  <c r="DT9" i="2"/>
  <c r="DT145" i="2"/>
  <c r="DT73" i="2"/>
  <c r="DT22" i="2"/>
  <c r="DT66" i="2"/>
  <c r="DT127" i="2"/>
  <c r="DT134" i="2"/>
  <c r="DT148" i="2"/>
  <c r="DT7" i="2"/>
  <c r="DT36" i="2"/>
  <c r="DT105" i="2"/>
  <c r="DT167" i="2"/>
  <c r="DT69" i="2"/>
  <c r="DT89" i="2"/>
  <c r="DT114" i="2"/>
  <c r="DT135" i="2"/>
  <c r="DT153" i="2"/>
  <c r="DT137" i="2"/>
  <c r="DT17" i="2"/>
  <c r="DT143" i="2"/>
  <c r="DT51" i="2"/>
  <c r="DT18" i="2"/>
  <c r="DT10" i="2"/>
  <c r="DT28" i="2"/>
  <c r="DT57" i="2"/>
  <c r="DT15" i="2"/>
  <c r="DT38" i="2"/>
  <c r="DT185" i="2"/>
  <c r="DT24" i="2"/>
  <c r="DT31" i="2"/>
  <c r="DT54" i="2"/>
  <c r="DT79" i="2"/>
  <c r="DT169" i="2"/>
  <c r="DT109" i="2"/>
  <c r="DT16" i="2"/>
  <c r="DT155" i="2"/>
  <c r="DT152" i="2"/>
  <c r="DT59" i="2"/>
  <c r="DT58" i="2"/>
  <c r="DT29" i="2"/>
  <c r="DT67" i="2"/>
  <c r="DT65" i="2"/>
  <c r="DT50" i="2"/>
  <c r="DT115" i="2"/>
  <c r="DT30" i="2"/>
  <c r="DT170" i="2"/>
  <c r="DT40" i="2"/>
  <c r="DT132" i="2"/>
  <c r="DT94" i="2"/>
  <c r="DT149" i="2"/>
  <c r="DT146" i="2"/>
  <c r="DT12" i="2"/>
  <c r="DT92" i="2"/>
  <c r="DT139" i="2"/>
  <c r="DT186" i="2"/>
  <c r="DT53" i="2"/>
  <c r="DT52" i="2"/>
  <c r="DT3" i="2"/>
  <c r="C11" i="4" s="1"/>
  <c r="E11" i="4" s="1"/>
  <c r="F11" i="4" s="1"/>
  <c r="G11" i="4" s="1"/>
  <c r="L11" i="4" s="1"/>
  <c r="DT184" i="2"/>
  <c r="DT189" i="2"/>
  <c r="DT95" i="2"/>
  <c r="DT46" i="2"/>
  <c r="DT27" i="2"/>
  <c r="DT108" i="2"/>
  <c r="DT121" i="2"/>
  <c r="DT144" i="2"/>
  <c r="DT142" i="2"/>
  <c r="DT154" i="2"/>
  <c r="DT196" i="2"/>
  <c r="DT77" i="2"/>
  <c r="DT78" i="2"/>
  <c r="DT130" i="2"/>
  <c r="DT195" i="2"/>
  <c r="DT192" i="2"/>
  <c r="DT165" i="2"/>
  <c r="DT47" i="2"/>
  <c r="DT188" i="2"/>
  <c r="DT25" i="2"/>
  <c r="DT200" i="2"/>
  <c r="DT42" i="2"/>
  <c r="DT35" i="2"/>
  <c r="DT159" i="2"/>
  <c r="DT68" i="2"/>
  <c r="DT147" i="2"/>
  <c r="DT5" i="2"/>
  <c r="GE156" i="2"/>
  <c r="GE70" i="2"/>
  <c r="GE11" i="2"/>
  <c r="GE153" i="2"/>
  <c r="GE136" i="2"/>
  <c r="GE48" i="2"/>
  <c r="GE53" i="2"/>
  <c r="GE164" i="2"/>
  <c r="GE38" i="2"/>
  <c r="GE40" i="2"/>
  <c r="GE152" i="2"/>
  <c r="GE96" i="2"/>
  <c r="GE90" i="2"/>
  <c r="GE160" i="2"/>
  <c r="GE137" i="2"/>
  <c r="GE118" i="2"/>
  <c r="GE111" i="2"/>
  <c r="GE87" i="2"/>
  <c r="GE30" i="2"/>
  <c r="GE16" i="2"/>
  <c r="GE139" i="2"/>
  <c r="GE182" i="2"/>
  <c r="GE146" i="2"/>
  <c r="GE162" i="2"/>
  <c r="GE135" i="2"/>
  <c r="GE138" i="2"/>
  <c r="GE52" i="2"/>
  <c r="GE145" i="2"/>
  <c r="GE155" i="2"/>
  <c r="GE144" i="2"/>
  <c r="GE159" i="2"/>
  <c r="GE12" i="2"/>
  <c r="GE107" i="2"/>
  <c r="GE123" i="2"/>
  <c r="GE64" i="2"/>
  <c r="GE74" i="2"/>
  <c r="GE171" i="2"/>
  <c r="GE192" i="2"/>
  <c r="GE95" i="2"/>
  <c r="GE173" i="2"/>
  <c r="GE198" i="2"/>
  <c r="GE57" i="2"/>
  <c r="GE71" i="2"/>
  <c r="GE49" i="2"/>
  <c r="GE25" i="2"/>
  <c r="GE109" i="2"/>
  <c r="GE73" i="2"/>
  <c r="GE119" i="2"/>
  <c r="GE148" i="2"/>
  <c r="GE188" i="2"/>
  <c r="GE100" i="2"/>
  <c r="GE131" i="2"/>
  <c r="GE89" i="2"/>
  <c r="GE143" i="2"/>
  <c r="GE183" i="2"/>
  <c r="GE43" i="2"/>
  <c r="GE133" i="2"/>
  <c r="GE120" i="2"/>
  <c r="GE92" i="2"/>
  <c r="GE132" i="2"/>
  <c r="GE129" i="2"/>
  <c r="GE99" i="2"/>
  <c r="GE33" i="2"/>
  <c r="GE167" i="2"/>
  <c r="GE29" i="2"/>
  <c r="GE86" i="2"/>
  <c r="GE185" i="2"/>
  <c r="GE202" i="2"/>
  <c r="GE190" i="2"/>
  <c r="GE50" i="2"/>
  <c r="GE115" i="2"/>
  <c r="GE44" i="2"/>
  <c r="GE184" i="2"/>
  <c r="GE105" i="2"/>
  <c r="GE101" i="2"/>
  <c r="GE199" i="2"/>
  <c r="GE193" i="2"/>
  <c r="GE6" i="2"/>
  <c r="GE180" i="2"/>
  <c r="GE197" i="2"/>
  <c r="GE23" i="2"/>
  <c r="GE161" i="2"/>
  <c r="GE19" i="2"/>
  <c r="GE62" i="2"/>
  <c r="GE20" i="2"/>
  <c r="GE69" i="2"/>
  <c r="GE147" i="2"/>
  <c r="GE169" i="2"/>
  <c r="GE24" i="2"/>
  <c r="GE37" i="2"/>
  <c r="GE34" i="2"/>
  <c r="GE9" i="2"/>
  <c r="GE17" i="2"/>
  <c r="GE165" i="2"/>
  <c r="GE189" i="2"/>
  <c r="GE65" i="2"/>
  <c r="GE181" i="2"/>
  <c r="GE35" i="2"/>
  <c r="GE112" i="2"/>
  <c r="GE98" i="2"/>
  <c r="GE27" i="2"/>
  <c r="GE60" i="2"/>
  <c r="GE179" i="2"/>
  <c r="GE26" i="2"/>
  <c r="GE141" i="2"/>
  <c r="GE196" i="2"/>
  <c r="GE77" i="2"/>
  <c r="GE14" i="2"/>
  <c r="GE126" i="2"/>
  <c r="GE149" i="2"/>
  <c r="GE140" i="2"/>
  <c r="GE116" i="2"/>
  <c r="GE84" i="2"/>
  <c r="GE41" i="2"/>
  <c r="GE22" i="2"/>
  <c r="GE103" i="2"/>
  <c r="GE121" i="2"/>
  <c r="GE58" i="2"/>
  <c r="GE39" i="2"/>
  <c r="GE114" i="2"/>
  <c r="GE15" i="2"/>
  <c r="GE88" i="2"/>
  <c r="GE203" i="2"/>
  <c r="GE13" i="2"/>
  <c r="GE177" i="2"/>
  <c r="GE106" i="2"/>
  <c r="GE163" i="2"/>
  <c r="GE42" i="2"/>
  <c r="GE104" i="2"/>
  <c r="GE3" i="2"/>
  <c r="C14" i="4" s="1"/>
  <c r="E14" i="4" s="1"/>
  <c r="F14" i="4" s="1"/>
  <c r="G14" i="4" s="1"/>
  <c r="L14" i="4" s="1"/>
  <c r="GE122" i="2"/>
  <c r="GE151" i="2"/>
  <c r="GE56" i="2"/>
  <c r="GE93" i="2"/>
  <c r="GE200" i="2"/>
  <c r="GE176" i="2"/>
  <c r="GE79" i="2"/>
  <c r="GE68" i="2"/>
  <c r="GE168" i="2"/>
  <c r="GE102" i="2"/>
  <c r="GE66" i="2"/>
  <c r="GE91" i="2"/>
  <c r="GE130" i="2"/>
  <c r="GE195" i="2"/>
  <c r="GE5" i="2"/>
  <c r="GE28" i="2"/>
  <c r="GE142" i="2"/>
  <c r="GE174" i="2"/>
  <c r="GE94" i="2"/>
  <c r="GE51" i="2"/>
  <c r="GE110" i="2"/>
  <c r="GE18" i="2"/>
  <c r="GE186" i="2"/>
  <c r="GE21" i="2"/>
  <c r="GE85" i="2"/>
  <c r="GE59" i="2"/>
  <c r="GE170" i="2"/>
  <c r="GE113" i="2"/>
  <c r="GE194" i="2"/>
  <c r="GE117" i="2"/>
  <c r="GE166" i="2"/>
  <c r="GE97" i="2"/>
  <c r="GE83" i="2"/>
  <c r="GE158" i="2"/>
  <c r="GE36" i="2"/>
  <c r="GE157" i="2"/>
  <c r="GE150" i="2"/>
  <c r="GE10" i="2"/>
  <c r="GE32" i="2"/>
  <c r="GE80" i="2"/>
  <c r="GE31" i="2"/>
  <c r="GE125" i="2"/>
  <c r="GE81" i="2"/>
  <c r="GE54" i="2"/>
  <c r="GE46" i="2"/>
  <c r="GE128" i="2"/>
  <c r="GE108" i="2"/>
  <c r="GE4" i="2"/>
  <c r="GE175" i="2"/>
  <c r="GE191" i="2"/>
  <c r="GE172" i="2"/>
  <c r="GE55" i="2"/>
  <c r="GE76" i="2"/>
  <c r="GE154" i="2"/>
  <c r="GE45" i="2"/>
  <c r="GE67" i="2"/>
  <c r="GE7" i="2"/>
  <c r="GE134" i="2"/>
  <c r="GE72" i="2"/>
  <c r="GE75" i="2"/>
  <c r="GE187" i="2"/>
  <c r="GE124" i="2"/>
  <c r="GE47" i="2"/>
  <c r="GE127" i="2"/>
  <c r="GE201" i="2"/>
  <c r="GE61" i="2"/>
  <c r="GE78" i="2"/>
  <c r="GE63" i="2"/>
  <c r="GE8" i="2"/>
  <c r="GE82" i="2"/>
  <c r="GE178" i="2"/>
  <c r="FJ115" i="2"/>
  <c r="FJ109" i="2"/>
  <c r="FJ134" i="2"/>
  <c r="FJ86" i="2"/>
  <c r="FJ129" i="2"/>
  <c r="FJ177" i="2"/>
  <c r="FJ199" i="2"/>
  <c r="FJ185" i="2"/>
  <c r="FJ32" i="2"/>
  <c r="FJ97" i="2"/>
  <c r="FJ88" i="2"/>
  <c r="FJ57" i="2"/>
  <c r="FJ77" i="2"/>
  <c r="FJ61" i="2"/>
  <c r="FJ140" i="2"/>
  <c r="FJ200" i="2"/>
  <c r="FJ146" i="2"/>
  <c r="FJ38" i="2"/>
  <c r="FJ79" i="2"/>
  <c r="FJ12" i="2"/>
  <c r="FJ42" i="2"/>
  <c r="FJ24" i="2"/>
  <c r="FJ91" i="2"/>
  <c r="FJ87" i="2"/>
  <c r="FJ64" i="2"/>
  <c r="FJ161" i="2"/>
  <c r="FJ172" i="2"/>
  <c r="FJ75" i="2"/>
  <c r="FJ85" i="2"/>
  <c r="FJ71" i="2"/>
  <c r="FJ16" i="2"/>
  <c r="FJ20" i="2"/>
  <c r="FJ26" i="2"/>
  <c r="FJ6" i="2"/>
  <c r="FJ70" i="2"/>
  <c r="FJ45" i="2"/>
  <c r="FJ130" i="2"/>
  <c r="FJ132" i="2"/>
  <c r="FJ36" i="2"/>
  <c r="FJ167" i="2"/>
  <c r="FJ83" i="2"/>
  <c r="FJ41" i="2"/>
  <c r="FJ55" i="2"/>
  <c r="FJ51" i="2"/>
  <c r="FJ104" i="2"/>
  <c r="FJ137" i="2"/>
  <c r="FJ124" i="2"/>
  <c r="FJ93" i="2"/>
  <c r="FJ60" i="2"/>
  <c r="FJ201" i="2"/>
  <c r="FJ81" i="2"/>
  <c r="FJ149" i="2"/>
  <c r="FJ94" i="2"/>
  <c r="FJ126" i="2"/>
  <c r="FJ138" i="2"/>
  <c r="FJ100" i="2"/>
  <c r="FJ198" i="2"/>
  <c r="FJ119" i="2"/>
  <c r="FJ103" i="2"/>
  <c r="FJ65" i="2"/>
  <c r="FJ11" i="2"/>
  <c r="FJ188" i="2"/>
  <c r="FJ23" i="2"/>
  <c r="FJ194" i="2"/>
  <c r="FJ175" i="2"/>
  <c r="FJ47" i="2"/>
  <c r="FJ34" i="2"/>
  <c r="FJ183" i="2"/>
  <c r="FJ106" i="2"/>
  <c r="FJ59" i="2"/>
  <c r="FJ133" i="2"/>
  <c r="FJ72" i="2"/>
  <c r="FJ187" i="2"/>
  <c r="FJ180" i="2"/>
  <c r="FJ121" i="2"/>
  <c r="FJ141" i="2"/>
  <c r="FJ3" i="2"/>
  <c r="C13" i="4" s="1"/>
  <c r="E13" i="4" s="1"/>
  <c r="F13" i="4" s="1"/>
  <c r="G13" i="4" s="1"/>
  <c r="L13" i="4" s="1"/>
  <c r="FJ44" i="2"/>
  <c r="FJ170" i="2"/>
  <c r="FJ13" i="2"/>
  <c r="FJ29" i="2"/>
  <c r="FJ157" i="2"/>
  <c r="FJ162" i="2"/>
  <c r="FJ84" i="2"/>
  <c r="FJ152" i="2"/>
  <c r="FJ151" i="2"/>
  <c r="FJ128" i="2"/>
  <c r="FJ107" i="2"/>
  <c r="FJ68" i="2"/>
  <c r="FJ135" i="2"/>
  <c r="FJ127" i="2"/>
  <c r="FJ76" i="2"/>
  <c r="FJ145" i="2"/>
  <c r="FJ48" i="2"/>
  <c r="FJ155" i="2"/>
  <c r="FJ73" i="2"/>
  <c r="FJ189" i="2"/>
  <c r="FJ154" i="2"/>
  <c r="FJ153" i="2"/>
  <c r="FJ30" i="2"/>
  <c r="FJ181" i="2"/>
  <c r="FJ165" i="2"/>
  <c r="FJ22" i="2"/>
  <c r="FJ160" i="2"/>
  <c r="FJ8" i="2"/>
  <c r="FJ7" i="2"/>
  <c r="FJ52" i="2"/>
  <c r="FJ192" i="2"/>
  <c r="FJ49" i="2"/>
  <c r="FJ191" i="2"/>
  <c r="FJ18" i="2"/>
  <c r="FJ78" i="2"/>
  <c r="FJ14" i="2"/>
  <c r="FJ21" i="2"/>
  <c r="FJ99" i="2"/>
  <c r="FJ80" i="2"/>
  <c r="FJ125" i="2"/>
  <c r="FJ56" i="2"/>
  <c r="FJ190" i="2"/>
  <c r="FJ62" i="2"/>
  <c r="FJ113" i="2"/>
  <c r="FJ67" i="2"/>
  <c r="FJ114" i="2"/>
  <c r="FJ74" i="2"/>
  <c r="FJ168" i="2"/>
  <c r="FJ46" i="2"/>
  <c r="FJ112" i="2"/>
  <c r="FJ108" i="2"/>
  <c r="FJ174" i="2"/>
  <c r="FJ17" i="2"/>
  <c r="FJ182" i="2"/>
  <c r="FJ39" i="2"/>
  <c r="FJ158" i="2"/>
  <c r="FJ122" i="2"/>
  <c r="FJ10" i="2"/>
  <c r="FJ82" i="2"/>
  <c r="FJ118" i="2"/>
  <c r="FJ25" i="2"/>
  <c r="FJ40" i="2"/>
  <c r="FJ156" i="2"/>
  <c r="FJ90" i="2"/>
  <c r="FJ196" i="2"/>
  <c r="FJ50" i="2"/>
  <c r="FJ139" i="2"/>
  <c r="FJ144" i="2"/>
  <c r="FJ123" i="2"/>
  <c r="FJ33" i="2"/>
  <c r="FJ186" i="2"/>
  <c r="FJ58" i="2"/>
  <c r="FJ136" i="2"/>
  <c r="FJ53" i="2"/>
  <c r="FJ69" i="2"/>
  <c r="FJ164" i="2"/>
  <c r="FJ92" i="2"/>
  <c r="FJ66" i="2"/>
  <c r="FJ147" i="2"/>
  <c r="FJ31" i="2"/>
  <c r="FJ27" i="2"/>
  <c r="FJ4" i="2"/>
  <c r="FJ178" i="2"/>
  <c r="FJ195" i="2"/>
  <c r="FJ28" i="2"/>
  <c r="FJ143" i="2"/>
  <c r="FJ142" i="2"/>
  <c r="FJ173" i="2"/>
  <c r="FJ9" i="2"/>
  <c r="FJ176" i="2"/>
  <c r="FJ116" i="2"/>
  <c r="FJ166" i="2"/>
  <c r="FJ110" i="2"/>
  <c r="FJ171" i="2"/>
  <c r="FJ163" i="2"/>
  <c r="FJ150" i="2"/>
  <c r="FJ35" i="2"/>
  <c r="FJ98" i="2"/>
  <c r="FJ148" i="2"/>
  <c r="FJ101" i="2"/>
  <c r="FJ203" i="2"/>
  <c r="FJ169" i="2"/>
  <c r="FJ193" i="2"/>
  <c r="FJ43" i="2"/>
  <c r="FJ19" i="2"/>
  <c r="FJ5" i="2"/>
  <c r="FJ111" i="2"/>
  <c r="FJ120" i="2"/>
  <c r="FJ15" i="2"/>
  <c r="FJ96" i="2"/>
  <c r="FJ102" i="2"/>
  <c r="FJ184" i="2"/>
  <c r="FJ131" i="2"/>
  <c r="FJ37" i="2"/>
  <c r="FJ54" i="2"/>
  <c r="FJ89" i="2"/>
  <c r="FJ63" i="2"/>
  <c r="FJ117" i="2"/>
  <c r="FJ159" i="2"/>
  <c r="FJ95" i="2"/>
  <c r="FJ179" i="2"/>
  <c r="FJ105" i="2"/>
  <c r="FJ197" i="2"/>
  <c r="FJ202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<sst xmlns="http://schemas.openxmlformats.org/spreadsheetml/2006/main" count="1190" uniqueCount="334">
  <si>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</si>
  <si>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</si>
  <si>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</si>
  <si>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</si>
  <si>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</si>
  <si>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</si>
  <si>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</si>
  <si>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</si>
  <si>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</si>
  <si>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</si>
  <si>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</si>
  <si>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</si>
  <si>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</si>
  <si>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</si>
  <si>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</si>
  <si>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</si>
  <si>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</si>
  <si>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</si>
  <si>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</si>
  <si>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</si>
  <si>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</si>
  <si>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</si>
  <si>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</si>
  <si>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</si>
  <si>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</si>
  <si>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</si>
  <si>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</si>
  <si>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</si>
  <si>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</si>
  <si>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</si>
  <si>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</si>
  <si>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</si>
  <si>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</si>
  <si>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</si>
  <si>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</si>
  <si>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</si>
  <si>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</si>
  <si>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</si>
  <si>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</si>
  <si>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</si>
  <si>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</si>
  <si>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</si>
  <si>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</si>
  <si>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</si>
  <si>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</si>
  <si>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</si>
  <si>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</si>
  <si>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</si>
  <si>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</si>
  <si>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</si>
  <si>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</si>
  <si>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</si>
  <si>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</si>
  <si>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</si>
  <si>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</si>
  <si>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</si>
  <si>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</si>
  <si>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</si>
  <si>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</si>
  <si>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</si>
  <si>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</si>
  <si>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</si>
  <si>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</si>
  <si>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</si>
  <si>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</si>
  <si>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</si>
  <si>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</si>
  <si>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</si>
  <si>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</si>
  <si>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</si>
  <si>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</si>
  <si>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</si>
  <si>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</si>
  <si>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</si>
  <si>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</si>
  <si>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</si>
  <si>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</si>
  <si>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</si>
  <si>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</si>
  <si>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</si>
  <si>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</si>
  <si>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</si>
  <si>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</si>
  <si>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</si>
  <si>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</si>
  <si>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</si>
  <si>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</si>
  <si>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</si>
  <si>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</si>
  <si>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</si>
  <si>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</si>
  <si>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</si>
  <si>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</si>
  <si>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</si>
  <si>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</si>
  <si>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</si>
  <si>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</si>
  <si>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</si>
  <si>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</si>
  <si>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</si>
  <si>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</si>
  <si>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</si>
  <si>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</si>
  <si>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</si>
  <si>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</si>
  <si>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</si>
  <si>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</si>
  <si>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</si>
  <si>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</si>
  <si>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</si>
  <si>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</si>
  <si>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</si>
  <si>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</si>
  <si>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</si>
  <si>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</si>
  <si>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</si>
  <si>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</si>
  <si>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</si>
  <si>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</si>
  <si>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</si>
  <si>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</si>
  <si>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</si>
  <si>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</si>
  <si>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</si>
  <si>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</si>
  <si>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</si>
  <si>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</si>
  <si>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</si>
  <si>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</si>
  <si>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</si>
  <si>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</si>
  <si>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</si>
  <si>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</si>
  <si>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</si>
  <si>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</si>
  <si>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</si>
  <si>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</si>
  <si>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</si>
  <si>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</si>
  <si>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</si>
  <si>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</si>
  <si>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</si>
  <si>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</si>
  <si>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</si>
  <si>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</si>
  <si>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</si>
  <si>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</si>
  <si>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</si>
  <si>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</si>
  <si>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</si>
  <si>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</si>
  <si>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</si>
  <si>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</si>
  <si>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</si>
  <si>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</si>
  <si>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</si>
  <si>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</si>
  <si>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</si>
  <si>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</si>
  <si>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</si>
  <si>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</si>
  <si>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</si>
  <si>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</si>
  <si>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</si>
  <si>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</si>
  <si>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</si>
  <si>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</si>
  <si>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</si>
  <si>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</si>
  <si>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</si>
  <si>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</si>
  <si>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</si>
  <si>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</si>
  <si>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</si>
  <si>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</si>
  <si>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</si>
  <si>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</si>
  <si>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</si>
  <si>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</si>
  <si>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</si>
  <si>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</si>
  <si>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</si>
  <si>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</si>
  <si>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</si>
  <si>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</si>
  <si>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</si>
  <si>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</si>
  <si>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</si>
  <si>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</si>
  <si>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</si>
  <si>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</si>
  <si>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</si>
  <si>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</si>
  <si>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</si>
  <si>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</si>
  <si>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</si>
  <si>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</si>
  <si>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</si>
  <si>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</si>
  <si>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</si>
  <si>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</si>
  <si>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</si>
  <si>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</si>
  <si>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</si>
  <si>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</si>
  <si>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</si>
  <si>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</si>
  <si>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</si>
  <si>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</si>
  <si>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</si>
  <si>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</si>
  <si>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</si>
  <si>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</si>
  <si>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</si>
  <si>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</si>
  <si>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</si>
  <si>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</si>
  <si>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</si>
  <si>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</si>
  <si>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</si>
  <si>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</si>
  <si>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</si>
  <si>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</si>
  <si>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</si>
  <si>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</si>
  <si>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</si>
  <si>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</si>
  <si>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</si>
  <si>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</si>
  <si>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</si>
  <si>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</si>
  <si>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</si>
  <si>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</si>
  <si>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</si>
  <si>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</si>
  <si>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</si>
  <si>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</si>
  <si>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</si>
  <si>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</si>
  <si>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</si>
  <si>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</si>
  <si>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</si>
  <si>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</si>
  <si>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</si>
  <si>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</si>
  <si>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</si>
  <si>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</si>
  <si>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</si>
  <si>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</si>
  <si>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</si>
  <si>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</si>
  <si>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</si>
  <si>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</si>
  <si>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</si>
  <si>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</si>
  <si>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</si>
  <si>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</si>
  <si>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</si>
  <si>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</si>
  <si>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</si>
  <si>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</si>
  <si>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</si>
  <si>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</si>
  <si>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</si>
  <si>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</si>
  <si>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</si>
  <si>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</si>
  <si>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</si>
  <si>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</si>
  <si>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</si>
  <si>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</si>
  <si>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</si>
  <si>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</si>
  <si>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</si>
  <si>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</si>
  <si>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</si>
  <si>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</si>
  <si>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</si>
  <si>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</si>
  <si>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</si>
  <si>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</si>
  <si>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</si>
  <si>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</si>
  <si>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</si>
  <si>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</si>
  <si>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</si>
  <si>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</si>
  <si>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</si>
  <si>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</si>
  <si>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</si>
  <si>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</si>
  <si>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</si>
  <si>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</si>
  <si>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</si>
  <si>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</si>
  <si>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</si>
  <si>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</si>
  <si>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</si>
  <si>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</si>
  <si>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</si>
  <si>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</si>
  <si>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</si>
  <si>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</si>
  <si>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</si>
  <si>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</si>
  <si>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</si>
  <si>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</si>
  <si>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</si>
  <si>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</si>
  <si>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</si>
  <si>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</si>
  <si>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</si>
  <si>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</si>
  <si>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</si>
  <si>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</si>
  <si>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</si>
  <si>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</si>
  <si>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</si>
  <si>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</si>
  <si>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</si>
  <si>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</si>
  <si>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</si>
  <si>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</si>
  <si>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</si>
  <si>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+CORMIER</t>
  </si>
  <si>
    <t>Cèdre ONF Classe 2</t>
  </si>
  <si>
    <t>Chêne Rouge Labastide &amp; Faber 1972 classe 3 (1/2/3/4/5/6)</t>
  </si>
  <si>
    <t>Pin Laricio Centre-Nord-Ouest ONF - Classe 2 (1/2/3)</t>
  </si>
  <si>
    <t>Douglas ONF 2(1/2/3)</t>
  </si>
  <si>
    <t>SAB Brit 8(4/6/8/10/12)</t>
  </si>
  <si>
    <t>Chêne Sessile ONF 2(1/2/3)</t>
  </si>
  <si>
    <t>Robinier Redei 3(1/2/3/4/5/6)</t>
  </si>
  <si>
    <t>Chêne Sessile 2(1/2/3)</t>
  </si>
  <si>
    <t>Pin Laricio Centre-Nord Ouest ONF - Classe 1 (1/2/3)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</si>
</sst>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11.20539188542012</c:v>
                </c:pt>
                <c:pt idx="2">
                  <c:v>21.927523777049117</c:v>
                </c:pt>
                <c:pt idx="3">
                  <c:v>32.493586948817772</c:v>
                </c:pt>
                <c:pt idx="4">
                  <c:v>42.963445730345995</c:v>
                </c:pt>
                <c:pt idx="5">
                  <c:v>53.364232598299985</c:v>
                </c:pt>
                <c:pt idx="6">
                  <c:v>63.71142505018269</c:v>
                </c:pt>
                <c:pt idx="7">
                  <c:v>74.015000830188157</c:v>
                </c:pt>
                <c:pt idx="8">
                  <c:v>84.28190983106856</c:v>
                </c:pt>
                <c:pt idx="9">
                  <c:v>94.517260312406492</c:v>
                </c:pt>
                <c:pt idx="10">
                  <c:v>104.7249587701631</c:v>
                </c:pt>
                <c:pt idx="11">
                  <c:v>114.90808518941105</c:v>
                </c:pt>
                <c:pt idx="12">
                  <c:v>125.0691274383351</c:v>
                </c:pt>
                <c:pt idx="13">
                  <c:v>135.21013509563227</c:v>
                </c:pt>
                <c:pt idx="14">
                  <c:v>145.33282450800652</c:v>
                </c:pt>
                <c:pt idx="15">
                  <c:v>155.43865293601846</c:v>
                </c:pt>
                <c:pt idx="16">
                  <c:v>165.52887234629307</c:v>
                </c:pt>
                <c:pt idx="17">
                  <c:v>175.60456936445431</c:v>
                </c:pt>
                <c:pt idx="18">
                  <c:v>185.66669555613839</c:v>
                </c:pt>
                <c:pt idx="19">
                  <c:v>195.71609078597473</c:v>
                </c:pt>
                <c:pt idx="20">
                  <c:v>205.75350151859661</c:v>
                </c:pt>
                <c:pt idx="21">
                  <c:v>215.779595355433</c:v>
                </c:pt>
                <c:pt idx="22">
                  <c:v>225.79497272413494</c:v>
                </c:pt>
                <c:pt idx="23">
                  <c:v>235.80017638257266</c:v>
                </c:pt>
                <c:pt idx="24">
                  <c:v>245.79569922332504</c:v>
                </c:pt>
                <c:pt idx="25">
                  <c:v>255.78199074076778</c:v>
                </c:pt>
                <c:pt idx="26">
                  <c:v>265.75946243430144</c:v>
                </c:pt>
                <c:pt idx="27">
                  <c:v>275.72849235693155</c:v>
                </c:pt>
                <c:pt idx="28">
                  <c:v>285.68942897104239</c:v>
                </c:pt>
                <c:pt idx="29">
                  <c:v>295.64259443786659</c:v>
                </c:pt>
                <c:pt idx="30">
                  <c:v>305.58828744048856</c:v>
                </c:pt>
                <c:pt idx="31">
                  <c:v>315.52678561987216</c:v>
                </c:pt>
                <c:pt idx="32">
                  <c:v>325.4583476877346</c:v>
                </c:pt>
                <c:pt idx="33">
                  <c:v>335.38321526789008</c:v>
                </c:pt>
                <c:pt idx="34">
                  <c:v>345.30161450813017</c:v>
                </c:pt>
                <c:pt idx="35">
                  <c:v>355.21375749714207</c:v>
                </c:pt>
                <c:pt idx="36">
                  <c:v>365.1198435149422</c:v>
                </c:pt>
                <c:pt idx="37">
                  <c:v>375.02006014046651</c:v>
                </c:pt>
                <c:pt idx="38">
                  <c:v>384.91458423605405</c:v>
                </c:pt>
                <c:pt idx="39">
                  <c:v>394.80358282538549</c:v>
                </c:pt>
                <c:pt idx="40">
                  <c:v>404.6872138788429</c:v>
                </c:pt>
                <c:pt idx="41">
                  <c:v>414.56562701812322</c:v>
                </c:pt>
                <c:pt idx="42">
                  <c:v>424.43896415017292</c:v>
                </c:pt>
                <c:pt idx="43">
                  <c:v>260.23313016156169</c:v>
                </c:pt>
                <c:pt idx="44">
                  <c:v>278.44681281239997</c:v>
                </c:pt>
                <c:pt idx="45">
                  <c:v>296.63377132490763</c:v>
                </c:pt>
                <c:pt idx="46">
                  <c:v>314.79587436452249</c:v>
                </c:pt>
                <c:pt idx="47">
                  <c:v>332.9347573633475</c:v>
                </c:pt>
                <c:pt idx="48">
                  <c:v>351.05186301791537</c:v>
                </c:pt>
                <c:pt idx="49">
                  <c:v>369.14847298502383</c:v>
                </c:pt>
                <c:pt idx="50">
                  <c:v>285.89441593904411</c:v>
                </c:pt>
                <c:pt idx="51">
                  <c:v>302.88566086690889</c:v>
                </c:pt>
                <c:pt idx="52">
                  <c:v>319.85570298158433</c:v>
                </c:pt>
                <c:pt idx="53">
                  <c:v>336.80582532791021</c:v>
                </c:pt>
                <c:pt idx="54">
                  <c:v>353.7371712740657</c:v>
                </c:pt>
                <c:pt idx="55">
                  <c:v>370.650765814566</c:v>
                </c:pt>
                <c:pt idx="56">
                  <c:v>387.54753278046701</c:v>
                </c:pt>
                <c:pt idx="57">
                  <c:v>324.84229047858202</c:v>
                </c:pt>
                <c:pt idx="58">
                  <c:v>341.43839219104871</c:v>
                </c:pt>
                <c:pt idx="59">
                  <c:v>358.01676189115318</c:v>
                </c:pt>
                <c:pt idx="60">
                  <c:v>374.57833607948623</c:v>
                </c:pt>
                <c:pt idx="61">
                  <c:v>391.12396169935806</c:v>
                </c:pt>
                <c:pt idx="62">
                  <c:v>407.6544082061323</c:v>
                </c:pt>
                <c:pt idx="63">
                  <c:v>424.17037757659017</c:v>
                </c:pt>
                <c:pt idx="64">
                  <c:v>361.34408218599697</c:v>
                </c:pt>
                <c:pt idx="65">
                  <c:v>377.35815934709927</c:v>
                </c:pt>
                <c:pt idx="66">
                  <c:v>393.35744559771814</c:v>
                </c:pt>
                <c:pt idx="67">
                  <c:v>409.34262709633504</c:v>
                </c:pt>
                <c:pt idx="68">
                  <c:v>425.31433205072511</c:v>
                </c:pt>
                <c:pt idx="69">
                  <c:v>441.27313764989566</c:v>
                </c:pt>
                <c:pt idx="70">
                  <c:v>457.21957594103316</c:v>
                </c:pt>
                <c:pt idx="71">
                  <c:v>473.15413884394314</c:v>
                </c:pt>
                <c:pt idx="72">
                  <c:v>397.90541663949875</c:v>
                </c:pt>
                <c:pt idx="73">
                  <c:v>412.95607714276122</c:v>
                </c:pt>
                <c:pt idx="74">
                  <c:v>427.99490547956322</c:v>
                </c:pt>
                <c:pt idx="75">
                  <c:v>443.02237586841375</c:v>
                </c:pt>
                <c:pt idx="76">
                  <c:v>458.03892773940169</c:v>
                </c:pt>
                <c:pt idx="77">
                  <c:v>473.0449693668516</c:v>
                </c:pt>
                <c:pt idx="78">
                  <c:v>488.04088101709573</c:v>
                </c:pt>
                <c:pt idx="79">
                  <c:v>503.02701768929575</c:v>
                </c:pt>
                <c:pt idx="80">
                  <c:v>429.78258246574592</c:v>
                </c:pt>
                <c:pt idx="81">
                  <c:v>443.91184644806668</c:v>
                </c:pt>
                <c:pt idx="82">
                  <c:v>458.03147922778635</c:v>
                </c:pt>
                <c:pt idx="83">
                  <c:v>472.141819469442</c:v>
                </c:pt>
                <c:pt idx="84">
                  <c:v>486.24318394824201</c:v>
                </c:pt>
                <c:pt idx="85">
                  <c:v>500.33586957190164</c:v>
                </c:pt>
                <c:pt idx="86">
                  <c:v>514.42015516287267</c:v>
                </c:pt>
                <c:pt idx="87">
                  <c:v>528.49630303527977</c:v>
                </c:pt>
                <c:pt idx="88">
                  <c:v>453.66372147844731</c:v>
                </c:pt>
                <c:pt idx="89">
                  <c:v>466.73207202169948</c:v>
                </c:pt>
                <c:pt idx="90">
                  <c:v>479.79262513581756</c:v>
                </c:pt>
                <c:pt idx="91">
                  <c:v>492.84562295362815</c:v>
                </c:pt>
                <c:pt idx="92">
                  <c:v>505.89129373820555</c:v>
                </c:pt>
                <c:pt idx="93">
                  <c:v>518.92985302204045</c:v>
                </c:pt>
                <c:pt idx="94">
                  <c:v>531.96150462578419</c:v>
                </c:pt>
                <c:pt idx="95">
                  <c:v>544.98644157199533</c:v>
                </c:pt>
                <c:pt idx="96">
                  <c:v>286.04163182227154</c:v>
                </c:pt>
                <c:pt idx="97">
                  <c:v>294.78943542966084</c:v>
                </c:pt>
                <c:pt idx="98">
                  <c:v>303.53144827169496</c:v>
                </c:pt>
                <c:pt idx="99">
                  <c:v>312.26786078543915</c:v>
                </c:pt>
                <c:pt idx="100">
                  <c:v>320.99885187362952</c:v>
                </c:pt>
                <c:pt idx="101">
                  <c:v>329.72458990487462</c:v>
                </c:pt>
                <c:pt idx="102">
                  <c:v>338.44523360238071</c:v>
                </c:pt>
                <c:pt idx="103">
                  <c:v>347.1609328362394</c:v>
                </c:pt>
                <c:pt idx="104">
                  <c:v>355.87182933195271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1.9829605481590298</c:v>
                </c:pt>
                <c:pt idx="2">
                  <c:v>2.5355588777979912</c:v>
                </c:pt>
                <c:pt idx="3">
                  <c:v>3.2427700574650582</c:v>
                </c:pt>
                <c:pt idx="4">
                  <c:v>4.1480169179114386</c:v>
                </c:pt>
                <c:pt idx="5">
                  <c:v>5.3069604993060517</c:v>
                </c:pt>
                <c:pt idx="6">
                  <c:v>6.7909605032023883</c:v>
                </c:pt>
                <c:pt idx="7">
                  <c:v>8.6915171549065775</c:v>
                </c:pt>
                <c:pt idx="8">
                  <c:v>11.125973576865023</c:v>
                </c:pt>
                <c:pt idx="9">
                  <c:v>14.244837344922145</c:v>
                </c:pt>
                <c:pt idx="10">
                  <c:v>18.241182207576891</c:v>
                </c:pt>
                <c:pt idx="11">
                  <c:v>23.362722503944415</c:v>
                </c:pt>
                <c:pt idx="12">
                  <c:v>29.927321996743171</c:v>
                </c:pt>
                <c:pt idx="13">
                  <c:v>38.342916424072889</c:v>
                </c:pt>
                <c:pt idx="14">
                  <c:v>49.133108944839641</c:v>
                </c:pt>
                <c:pt idx="15">
                  <c:v>62.970057669105302</c:v>
                </c:pt>
                <c:pt idx="16">
                  <c:v>80.716737618977461</c:v>
                </c:pt>
                <c:pt idx="17">
                  <c:v>103.48125535748945</c:v>
                </c:pt>
                <c:pt idx="18">
                  <c:v>132.68666126010359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206.53161528161434</c:v>
                </c:pt>
                <c:pt idx="26">
                  <c:v>233.40713942060134</c:v>
                </c:pt>
                <c:pt idx="27">
                  <c:v>260.21198168451195</c:v>
                </c:pt>
                <c:pt idx="28">
                  <c:v>286.9544450254437</c:v>
                </c:pt>
                <c:pt idx="29">
                  <c:v>313.64115705254318</c:v>
                </c:pt>
                <c:pt idx="30">
                  <c:v>340.27752501668789</c:v>
                </c:pt>
                <c:pt idx="31">
                  <c:v>280.87120172097963</c:v>
                </c:pt>
                <c:pt idx="32">
                  <c:v>307.23239527284721</c:v>
                </c:pt>
                <c:pt idx="33">
                  <c:v>333.54333753060683</c:v>
                </c:pt>
                <c:pt idx="34">
                  <c:v>359.80854661791369</c:v>
                </c:pt>
                <c:pt idx="35">
                  <c:v>386.03182733513495</c:v>
                </c:pt>
                <c:pt idx="36">
                  <c:v>412.21642559656016</c:v>
                </c:pt>
                <c:pt idx="37">
                  <c:v>438.36514154393285</c:v>
                </c:pt>
                <c:pt idx="38">
                  <c:v>394.86218431460662</c:v>
                </c:pt>
                <c:pt idx="39">
                  <c:v>420.83865329101536</c:v>
                </c:pt>
                <c:pt idx="40">
                  <c:v>446.78060318925992</c:v>
                </c:pt>
                <c:pt idx="41">
                  <c:v>472.69031801972392</c:v>
                </c:pt>
                <c:pt idx="42">
                  <c:v>498.56981119605592</c:v>
                </c:pt>
                <c:pt idx="43">
                  <c:v>524.42087025895296</c:v>
                </c:pt>
                <c:pt idx="44">
                  <c:v>550.24509232420291</c:v>
                </c:pt>
                <c:pt idx="45">
                  <c:v>576.04391253225162</c:v>
                </c:pt>
                <c:pt idx="46">
                  <c:v>601.81862713859334</c:v>
                </c:pt>
                <c:pt idx="47">
                  <c:v>506.67866168846348</c:v>
                </c:pt>
                <c:pt idx="48">
                  <c:v>529.2802503871311</c:v>
                </c:pt>
                <c:pt idx="49">
                  <c:v>551.86153159582489</c:v>
                </c:pt>
                <c:pt idx="50">
                  <c:v>574.42345234122934</c:v>
                </c:pt>
                <c:pt idx="51">
                  <c:v>596.96687926354946</c:v>
                </c:pt>
                <c:pt idx="52">
                  <c:v>619.49260827885348</c:v>
                </c:pt>
                <c:pt idx="53">
                  <c:v>642.00137276399425</c:v>
                </c:pt>
                <c:pt idx="54">
                  <c:v>664.49385053489107</c:v>
                </c:pt>
                <c:pt idx="55">
                  <c:v>686.97066983166678</c:v>
                </c:pt>
                <c:pt idx="56">
                  <c:v>709.43241448048047</c:v>
                </c:pt>
                <c:pt idx="57">
                  <c:v>631.67236927414172</c:v>
                </c:pt>
                <c:pt idx="58">
                  <c:v>651.3330869379339</c:v>
                </c:pt>
                <c:pt idx="59">
                  <c:v>670.98157399988816</c:v>
                </c:pt>
                <c:pt idx="60">
                  <c:v>690.61823868278464</c:v>
                </c:pt>
                <c:pt idx="61">
                  <c:v>710.24346412590251</c:v>
                </c:pt>
                <c:pt idx="62">
                  <c:v>729.85761059078425</c:v>
                </c:pt>
                <c:pt idx="63">
                  <c:v>749.46101741779523</c:v>
                </c:pt>
                <c:pt idx="64">
                  <c:v>769.05400476753857</c:v>
                </c:pt>
                <c:pt idx="65">
                  <c:v>788.63687517576818</c:v>
                </c:pt>
                <c:pt idx="66">
                  <c:v>808.20991494600219</c:v>
                </c:pt>
                <c:pt idx="67">
                  <c:v>714.1161227767725</c:v>
                </c:pt>
                <c:pt idx="68">
                  <c:v>730.33767734111404</c:v>
                </c:pt>
                <c:pt idx="69">
                  <c:v>746.55189111234506</c:v>
                </c:pt>
                <c:pt idx="70">
                  <c:v>762.75894584283617</c:v>
                </c:pt>
                <c:pt idx="71">
                  <c:v>778.95901493852716</c:v>
                </c:pt>
                <c:pt idx="72">
                  <c:v>795.15226401136772</c:v>
                </c:pt>
                <c:pt idx="73">
                  <c:v>811.33885138445942</c:v>
                </c:pt>
                <c:pt idx="74">
                  <c:v>827.51892855483277</c:v>
                </c:pt>
                <c:pt idx="75">
                  <c:v>843.69264061818376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1.5183850737834039</c:v>
                </c:pt>
                <c:pt idx="2">
                  <c:v>1.9333477506085748</c:v>
                </c:pt>
                <c:pt idx="3">
                  <c:v>2.4621762280013781</c:v>
                </c:pt>
                <c:pt idx="4">
                  <c:v>3.1362346156390721</c:v>
                </c:pt>
                <c:pt idx="5">
                  <c:v>3.9955570474594828</c:v>
                </c:pt>
                <c:pt idx="6">
                  <c:v>5.0912522901895665</c:v>
                </c:pt>
                <c:pt idx="7">
                  <c:v>6.4885773014302401</c:v>
                </c:pt>
                <c:pt idx="8">
                  <c:v>8.2708663566743414</c:v>
                </c:pt>
                <c:pt idx="9">
                  <c:v>10.544554559400158</c:v>
                </c:pt>
                <c:pt idx="10">
                  <c:v>13.445601375053519</c:v>
                </c:pt>
                <c:pt idx="11">
                  <c:v>17.147705398676127</c:v>
                </c:pt>
                <c:pt idx="12">
                  <c:v>21.872811144369365</c:v>
                </c:pt>
                <c:pt idx="13">
                  <c:v>27.904548982895619</c:v>
                </c:pt>
                <c:pt idx="14">
                  <c:v>35.605429102904736</c:v>
                </c:pt>
                <c:pt idx="15">
                  <c:v>45.438840620453256</c:v>
                </c:pt>
                <c:pt idx="16">
                  <c:v>57.99720192495986</c:v>
                </c:pt>
                <c:pt idx="17">
                  <c:v>74.037986249414644</c:v>
                </c:pt>
                <c:pt idx="18">
                  <c:v>94.529830649635144</c:v>
                </c:pt>
                <c:pt idx="19">
                  <c:v>120.71155702347131</c:v>
                </c:pt>
                <c:pt idx="20">
                  <c:v>154.16772890072414</c:v>
                </c:pt>
                <c:pt idx="21">
                  <c:v>196.92538673433864</c:v>
                </c:pt>
                <c:pt idx="22">
                  <c:v>154.53564277629059</c:v>
                </c:pt>
                <c:pt idx="23">
                  <c:v>175.88815765485356</c:v>
                </c:pt>
                <c:pt idx="24">
                  <c:v>197.17978636899292</c:v>
                </c:pt>
                <c:pt idx="25">
                  <c:v>218.41803123407919</c:v>
                </c:pt>
                <c:pt idx="26">
                  <c:v>239.60881384353573</c:v>
                </c:pt>
                <c:pt idx="27">
                  <c:v>260.75692166144955</c:v>
                </c:pt>
                <c:pt idx="28">
                  <c:v>281.8663016432692</c:v>
                </c:pt>
                <c:pt idx="29">
                  <c:v>238.51457061883363</c:v>
                </c:pt>
                <c:pt idx="30">
                  <c:v>261.2820060637336</c:v>
                </c:pt>
                <c:pt idx="31">
                  <c:v>284.00465196140868</c:v>
                </c:pt>
                <c:pt idx="32">
                  <c:v>306.68659420511329</c:v>
                </c:pt>
                <c:pt idx="33">
                  <c:v>329.33126487682642</c:v>
                </c:pt>
                <c:pt idx="34">
                  <c:v>351.94158558335363</c:v>
                </c:pt>
                <c:pt idx="35">
                  <c:v>374.52007198706838</c:v>
                </c:pt>
                <c:pt idx="36">
                  <c:v>312.47944399055007</c:v>
                </c:pt>
                <c:pt idx="37">
                  <c:v>334.68733535433728</c:v>
                </c:pt>
                <c:pt idx="38">
                  <c:v>356.86277022217035</c:v>
                </c:pt>
                <c:pt idx="39">
                  <c:v>379.00804776608726</c:v>
                </c:pt>
                <c:pt idx="40">
                  <c:v>401.12517665968647</c:v>
                </c:pt>
                <c:pt idx="41">
                  <c:v>423.21592610568717</c:v>
                </c:pt>
                <c:pt idx="42">
                  <c:v>445.28186565079847</c:v>
                </c:pt>
                <c:pt idx="43">
                  <c:v>369.73853393104804</c:v>
                </c:pt>
                <c:pt idx="44">
                  <c:v>391.00774053588492</c:v>
                </c:pt>
                <c:pt idx="45">
                  <c:v>412.25185653011403</c:v>
                </c:pt>
                <c:pt idx="46">
                  <c:v>433.4723558616401</c:v>
                </c:pt>
                <c:pt idx="47">
                  <c:v>454.67055647652927</c:v>
                </c:pt>
                <c:pt idx="48">
                  <c:v>475.84764348197768</c:v>
                </c:pt>
                <c:pt idx="49">
                  <c:v>497.00468797167258</c:v>
                </c:pt>
                <c:pt idx="50">
                  <c:v>407.87166639690093</c:v>
                </c:pt>
                <c:pt idx="51">
                  <c:v>427.53463073539939</c:v>
                </c:pt>
                <c:pt idx="52">
                  <c:v>447.17815677555456</c:v>
                </c:pt>
                <c:pt idx="53">
                  <c:v>466.80321801058653</c:v>
                </c:pt>
                <c:pt idx="54">
                  <c:v>486.41069945204708</c:v>
                </c:pt>
                <c:pt idx="55">
                  <c:v>506.00140898732178</c:v>
                </c:pt>
                <c:pt idx="56">
                  <c:v>525.57608688720916</c:v>
                </c:pt>
                <c:pt idx="57">
                  <c:v>452.30721926644088</c:v>
                </c:pt>
                <c:pt idx="58">
                  <c:v>470.24718027794233</c:v>
                </c:pt>
                <c:pt idx="59">
                  <c:v>488.17256884922966</c:v>
                </c:pt>
                <c:pt idx="60">
                  <c:v>506.08399509159472</c:v>
                </c:pt>
                <c:pt idx="61">
                  <c:v>523.98202243278661</c:v>
                </c:pt>
                <c:pt idx="62">
                  <c:v>541.86717269430869</c:v>
                </c:pt>
                <c:pt idx="63">
                  <c:v>559.7399304637878</c:v>
                </c:pt>
                <c:pt idx="64">
                  <c:v>479.96680247256717</c:v>
                </c:pt>
                <c:pt idx="65">
                  <c:v>496.02151776351769</c:v>
                </c:pt>
                <c:pt idx="66">
                  <c:v>512.0652273051619</c:v>
                </c:pt>
                <c:pt idx="67">
                  <c:v>528.09832432387532</c:v>
                </c:pt>
                <c:pt idx="68">
                  <c:v>544.12117623366794</c:v>
                </c:pt>
                <c:pt idx="69">
                  <c:v>560.1341270564584</c:v>
                </c:pt>
                <c:pt idx="70">
                  <c:v>576.13749955131186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3.2880796532772987</c:v>
                </c:pt>
                <c:pt idx="2">
                  <c:v>4.072701449132393</c:v>
                </c:pt>
                <c:pt idx="3">
                  <c:v>5.0452658053051023</c:v>
                </c:pt>
                <c:pt idx="4">
                  <c:v>6.2509515336098742</c:v>
                </c:pt>
                <c:pt idx="5">
                  <c:v>7.7458338589393518</c:v>
                </c:pt>
                <c:pt idx="6">
                  <c:v>9.5995205320486541</c:v>
                </c:pt>
                <c:pt idx="7">
                  <c:v>11.89842748447129</c:v>
                </c:pt>
                <c:pt idx="8">
                  <c:v>14.749849584298721</c:v>
                </c:pt>
                <c:pt idx="9">
                  <c:v>18.287019977699263</c:v>
                </c:pt>
                <c:pt idx="10">
                  <c:v>22.675398693482737</c:v>
                </c:pt>
                <c:pt idx="11">
                  <c:v>28.120489915059597</c:v>
                </c:pt>
                <c:pt idx="12">
                  <c:v>34.877560410346007</c:v>
                </c:pt>
                <c:pt idx="13">
                  <c:v>43.263722572911867</c:v>
                </c:pt>
                <c:pt idx="14">
                  <c:v>53.672958747369925</c:v>
                </c:pt>
                <c:pt idx="15">
                  <c:v>66.594804444176376</c:v>
                </c:pt>
                <c:pt idx="16">
                  <c:v>82.63758348851762</c:v>
                </c:pt>
                <c:pt idx="17">
                  <c:v>102.55730655828695</c:v>
                </c:pt>
                <c:pt idx="18">
                  <c:v>127.29361648976014</c:v>
                </c:pt>
                <c:pt idx="19">
                  <c:v>158.01450229924936</c:v>
                </c:pt>
                <c:pt idx="20">
                  <c:v>196.17192544516271</c:v>
                </c:pt>
                <c:pt idx="21">
                  <c:v>141.20439719706826</c:v>
                </c:pt>
                <c:pt idx="22">
                  <c:v>158.9920945229124</c:v>
                </c:pt>
                <c:pt idx="23">
                  <c:v>176.73259372343114</c:v>
                </c:pt>
                <c:pt idx="24">
                  <c:v>194.4313021870739</c:v>
                </c:pt>
                <c:pt idx="25">
                  <c:v>212.09256072539449</c:v>
                </c:pt>
                <c:pt idx="26">
                  <c:v>174.983167756293</c:v>
                </c:pt>
                <c:pt idx="27">
                  <c:v>191.52794835223938</c:v>
                </c:pt>
                <c:pt idx="28">
                  <c:v>208.03945976081687</c:v>
                </c:pt>
                <c:pt idx="29">
                  <c:v>224.52071478631933</c:v>
                </c:pt>
                <c:pt idx="30">
                  <c:v>240.97424739462417</c:v>
                </c:pt>
                <c:pt idx="31">
                  <c:v>202.82370639393068</c:v>
                </c:pt>
                <c:pt idx="32">
                  <c:v>218.15534816608951</c:v>
                </c:pt>
                <c:pt idx="33">
                  <c:v>233.46223039819063</c:v>
                </c:pt>
                <c:pt idx="34">
                  <c:v>248.7462053091424</c:v>
                </c:pt>
                <c:pt idx="35">
                  <c:v>264.00887878574889</c:v>
                </c:pt>
                <c:pt idx="36">
                  <c:v>225.94919342150297</c:v>
                </c:pt>
                <c:pt idx="37">
                  <c:v>239.80886611997335</c:v>
                </c:pt>
                <c:pt idx="38">
                  <c:v>253.65030396601219</c:v>
                </c:pt>
                <c:pt idx="39">
                  <c:v>267.47464242977532</c:v>
                </c:pt>
                <c:pt idx="40">
                  <c:v>281.28288996925949</c:v>
                </c:pt>
                <c:pt idx="41">
                  <c:v>246.17416298697401</c:v>
                </c:pt>
                <c:pt idx="42">
                  <c:v>258.56123971005064</c:v>
                </c:pt>
                <c:pt idx="43">
                  <c:v>270.9349069969067</c:v>
                </c:pt>
                <c:pt idx="44">
                  <c:v>283.29586378861012</c:v>
                </c:pt>
                <c:pt idx="45">
                  <c:v>295.64474302276653</c:v>
                </c:pt>
                <c:pt idx="46">
                  <c:v>262.2980661188185</c:v>
                </c:pt>
                <c:pt idx="47">
                  <c:v>273.51487124210206</c:v>
                </c:pt>
                <c:pt idx="48">
                  <c:v>284.72133944806404</c:v>
                </c:pt>
                <c:pt idx="49">
                  <c:v>295.91793514262912</c:v>
                </c:pt>
                <c:pt idx="50">
                  <c:v>307.10508469967004</c:v>
                </c:pt>
                <c:pt idx="51">
                  <c:v>276.66392997916165</c:v>
                </c:pt>
                <c:pt idx="52">
                  <c:v>286.43797384990927</c:v>
                </c:pt>
                <c:pt idx="53">
                  <c:v>296.20455689204351</c:v>
                </c:pt>
                <c:pt idx="54">
                  <c:v>305.96395996016787</c:v>
                </c:pt>
                <c:pt idx="55">
                  <c:v>315.71644451682369</c:v>
                </c:pt>
                <c:pt idx="56">
                  <c:v>288.45013209584488</c:v>
                </c:pt>
                <c:pt idx="57">
                  <c:v>297.06886317249985</c:v>
                </c:pt>
                <c:pt idx="58">
                  <c:v>305.68202046048793</c:v>
                </c:pt>
                <c:pt idx="59">
                  <c:v>314.28978329165955</c:v>
                </c:pt>
                <c:pt idx="60">
                  <c:v>322.89232036484606</c:v>
                </c:pt>
                <c:pt idx="61">
                  <c:v>298.80626277976916</c:v>
                </c:pt>
                <c:pt idx="62">
                  <c:v>306.26379404195626</c:v>
                </c:pt>
                <c:pt idx="63">
                  <c:v>313.71728954705691</c:v>
                </c:pt>
                <c:pt idx="64">
                  <c:v>321.16685880050778</c:v>
                </c:pt>
                <c:pt idx="65">
                  <c:v>328.61260580811569</c:v>
                </c:pt>
                <c:pt idx="66">
                  <c:v>306.54124663186008</c:v>
                </c:pt>
                <c:pt idx="67">
                  <c:v>313.1358268676459</c:v>
                </c:pt>
                <c:pt idx="68">
                  <c:v>319.72732722359814</c:v>
                </c:pt>
                <c:pt idx="69">
                  <c:v>326.31582022403916</c:v>
                </c:pt>
                <c:pt idx="70">
                  <c:v>332.90137522244294</c:v>
                </c:pt>
                <c:pt idx="71">
                  <c:v>314.27636573435944</c:v>
                </c:pt>
                <c:pt idx="72">
                  <c:v>320.01345670425644</c:v>
                </c:pt>
                <c:pt idx="73">
                  <c:v>325.74827158373427</c:v>
                </c:pt>
                <c:pt idx="74">
                  <c:v>331.48085614780319</c:v>
                </c:pt>
                <c:pt idx="75">
                  <c:v>337.21125445707168</c:v>
                </c:pt>
                <c:pt idx="76">
                  <c:v>320.59016923293365</c:v>
                </c:pt>
                <c:pt idx="77">
                  <c:v>325.46225454211259</c:v>
                </c:pt>
                <c:pt idx="78">
                  <c:v>330.33272848393142</c:v>
                </c:pt>
                <c:pt idx="79">
                  <c:v>335.20161820250024</c:v>
                </c:pt>
                <c:pt idx="80">
                  <c:v>340.06894998795366</c:v>
                </c:pt>
                <c:pt idx="81">
                  <c:v>325.75720952683702</c:v>
                </c:pt>
                <c:pt idx="82">
                  <c:v>330.05126741974038</c:v>
                </c:pt>
                <c:pt idx="83">
                  <c:v>334.34409269263585</c:v>
                </c:pt>
                <c:pt idx="84">
                  <c:v>338.63570342886192</c:v>
                </c:pt>
                <c:pt idx="85">
                  <c:v>342.92611721533939</c:v>
                </c:pt>
                <c:pt idx="86">
                  <c:v>329.7608655314699</c:v>
                </c:pt>
                <c:pt idx="87">
                  <c:v>333.76791552152275</c:v>
                </c:pt>
                <c:pt idx="88">
                  <c:v>337.77390527322638</c:v>
                </c:pt>
                <c:pt idx="89">
                  <c:v>341.77884915481127</c:v>
                </c:pt>
                <c:pt idx="90">
                  <c:v>345.78276116979595</c:v>
                </c:pt>
                <c:pt idx="91">
                  <c:v>2.5184749408430782E-12</c:v>
                </c:pt>
                <c:pt idx="92">
                  <c:v>2.5184749408430782E-12</c:v>
                </c:pt>
                <c:pt idx="93">
                  <c:v>2.5184749408430782E-12</c:v>
                </c:pt>
                <c:pt idx="94">
                  <c:v>2.5184749408430782E-12</c:v>
                </c:pt>
                <c:pt idx="95">
                  <c:v>2.5184749408430782E-12</c:v>
                </c:pt>
                <c:pt idx="96">
                  <c:v>2.5184749408430782E-12</c:v>
                </c:pt>
                <c:pt idx="97">
                  <c:v>2.5184749408430782E-12</c:v>
                </c:pt>
                <c:pt idx="98">
                  <c:v>2.5184749408430782E-12</c:v>
                </c:pt>
                <c:pt idx="99">
                  <c:v>2.5184749408430782E-12</c:v>
                </c:pt>
                <c:pt idx="100">
                  <c:v>2.5184749408430782E-12</c:v>
                </c:pt>
                <c:pt idx="101">
                  <c:v>2.5184749408430782E-12</c:v>
                </c:pt>
                <c:pt idx="102">
                  <c:v>2.5184749408430782E-12</c:v>
                </c:pt>
                <c:pt idx="103">
                  <c:v>2.5184749408430782E-12</c:v>
                </c:pt>
                <c:pt idx="104">
                  <c:v>2.5184749408430782E-12</c:v>
                </c:pt>
                <c:pt idx="105">
                  <c:v>2.5184749408430782E-12</c:v>
                </c:pt>
                <c:pt idx="106">
                  <c:v>2.5184749408430782E-12</c:v>
                </c:pt>
                <c:pt idx="107">
                  <c:v>2.5184749408430782E-12</c:v>
                </c:pt>
                <c:pt idx="108">
                  <c:v>2.5184749408430782E-12</c:v>
                </c:pt>
                <c:pt idx="109">
                  <c:v>2.5184749408430782E-12</c:v>
                </c:pt>
                <c:pt idx="110">
                  <c:v>2.5184749408430782E-12</c:v>
                </c:pt>
                <c:pt idx="111">
                  <c:v>2.5184749408430782E-12</c:v>
                </c:pt>
                <c:pt idx="112">
                  <c:v>2.5184749408430782E-12</c:v>
                </c:pt>
                <c:pt idx="113">
                  <c:v>2.5184749408430782E-12</c:v>
                </c:pt>
                <c:pt idx="114">
                  <c:v>2.5184749408430782E-12</c:v>
                </c:pt>
                <c:pt idx="115">
                  <c:v>2.5184749408430782E-12</c:v>
                </c:pt>
                <c:pt idx="116">
                  <c:v>2.5184749408430782E-12</c:v>
                </c:pt>
                <c:pt idx="117">
                  <c:v>2.5184749408430782E-12</c:v>
                </c:pt>
                <c:pt idx="118">
                  <c:v>2.5184749408430782E-12</c:v>
                </c:pt>
                <c:pt idx="119">
                  <c:v>2.5184749408430782E-12</c:v>
                </c:pt>
                <c:pt idx="120">
                  <c:v>2.5184749408430782E-12</c:v>
                </c:pt>
                <c:pt idx="121">
                  <c:v>2.5184749408430782E-12</c:v>
                </c:pt>
                <c:pt idx="122">
                  <c:v>2.5184749408430782E-12</c:v>
                </c:pt>
                <c:pt idx="123">
                  <c:v>2.5184749408430782E-12</c:v>
                </c:pt>
                <c:pt idx="124">
                  <c:v>2.5184749408430782E-12</c:v>
                </c:pt>
                <c:pt idx="125">
                  <c:v>2.5184749408430782E-12</c:v>
                </c:pt>
                <c:pt idx="126">
                  <c:v>2.5184749408430782E-12</c:v>
                </c:pt>
                <c:pt idx="127">
                  <c:v>2.5184749408430782E-12</c:v>
                </c:pt>
                <c:pt idx="128">
                  <c:v>2.5184749408430782E-12</c:v>
                </c:pt>
                <c:pt idx="129">
                  <c:v>2.5184749408430782E-12</c:v>
                </c:pt>
                <c:pt idx="130">
                  <c:v>2.5184749408430782E-12</c:v>
                </c:pt>
                <c:pt idx="131">
                  <c:v>2.5184749408430782E-12</c:v>
                </c:pt>
                <c:pt idx="132">
                  <c:v>2.5184749408430782E-12</c:v>
                </c:pt>
                <c:pt idx="133">
                  <c:v>2.5184749408430782E-12</c:v>
                </c:pt>
                <c:pt idx="134">
                  <c:v>2.5184749408430782E-12</c:v>
                </c:pt>
                <c:pt idx="135">
                  <c:v>2.5184749408430782E-12</c:v>
                </c:pt>
                <c:pt idx="136">
                  <c:v>2.5184749408430782E-12</c:v>
                </c:pt>
                <c:pt idx="137">
                  <c:v>2.5184749408430782E-12</c:v>
                </c:pt>
                <c:pt idx="138">
                  <c:v>2.5184749408430782E-12</c:v>
                </c:pt>
                <c:pt idx="139">
                  <c:v>2.5184749408430782E-12</c:v>
                </c:pt>
                <c:pt idx="140">
                  <c:v>2.5184749408430782E-12</c:v>
                </c:pt>
                <c:pt idx="141">
                  <c:v>2.5184749408430782E-12</c:v>
                </c:pt>
                <c:pt idx="142">
                  <c:v>2.5184749408430782E-12</c:v>
                </c:pt>
                <c:pt idx="143">
                  <c:v>2.5184749408430782E-12</c:v>
                </c:pt>
                <c:pt idx="144">
                  <c:v>2.5184749408430782E-12</c:v>
                </c:pt>
                <c:pt idx="145">
                  <c:v>2.5184749408430782E-12</c:v>
                </c:pt>
                <c:pt idx="146">
                  <c:v>2.5184749408430782E-12</c:v>
                </c:pt>
                <c:pt idx="147">
                  <c:v>2.5184749408430782E-12</c:v>
                </c:pt>
                <c:pt idx="148">
                  <c:v>2.5184749408430782E-12</c:v>
                </c:pt>
                <c:pt idx="149">
                  <c:v>2.5184749408430782E-12</c:v>
                </c:pt>
                <c:pt idx="150">
                  <c:v>2.5184749408430782E-12</c:v>
                </c:pt>
                <c:pt idx="151">
                  <c:v>2.5184749408430782E-12</c:v>
                </c:pt>
                <c:pt idx="152">
                  <c:v>2.5184749408430782E-12</c:v>
                </c:pt>
                <c:pt idx="153">
                  <c:v>2.5184749408430782E-12</c:v>
                </c:pt>
                <c:pt idx="154">
                  <c:v>2.5184749408430782E-12</c:v>
                </c:pt>
                <c:pt idx="155">
                  <c:v>2.5184749408430782E-12</c:v>
                </c:pt>
                <c:pt idx="156">
                  <c:v>2.5184749408430782E-12</c:v>
                </c:pt>
                <c:pt idx="157">
                  <c:v>2.5184749408430782E-12</c:v>
                </c:pt>
                <c:pt idx="158">
                  <c:v>2.5184749408430782E-12</c:v>
                </c:pt>
                <c:pt idx="159">
                  <c:v>2.5184749408430782E-12</c:v>
                </c:pt>
                <c:pt idx="160">
                  <c:v>2.5184749408430782E-12</c:v>
                </c:pt>
                <c:pt idx="161">
                  <c:v>2.5184749408430782E-12</c:v>
                </c:pt>
                <c:pt idx="162">
                  <c:v>2.5184749408430782E-12</c:v>
                </c:pt>
                <c:pt idx="163">
                  <c:v>2.5184749408430782E-12</c:v>
                </c:pt>
                <c:pt idx="164">
                  <c:v>2.5184749408430782E-12</c:v>
                </c:pt>
                <c:pt idx="165">
                  <c:v>2.5184749408430782E-12</c:v>
                </c:pt>
                <c:pt idx="166">
                  <c:v>2.5184749408430782E-12</c:v>
                </c:pt>
                <c:pt idx="167">
                  <c:v>2.5184749408430782E-12</c:v>
                </c:pt>
                <c:pt idx="168">
                  <c:v>2.5184749408430782E-12</c:v>
                </c:pt>
                <c:pt idx="169">
                  <c:v>2.5184749408430782E-12</c:v>
                </c:pt>
                <c:pt idx="170">
                  <c:v>2.5184749408430782E-12</c:v>
                </c:pt>
                <c:pt idx="171">
                  <c:v>2.5184749408430782E-12</c:v>
                </c:pt>
                <c:pt idx="172">
                  <c:v>2.5184749408430782E-12</c:v>
                </c:pt>
                <c:pt idx="173">
                  <c:v>2.5184749408430782E-12</c:v>
                </c:pt>
                <c:pt idx="174">
                  <c:v>2.5184749408430782E-12</c:v>
                </c:pt>
                <c:pt idx="175">
                  <c:v>2.5184749408430782E-12</c:v>
                </c:pt>
                <c:pt idx="176">
                  <c:v>2.5184749408430782E-12</c:v>
                </c:pt>
                <c:pt idx="177">
                  <c:v>2.5184749408430782E-12</c:v>
                </c:pt>
                <c:pt idx="178">
                  <c:v>2.5184749408430782E-12</c:v>
                </c:pt>
                <c:pt idx="179">
                  <c:v>2.5184749408430782E-12</c:v>
                </c:pt>
                <c:pt idx="180">
                  <c:v>2.5184749408430782E-12</c:v>
                </c:pt>
                <c:pt idx="181">
                  <c:v>2.5184749408430782E-12</c:v>
                </c:pt>
                <c:pt idx="182">
                  <c:v>2.5184749408430782E-12</c:v>
                </c:pt>
                <c:pt idx="183">
                  <c:v>2.5184749408430782E-12</c:v>
                </c:pt>
                <c:pt idx="184">
                  <c:v>2.5184749408430782E-12</c:v>
                </c:pt>
                <c:pt idx="185">
                  <c:v>2.5184749408430782E-12</c:v>
                </c:pt>
                <c:pt idx="186">
                  <c:v>2.5184749408430782E-12</c:v>
                </c:pt>
                <c:pt idx="187">
                  <c:v>2.5184749408430782E-12</c:v>
                </c:pt>
                <c:pt idx="188">
                  <c:v>2.5184749408430782E-12</c:v>
                </c:pt>
                <c:pt idx="189">
                  <c:v>2.5184749408430782E-12</c:v>
                </c:pt>
                <c:pt idx="190">
                  <c:v>2.5184749408430782E-12</c:v>
                </c:pt>
                <c:pt idx="191">
                  <c:v>2.5184749408430782E-12</c:v>
                </c:pt>
                <c:pt idx="192">
                  <c:v>2.5184749408430782E-12</c:v>
                </c:pt>
                <c:pt idx="193">
                  <c:v>2.5184749408430782E-12</c:v>
                </c:pt>
                <c:pt idx="194">
                  <c:v>2.5184749408430782E-12</c:v>
                </c:pt>
                <c:pt idx="195">
                  <c:v>2.5184749408430782E-12</c:v>
                </c:pt>
                <c:pt idx="196">
                  <c:v>2.5184749408430782E-12</c:v>
                </c:pt>
                <c:pt idx="197">
                  <c:v>2.5184749408430782E-12</c:v>
                </c:pt>
                <c:pt idx="198">
                  <c:v>2.5184749408430782E-12</c:v>
                </c:pt>
                <c:pt idx="199">
                  <c:v>2.5184749408430782E-12</c:v>
                </c:pt>
                <c:pt idx="200">
                  <c:v>2.5184749408430782E-12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10.625951042279917</c:v>
                </c:pt>
                <c:pt idx="2">
                  <c:v>20.791515975829608</c:v>
                </c:pt>
                <c:pt idx="3">
                  <c:v>30.808399306196417</c:v>
                </c:pt>
                <c:pt idx="4">
                  <c:v>40.733631836922029</c:v>
                </c:pt>
                <c:pt idx="5">
                  <c:v>50.593061797764868</c:v>
                </c:pt>
                <c:pt idx="6">
                  <c:v>60.401434098172878</c:v>
                </c:pt>
                <c:pt idx="7">
                  <c:v>70.168254211146944</c:v>
                </c:pt>
                <c:pt idx="8">
                  <c:v>79.900143073907998</c:v>
                </c:pt>
                <c:pt idx="9">
                  <c:v>89.601967159538518</c:v>
                </c:pt>
                <c:pt idx="10">
                  <c:v>99.277448059929824</c:v>
                </c:pt>
                <c:pt idx="11">
                  <c:v>108.92951997687975</c:v>
                </c:pt>
                <c:pt idx="12">
                  <c:v>118.56055302164781</c:v>
                </c:pt>
                <c:pt idx="13">
                  <c:v>128.17249976132624</c:v>
                </c:pt>
                <c:pt idx="14">
                  <c:v>137.7669953037047</c:v>
                </c:pt>
                <c:pt idx="15">
                  <c:v>147.34542793361445</c:v>
                </c:pt>
                <c:pt idx="16">
                  <c:v>156.90899035901828</c:v>
                </c:pt>
                <c:pt idx="17">
                  <c:v>166.45871777287462</c:v>
                </c:pt>
                <c:pt idx="18">
                  <c:v>175.99551670087587</c:v>
                </c:pt>
                <c:pt idx="19">
                  <c:v>185.52018725479113</c:v>
                </c:pt>
                <c:pt idx="20">
                  <c:v>195.03344056724515</c:v>
                </c:pt>
                <c:pt idx="21">
                  <c:v>204.53591264044806</c:v>
                </c:pt>
                <c:pt idx="22">
                  <c:v>214.02817548233216</c:v>
                </c:pt>
                <c:pt idx="23">
                  <c:v>223.51074616070164</c:v>
                </c:pt>
                <c:pt idx="24">
                  <c:v>232.98409423831629</c:v>
                </c:pt>
                <c:pt idx="25">
                  <c:v>242.44864793387674</c:v>
                </c:pt>
                <c:pt idx="26">
                  <c:v>251.9047992695038</c:v>
                </c:pt>
                <c:pt idx="27">
                  <c:v>261.35290840402382</c:v>
                </c:pt>
                <c:pt idx="28">
                  <c:v>270.7933073062386</c:v>
                </c:pt>
                <c:pt idx="29">
                  <c:v>280.22630288869681</c:v>
                </c:pt>
                <c:pt idx="30">
                  <c:v>289.65217969707697</c:v>
                </c:pt>
                <c:pt idx="31">
                  <c:v>299.071202230913</c:v>
                </c:pt>
                <c:pt idx="32">
                  <c:v>308.48361695645946</c:v>
                </c:pt>
                <c:pt idx="33">
                  <c:v>317.88965406088073</c:v>
                </c:pt>
                <c:pt idx="34">
                  <c:v>327.28952898783672</c:v>
                </c:pt>
                <c:pt idx="35">
                  <c:v>336.68344378733508</c:v>
                </c:pt>
                <c:pt idx="36">
                  <c:v>346.07158830697864</c:v>
                </c:pt>
                <c:pt idx="37">
                  <c:v>355.45414124713034</c:v>
                </c:pt>
                <c:pt idx="38">
                  <c:v>364.83127109879939</c:v>
                </c:pt>
                <c:pt idx="39">
                  <c:v>374.20313698002457</c:v>
                </c:pt>
                <c:pt idx="40">
                  <c:v>383.56988938406107</c:v>
                </c:pt>
                <c:pt idx="41">
                  <c:v>392.93167085064243</c:v>
                </c:pt>
                <c:pt idx="42">
                  <c:v>402.28861656991006</c:v>
                </c:pt>
                <c:pt idx="43">
                  <c:v>411.64085492720528</c:v>
                </c:pt>
                <c:pt idx="44">
                  <c:v>420.98850799575433</c:v>
                </c:pt>
                <c:pt idx="45">
                  <c:v>280.0426217423277</c:v>
                </c:pt>
                <c:pt idx="46">
                  <c:v>299.38013025871112</c:v>
                </c:pt>
                <c:pt idx="47">
                  <c:v>318.68982195719605</c:v>
                </c:pt>
                <c:pt idx="48">
                  <c:v>337.9736187830203</c:v>
                </c:pt>
                <c:pt idx="49">
                  <c:v>357.23320548672996</c:v>
                </c:pt>
                <c:pt idx="50">
                  <c:v>376.47007037318275</c:v>
                </c:pt>
                <c:pt idx="51">
                  <c:v>395.68553728307438</c:v>
                </c:pt>
                <c:pt idx="52">
                  <c:v>313.80058495448168</c:v>
                </c:pt>
                <c:pt idx="53">
                  <c:v>331.76979122538091</c:v>
                </c:pt>
                <c:pt idx="54">
                  <c:v>349.71754315066022</c:v>
                </c:pt>
                <c:pt idx="55">
                  <c:v>367.64509637018165</c:v>
                </c:pt>
                <c:pt idx="56">
                  <c:v>385.55357409841054</c:v>
                </c:pt>
                <c:pt idx="57">
                  <c:v>403.44398672037818</c:v>
                </c:pt>
                <c:pt idx="58">
                  <c:v>421.31724772985291</c:v>
                </c:pt>
                <c:pt idx="59">
                  <c:v>439.17418682177572</c:v>
                </c:pt>
                <c:pt idx="60">
                  <c:v>350.05031599338912</c:v>
                </c:pt>
                <c:pt idx="61">
                  <c:v>366.65593775603548</c:v>
                </c:pt>
                <c:pt idx="62">
                  <c:v>383.24514472829486</c:v>
                </c:pt>
                <c:pt idx="63">
                  <c:v>399.81874727390004</c:v>
                </c:pt>
                <c:pt idx="64">
                  <c:v>416.37748310709276</c:v>
                </c:pt>
                <c:pt idx="65">
                  <c:v>432.92202649575052</c:v>
                </c:pt>
                <c:pt idx="66">
                  <c:v>449.45299598437691</c:v>
                </c:pt>
                <c:pt idx="67">
                  <c:v>465.97096092176963</c:v>
                </c:pt>
                <c:pt idx="68">
                  <c:v>394.20685165700417</c:v>
                </c:pt>
                <c:pt idx="69">
                  <c:v>410.01294240989472</c:v>
                </c:pt>
                <c:pt idx="70">
                  <c:v>425.80588054497088</c:v>
                </c:pt>
                <c:pt idx="71">
                  <c:v>441.58622243955278</c:v>
                </c:pt>
                <c:pt idx="72">
                  <c:v>457.35448147341799</c:v>
                </c:pt>
                <c:pt idx="73">
                  <c:v>473.11113275032488</c:v>
                </c:pt>
                <c:pt idx="74">
                  <c:v>488.8566171578903</c:v>
                </c:pt>
                <c:pt idx="75">
                  <c:v>504.59134487729324</c:v>
                </c:pt>
                <c:pt idx="76">
                  <c:v>434.7609563529868</c:v>
                </c:pt>
                <c:pt idx="77">
                  <c:v>449.98786603153286</c:v>
                </c:pt>
                <c:pt idx="78">
                  <c:v>465.20375616733418</c:v>
                </c:pt>
                <c:pt idx="79">
                  <c:v>480.40903783901331</c:v>
                </c:pt>
                <c:pt idx="80">
                  <c:v>495.6040939893021</c:v>
                </c:pt>
                <c:pt idx="81">
                  <c:v>510.78928217227963</c:v>
                </c:pt>
                <c:pt idx="82">
                  <c:v>525.96493695700281</c:v>
                </c:pt>
                <c:pt idx="83">
                  <c:v>541.13137203937856</c:v>
                </c:pt>
                <c:pt idx="84">
                  <c:v>556.28888210504294</c:v>
                </c:pt>
                <c:pt idx="85">
                  <c:v>474.41083575577449</c:v>
                </c:pt>
                <c:pt idx="86">
                  <c:v>488.90794980637247</c:v>
                </c:pt>
                <c:pt idx="87">
                  <c:v>503.39594607047911</c:v>
                </c:pt>
                <c:pt idx="88">
                  <c:v>517.8751238448591</c:v>
                </c:pt>
                <c:pt idx="89">
                  <c:v>532.34576433110544</c:v>
                </c:pt>
                <c:pt idx="90">
                  <c:v>546.80813220202526</c:v>
                </c:pt>
                <c:pt idx="91">
                  <c:v>561.26247699374585</c:v>
                </c:pt>
                <c:pt idx="92">
                  <c:v>575.70903434700836</c:v>
                </c:pt>
                <c:pt idx="93">
                  <c:v>590.14802711743857</c:v>
                </c:pt>
                <c:pt idx="94">
                  <c:v>521.92512937242907</c:v>
                </c:pt>
                <c:pt idx="95">
                  <c:v>536.37317443863697</c:v>
                </c:pt>
                <c:pt idx="96">
                  <c:v>550.81304078718358</c:v>
                </c:pt>
                <c:pt idx="97">
                  <c:v>565.2449729460667</c:v>
                </c:pt>
                <c:pt idx="98">
                  <c:v>579.66920194375791</c:v>
                </c:pt>
                <c:pt idx="99">
                  <c:v>594.0859463788114</c:v>
                </c:pt>
                <c:pt idx="100">
                  <c:v>608.49541338029132</c:v>
                </c:pt>
                <c:pt idx="101">
                  <c:v>622.89779947254533</c:v>
                </c:pt>
                <c:pt idx="102">
                  <c:v>637.29329135587614</c:v>
                </c:pt>
                <c:pt idx="103">
                  <c:v>651.68206661305078</c:v>
                </c:pt>
                <c:pt idx="104">
                  <c:v>557.57462981470928</c:v>
                </c:pt>
                <c:pt idx="105">
                  <c:v>571.54245257260447</c:v>
                </c:pt>
                <c:pt idx="106">
                  <c:v>585.50314699708758</c:v>
                </c:pt>
                <c:pt idx="107">
                  <c:v>599.45690692933738</c:v>
                </c:pt>
                <c:pt idx="108">
                  <c:v>613.40391645459783</c:v>
                </c:pt>
                <c:pt idx="109">
                  <c:v>627.34435060845942</c:v>
                </c:pt>
                <c:pt idx="110">
                  <c:v>641.27837601712724</c:v>
                </c:pt>
                <c:pt idx="111">
                  <c:v>655.20615147918136</c:v>
                </c:pt>
                <c:pt idx="112">
                  <c:v>669.12782849532334</c:v>
                </c:pt>
                <c:pt idx="113">
                  <c:v>683.04355175177432</c:v>
                </c:pt>
                <c:pt idx="114">
                  <c:v>611.08165841944526</c:v>
                </c:pt>
                <c:pt idx="115">
                  <c:v>625.60927592567089</c:v>
                </c:pt>
                <c:pt idx="116">
                  <c:v>640.12991226785755</c:v>
                </c:pt>
                <c:pt idx="117">
                  <c:v>654.64374802538623</c:v>
                </c:pt>
                <c:pt idx="118">
                  <c:v>669.15095512250616</c:v>
                </c:pt>
                <c:pt idx="119">
                  <c:v>683.65169742570333</c:v>
                </c:pt>
                <c:pt idx="120">
                  <c:v>698.14613128778512</c:v>
                </c:pt>
                <c:pt idx="121">
                  <c:v>712.63440604446532</c:v>
                </c:pt>
                <c:pt idx="122">
                  <c:v>727.11666446849222</c:v>
                </c:pt>
                <c:pt idx="123">
                  <c:v>741.59304318574743</c:v>
                </c:pt>
                <c:pt idx="124">
                  <c:v>756.06367305718788</c:v>
                </c:pt>
                <c:pt idx="125">
                  <c:v>770.52867953005295</c:v>
                </c:pt>
                <c:pt idx="126">
                  <c:v>653.71825230953834</c:v>
                </c:pt>
                <c:pt idx="127">
                  <c:v>668.0533116849424</c:v>
                </c:pt>
                <c:pt idx="128">
                  <c:v>682.38204735036811</c:v>
                </c:pt>
                <c:pt idx="129">
                  <c:v>696.70461071586658</c:v>
                </c:pt>
                <c:pt idx="130">
                  <c:v>711.02114646281086</c:v>
                </c:pt>
                <c:pt idx="131">
                  <c:v>725.33179297518234</c:v>
                </c:pt>
                <c:pt idx="132">
                  <c:v>739.6366827350738</c:v>
                </c:pt>
                <c:pt idx="133">
                  <c:v>753.9359426860301</c:v>
                </c:pt>
                <c:pt idx="134">
                  <c:v>768.22969456741259</c:v>
                </c:pt>
                <c:pt idx="135">
                  <c:v>782.51805522260713</c:v>
                </c:pt>
                <c:pt idx="136">
                  <c:v>796.80113688356744</c:v>
                </c:pt>
                <c:pt idx="137">
                  <c:v>811.07904743391771</c:v>
                </c:pt>
                <c:pt idx="138">
                  <c:v>685.39605373788902</c:v>
                </c:pt>
                <c:pt idx="139">
                  <c:v>699.31032351194574</c:v>
                </c:pt>
                <c:pt idx="140">
                  <c:v>713.21892770903014</c:v>
                </c:pt>
                <c:pt idx="141">
                  <c:v>727.12199230924125</c:v>
                </c:pt>
                <c:pt idx="142">
                  <c:v>741.01963808554717</c:v>
                </c:pt>
                <c:pt idx="143">
                  <c:v>754.9119809146523</c:v>
                </c:pt>
                <c:pt idx="144">
                  <c:v>768.79913206380922</c:v>
                </c:pt>
                <c:pt idx="145">
                  <c:v>782.68119845584897</c:v>
                </c:pt>
                <c:pt idx="146">
                  <c:v>796.55828291444652</c:v>
                </c:pt>
                <c:pt idx="147">
                  <c:v>810.43048439141921</c:v>
                </c:pt>
                <c:pt idx="148">
                  <c:v>824.29789817766869</c:v>
                </c:pt>
                <c:pt idx="149">
                  <c:v>838.16061609920382</c:v>
                </c:pt>
                <c:pt idx="150">
                  <c:v>518.67397071050254</c:v>
                </c:pt>
                <c:pt idx="151">
                  <c:v>527.0209722255828</c:v>
                </c:pt>
                <c:pt idx="152">
                  <c:v>535.36519022569712</c:v>
                </c:pt>
                <c:pt idx="153">
                  <c:v>543.7066742212254</c:v>
                </c:pt>
                <c:pt idx="154">
                  <c:v>356.43118607481551</c:v>
                </c:pt>
                <c:pt idx="155">
                  <c:v>361.41728613250007</c:v>
                </c:pt>
                <c:pt idx="156">
                  <c:v>366.40188215524518</c:v>
                </c:pt>
                <c:pt idx="157">
                  <c:v>371.38499751628189</c:v>
                </c:pt>
                <c:pt idx="158">
                  <c:v>248.64824806720492</c:v>
                </c:pt>
                <c:pt idx="159">
                  <c:v>251.70658890005447</c:v>
                </c:pt>
                <c:pt idx="160">
                  <c:v>254.76408749489761</c:v>
                </c:pt>
                <c:pt idx="161">
                  <c:v>257.82075540910677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4.1851172770417309</c:v>
                </c:pt>
                <c:pt idx="2">
                  <c:v>7.5886451529775245</c:v>
                </c:pt>
                <c:pt idx="3">
                  <c:v>13.774594474013874</c:v>
                </c:pt>
                <c:pt idx="4">
                  <c:v>25.028635145380708</c:v>
                </c:pt>
                <c:pt idx="5">
                  <c:v>45.522347499022452</c:v>
                </c:pt>
                <c:pt idx="6">
                  <c:v>56.154009805049121</c:v>
                </c:pt>
                <c:pt idx="7">
                  <c:v>74.456621092449581</c:v>
                </c:pt>
                <c:pt idx="8">
                  <c:v>92.643648865814782</c:v>
                </c:pt>
                <c:pt idx="9">
                  <c:v>110.74114958485723</c:v>
                </c:pt>
                <c:pt idx="10">
                  <c:v>128.76587381259986</c:v>
                </c:pt>
                <c:pt idx="11">
                  <c:v>110.74114958485723</c:v>
                </c:pt>
                <c:pt idx="12">
                  <c:v>128.25595578678551</c:v>
                </c:pt>
                <c:pt idx="13">
                  <c:v>145.71279513865488</c:v>
                </c:pt>
                <c:pt idx="14">
                  <c:v>163.11959925953104</c:v>
                </c:pt>
                <c:pt idx="15">
                  <c:v>180.48246355197708</c:v>
                </c:pt>
                <c:pt idx="16">
                  <c:v>167.40629090254998</c:v>
                </c:pt>
                <c:pt idx="17">
                  <c:v>183.25019591423055</c:v>
                </c:pt>
                <c:pt idx="18">
                  <c:v>199.06207377683867</c:v>
                </c:pt>
                <c:pt idx="19">
                  <c:v>214.84482747415055</c:v>
                </c:pt>
                <c:pt idx="20">
                  <c:v>230.60089821423978</c:v>
                </c:pt>
                <c:pt idx="21">
                  <c:v>221.09882006502312</c:v>
                </c:pt>
                <c:pt idx="22">
                  <c:v>234.10143728138067</c:v>
                </c:pt>
                <c:pt idx="23">
                  <c:v>247.08757467414918</c:v>
                </c:pt>
                <c:pt idx="24">
                  <c:v>260.05822071370613</c:v>
                </c:pt>
                <c:pt idx="25">
                  <c:v>273.01425716122117</c:v>
                </c:pt>
                <c:pt idx="26">
                  <c:v>266.29707779549943</c:v>
                </c:pt>
                <c:pt idx="27">
                  <c:v>277.00239532170457</c:v>
                </c:pt>
                <c:pt idx="28">
                  <c:v>287.69842722783778</c:v>
                </c:pt>
                <c:pt idx="29">
                  <c:v>298.38556759441184</c:v>
                </c:pt>
                <c:pt idx="30">
                  <c:v>309.06417995098576</c:v>
                </c:pt>
                <c:pt idx="31">
                  <c:v>304.09788167815992</c:v>
                </c:pt>
                <c:pt idx="32">
                  <c:v>312.78580282667531</c:v>
                </c:pt>
                <c:pt idx="33">
                  <c:v>321.46837231270524</c:v>
                </c:pt>
                <c:pt idx="34">
                  <c:v>330.14575517620568</c:v>
                </c:pt>
                <c:pt idx="35">
                  <c:v>338.81810706676487</c:v>
                </c:pt>
                <c:pt idx="36">
                  <c:v>335.35053366962052</c:v>
                </c:pt>
                <c:pt idx="37">
                  <c:v>343.03458327830577</c:v>
                </c:pt>
                <c:pt idx="38">
                  <c:v>350.71485029776181</c:v>
                </c:pt>
                <c:pt idx="39">
                  <c:v>358.39142931552897</c:v>
                </c:pt>
                <c:pt idx="40">
                  <c:v>366.06441053314398</c:v>
                </c:pt>
                <c:pt idx="41">
                  <c:v>364.82184426536838</c:v>
                </c:pt>
                <c:pt idx="42">
                  <c:v>372.24115103861249</c:v>
                </c:pt>
                <c:pt idx="43">
                  <c:v>379.65723429464424</c:v>
                </c:pt>
                <c:pt idx="44">
                  <c:v>387.07016593112843</c:v>
                </c:pt>
                <c:pt idx="45">
                  <c:v>394.48001486506814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7.1262710730316625</c:v>
                </c:pt>
                <c:pt idx="2">
                  <c:v>13.932973107132996</c:v>
                </c:pt>
                <c:pt idx="3">
                  <c:v>20.636470383022104</c:v>
                </c:pt>
                <c:pt idx="4">
                  <c:v>27.27634984463937</c:v>
                </c:pt>
                <c:pt idx="5">
                  <c:v>33.870553592724399</c:v>
                </c:pt>
                <c:pt idx="6">
                  <c:v>40.429316550642689</c:v>
                </c:pt>
                <c:pt idx="7">
                  <c:v>46.959236777748913</c:v>
                </c:pt>
                <c:pt idx="8">
                  <c:v>53.46491008287483</c:v>
                </c:pt>
                <c:pt idx="9">
                  <c:v>59.949714443975118</c:v>
                </c:pt>
                <c:pt idx="10">
                  <c:v>66.416233139566373</c:v>
                </c:pt>
                <c:pt idx="11">
                  <c:v>72.866502894977074</c:v>
                </c:pt>
                <c:pt idx="12">
                  <c:v>79.30216888186429</c:v>
                </c:pt>
                <c:pt idx="13">
                  <c:v>85.724586440837285</c:v>
                </c:pt>
                <c:pt idx="14">
                  <c:v>92.134890553631962</c:v>
                </c:pt>
                <c:pt idx="15">
                  <c:v>98.534044874105163</c:v>
                </c:pt>
                <c:pt idx="16">
                  <c:v>104.92287729981969</c:v>
                </c:pt>
                <c:pt idx="17">
                  <c:v>111.30210639202791</c:v>
                </c:pt>
                <c:pt idx="18">
                  <c:v>117.67236139982917</c:v>
                </c:pt>
                <c:pt idx="19">
                  <c:v>124.03419770694211</c:v>
                </c:pt>
                <c:pt idx="20">
                  <c:v>130.38810893375441</c:v>
                </c:pt>
                <c:pt idx="21">
                  <c:v>136.73453655017832</c:v>
                </c:pt>
                <c:pt idx="22">
                  <c:v>143.07387760560724</c:v>
                </c:pt>
                <c:pt idx="23">
                  <c:v>149.40649101369667</c:v>
                </c:pt>
                <c:pt idx="24">
                  <c:v>155.73270271329889</c:v>
                </c:pt>
                <c:pt idx="25">
                  <c:v>162.05280994500396</c:v>
                </c:pt>
                <c:pt idx="26">
                  <c:v>168.3670848241733</c:v>
                </c:pt>
                <c:pt idx="27">
                  <c:v>174.67577734881471</c:v>
                </c:pt>
                <c:pt idx="28">
                  <c:v>180.97911794931898</c:v>
                </c:pt>
                <c:pt idx="29">
                  <c:v>187.277319663713</c:v>
                </c:pt>
                <c:pt idx="30">
                  <c:v>193.57058000444849</c:v>
                </c:pt>
                <c:pt idx="31">
                  <c:v>199.85908256929284</c:v>
                </c:pt>
                <c:pt idx="32">
                  <c:v>206.14299843852584</c:v>
                </c:pt>
                <c:pt idx="33">
                  <c:v>212.42248739257829</c:v>
                </c:pt>
                <c:pt idx="34">
                  <c:v>218.69769897793307</c:v>
                </c:pt>
                <c:pt idx="35">
                  <c:v>224.96877344410152</c:v>
                </c:pt>
                <c:pt idx="36">
                  <c:v>231.2358425705072</c:v>
                </c:pt>
                <c:pt idx="37">
                  <c:v>237.49903039891001</c:v>
                </c:pt>
                <c:pt idx="38">
                  <c:v>243.75845388442437</c:v>
                </c:pt>
                <c:pt idx="39">
                  <c:v>250.01422347607908</c:v>
                </c:pt>
                <c:pt idx="40">
                  <c:v>256.26644363615918</c:v>
                </c:pt>
                <c:pt idx="41">
                  <c:v>262.51521330615071</c:v>
                </c:pt>
                <c:pt idx="42">
                  <c:v>268.7606263259475</c:v>
                </c:pt>
                <c:pt idx="43">
                  <c:v>275.00277181200914</c:v>
                </c:pt>
                <c:pt idx="44">
                  <c:v>281.24173449935034</c:v>
                </c:pt>
                <c:pt idx="45">
                  <c:v>187.15468166252251</c:v>
                </c:pt>
                <c:pt idx="46">
                  <c:v>200.06533182973706</c:v>
                </c:pt>
                <c:pt idx="47">
                  <c:v>212.95667343486994</c:v>
                </c:pt>
                <c:pt idx="48">
                  <c:v>225.83004056290102</c:v>
                </c:pt>
                <c:pt idx="49">
                  <c:v>238.68660265422514</c:v>
                </c:pt>
                <c:pt idx="50">
                  <c:v>251.52739278986724</c:v>
                </c:pt>
                <c:pt idx="51">
                  <c:v>264.35332989090421</c:v>
                </c:pt>
                <c:pt idx="52">
                  <c:v>209.69263719435602</c:v>
                </c:pt>
                <c:pt idx="53">
                  <c:v>221.6885969434318</c:v>
                </c:pt>
                <c:pt idx="54">
                  <c:v>233.66966453029715</c:v>
                </c:pt>
                <c:pt idx="55">
                  <c:v>245.63671153560236</c:v>
                </c:pt>
                <c:pt idx="56">
                  <c:v>257.59051761920301</c:v>
                </c:pt>
                <c:pt idx="57">
                  <c:v>269.53178412235894</c:v>
                </c:pt>
                <c:pt idx="58">
                  <c:v>281.46114513093863</c:v>
                </c:pt>
                <c:pt idx="59">
                  <c:v>293.37917656330688</c:v>
                </c:pt>
                <c:pt idx="60">
                  <c:v>233.89180272059528</c:v>
                </c:pt>
                <c:pt idx="61">
                  <c:v>244.97643929904123</c:v>
                </c:pt>
                <c:pt idx="62">
                  <c:v>256.04968183520651</c:v>
                </c:pt>
                <c:pt idx="63">
                  <c:v>267.11209282903314</c:v>
                </c:pt>
                <c:pt idx="64">
                  <c:v>278.16418435207714</c:v>
                </c:pt>
                <c:pt idx="65">
                  <c:v>289.20642443570085</c:v>
                </c:pt>
                <c:pt idx="66">
                  <c:v>300.23924243185218</c:v>
                </c:pt>
                <c:pt idx="67">
                  <c:v>311.2630335441321</c:v>
                </c:pt>
                <c:pt idx="68">
                  <c:v>263.36635654543198</c:v>
                </c:pt>
                <c:pt idx="69">
                  <c:v>273.91623153371114</c:v>
                </c:pt>
                <c:pt idx="70">
                  <c:v>284.45697686026807</c:v>
                </c:pt>
                <c:pt idx="71">
                  <c:v>294.98897872477738</c:v>
                </c:pt>
                <c:pt idx="72">
                  <c:v>305.5125934809152</c:v>
                </c:pt>
                <c:pt idx="73">
                  <c:v>316.02815091372133</c:v>
                </c:pt>
                <c:pt idx="74">
                  <c:v>326.53595705769499</c:v>
                </c:pt>
                <c:pt idx="75">
                  <c:v>337.0362966329929</c:v>
                </c:pt>
                <c:pt idx="76">
                  <c:v>290.43374930950949</c:v>
                </c:pt>
                <c:pt idx="77">
                  <c:v>300.59621039880886</c:v>
                </c:pt>
                <c:pt idx="78">
                  <c:v>310.75102246347979</c:v>
                </c:pt>
                <c:pt idx="79">
                  <c:v>320.89847084662364</c:v>
                </c:pt>
                <c:pt idx="80">
                  <c:v>331.03882136130181</c:v>
                </c:pt>
                <c:pt idx="81">
                  <c:v>341.17232219748166</c:v>
                </c:pt>
                <c:pt idx="82">
                  <c:v>351.29920559047605</c:v>
                </c:pt>
                <c:pt idx="83">
                  <c:v>361.41968928686265</c:v>
                </c:pt>
                <c:pt idx="84">
                  <c:v>371.5339778375685</c:v>
                </c:pt>
                <c:pt idx="85">
                  <c:v>316.89552359444866</c:v>
                </c:pt>
                <c:pt idx="86">
                  <c:v>326.57021360988955</c:v>
                </c:pt>
                <c:pt idx="87">
                  <c:v>336.23857467184791</c:v>
                </c:pt>
                <c:pt idx="88">
                  <c:v>345.90081453198599</c:v>
                </c:pt>
                <c:pt idx="89">
                  <c:v>355.55712838151635</c:v>
                </c:pt>
                <c:pt idx="90">
                  <c:v>365.20769993848143</c:v>
                </c:pt>
                <c:pt idx="91">
                  <c:v>374.85270241405959</c:v>
                </c:pt>
                <c:pt idx="92">
                  <c:v>384.49229937418767</c:v>
                </c:pt>
                <c:pt idx="93">
                  <c:v>394.12664551023573</c:v>
                </c:pt>
                <c:pt idx="94">
                  <c:v>348.60342150614952</c:v>
                </c:pt>
                <c:pt idx="95">
                  <c:v>358.24459478701141</c:v>
                </c:pt>
                <c:pt idx="96">
                  <c:v>367.88009095274487</c:v>
                </c:pt>
                <c:pt idx="97">
                  <c:v>377.5100797382222</c:v>
                </c:pt>
                <c:pt idx="98">
                  <c:v>387.13472150785356</c:v>
                </c:pt>
                <c:pt idx="99">
                  <c:v>396.75416799803611</c:v>
                </c:pt>
                <c:pt idx="100">
                  <c:v>406.36856298382105</c:v>
                </c:pt>
                <c:pt idx="101">
                  <c:v>415.97804287917819</c:v>
                </c:pt>
                <c:pt idx="102">
                  <c:v>425.58273727888718</c:v>
                </c:pt>
                <c:pt idx="103">
                  <c:v>435.18276944894836</c:v>
                </c:pt>
                <c:pt idx="104">
                  <c:v>372.39191952713645</c:v>
                </c:pt>
                <c:pt idx="105">
                  <c:v>381.7121308603239</c:v>
                </c:pt>
                <c:pt idx="106">
                  <c:v>391.02739418440677</c:v>
                </c:pt>
                <c:pt idx="107">
                  <c:v>400.33784405087982</c:v>
                </c:pt>
                <c:pt idx="108">
                  <c:v>409.64360823932526</c:v>
                </c:pt>
                <c:pt idx="109">
                  <c:v>418.94480824766453</c:v>
                </c:pt>
                <c:pt idx="110">
                  <c:v>428.24155973659055</c:v>
                </c:pt>
                <c:pt idx="111">
                  <c:v>437.53397293338566</c:v>
                </c:pt>
                <c:pt idx="112">
                  <c:v>446.82215299963622</c:v>
                </c:pt>
                <c:pt idx="113">
                  <c:v>456.10620036677528</c:v>
                </c:pt>
                <c:pt idx="114">
                  <c:v>408.09415689509427</c:v>
                </c:pt>
                <c:pt idx="115">
                  <c:v>417.78715819525837</c:v>
                </c:pt>
                <c:pt idx="116">
                  <c:v>427.47531364138791</c:v>
                </c:pt>
                <c:pt idx="117">
                  <c:v>437.15874857953037</c:v>
                </c:pt>
                <c:pt idx="118">
                  <c:v>446.8375823479243</c:v>
                </c:pt>
                <c:pt idx="119">
                  <c:v>456.51192869165084</c:v>
                </c:pt>
                <c:pt idx="120">
                  <c:v>466.18189614030194</c:v>
                </c:pt>
                <c:pt idx="121">
                  <c:v>475.8475883526749</c:v>
                </c:pt>
                <c:pt idx="122">
                  <c:v>485.50910443199933</c:v>
                </c:pt>
                <c:pt idx="123">
                  <c:v>495.16653921476274</c:v>
                </c:pt>
                <c:pt idx="124">
                  <c:v>504.81998353583111</c:v>
                </c:pt>
                <c:pt idx="125">
                  <c:v>514.46952447223077</c:v>
                </c:pt>
                <c:pt idx="126">
                  <c:v>436.54127573466911</c:v>
                </c:pt>
                <c:pt idx="127">
                  <c:v>446.10526915466727</c:v>
                </c:pt>
                <c:pt idx="128">
                  <c:v>455.66487308097345</c:v>
                </c:pt>
                <c:pt idx="129">
                  <c:v>465.22019261225029</c:v>
                </c:pt>
                <c:pt idx="130">
                  <c:v>474.7713281765661</c:v>
                </c:pt>
                <c:pt idx="131">
                  <c:v>484.31837583076282</c:v>
                </c:pt>
                <c:pt idx="132">
                  <c:v>493.86142753498933</c:v>
                </c:pt>
                <c:pt idx="133">
                  <c:v>503.40057140490757</c:v>
                </c:pt>
                <c:pt idx="134">
                  <c:v>512.93589194378569</c:v>
                </c:pt>
                <c:pt idx="135">
                  <c:v>522.46747025643447</c:v>
                </c:pt>
                <c:pt idx="136">
                  <c:v>531.99538424672039</c:v>
                </c:pt>
                <c:pt idx="137">
                  <c:v>541.51970880019087</c:v>
                </c:pt>
                <c:pt idx="138">
                  <c:v>457.6756856420746</c:v>
                </c:pt>
                <c:pt idx="139">
                  <c:v>466.95858019209373</c:v>
                </c:pt>
                <c:pt idx="140">
                  <c:v>476.23754208004101</c:v>
                </c:pt>
                <c:pt idx="141">
                  <c:v>485.51265875281916</c:v>
                </c:pt>
                <c:pt idx="142">
                  <c:v>494.78401404289161</c:v>
                </c:pt>
                <c:pt idx="143">
                  <c:v>504.05168838406388</c:v>
                </c:pt>
                <c:pt idx="144">
                  <c:v>513.31575901057147</c:v>
                </c:pt>
                <c:pt idx="145">
                  <c:v>522.5763001410445</c:v>
                </c:pt>
                <c:pt idx="146">
                  <c:v>531.83338314875516</c:v>
                </c:pt>
                <c:pt idx="147">
                  <c:v>541.08707671939237</c:v>
                </c:pt>
                <c:pt idx="148">
                  <c:v>550.33744699748411</c:v>
                </c:pt>
                <c:pt idx="149">
                  <c:v>559.58455772246361</c:v>
                </c:pt>
                <c:pt idx="150">
                  <c:v>346.43389401130275</c:v>
                </c:pt>
                <c:pt idx="151">
                  <c:v>352.00390038239857</c:v>
                </c:pt>
                <c:pt idx="152">
                  <c:v>357.57197462481872</c:v>
                </c:pt>
                <c:pt idx="153">
                  <c:v>363.13815110533568</c:v>
                </c:pt>
                <c:pt idx="154">
                  <c:v>238.15123420554198</c:v>
                </c:pt>
                <c:pt idx="155">
                  <c:v>241.47956643228989</c:v>
                </c:pt>
                <c:pt idx="156">
                  <c:v>244.80685465924932</c:v>
                </c:pt>
                <c:pt idx="157">
                  <c:v>248.13311511054357</c:v>
                </c:pt>
                <c:pt idx="158">
                  <c:v>166.19257135333535</c:v>
                </c:pt>
                <c:pt idx="159">
                  <c:v>168.23473353137044</c:v>
                </c:pt>
                <c:pt idx="160">
                  <c:v>170.27631108448929</c:v>
                </c:pt>
                <c:pt idx="161">
                  <c:v>172.31731203504162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10.151145750175345</c:v>
                </c:pt>
                <c:pt idx="2">
                  <c:v>19.860731966632247</c:v>
                </c:pt>
                <c:pt idx="3">
                  <c:v>29.427716618600147</c:v>
                </c:pt>
                <c:pt idx="4">
                  <c:v>38.906798348244614</c:v>
                </c:pt>
                <c:pt idx="5">
                  <c:v>48.322768373335187</c:v>
                </c:pt>
                <c:pt idx="6">
                  <c:v>57.68976863954979</c:v>
                </c:pt>
                <c:pt idx="7">
                  <c:v>67.01691591246076</c:v>
                </c:pt>
                <c:pt idx="8">
                  <c:v>76.31056037921887</c:v>
                </c:pt>
                <c:pt idx="9">
                  <c:v>85.575369508160804</c:v>
                </c:pt>
                <c:pt idx="10">
                  <c:v>94.814912704073265</c:v>
                </c:pt>
                <c:pt idx="11">
                  <c:v>104.03200418040252</c:v>
                </c:pt>
                <c:pt idx="12">
                  <c:v>113.22891712741819</c:v>
                </c:pt>
                <c:pt idx="13">
                  <c:v>122.40752426586154</c:v>
                </c:pt>
                <c:pt idx="14">
                  <c:v>131.56939383903855</c:v>
                </c:pt>
                <c:pt idx="15">
                  <c:v>140.71585736063102</c:v>
                </c:pt>
                <c:pt idx="16">
                  <c:v>149.84805876518001</c:v>
                </c:pt>
                <c:pt idx="17">
                  <c:v>158.96699091348509</c:v>
                </c:pt>
                <c:pt idx="18">
                  <c:v>168.07352326067186</c:v>
                </c:pt>
                <c:pt idx="19">
                  <c:v>177.16842319952875</c:v>
                </c:pt>
                <c:pt idx="20">
                  <c:v>186.25237278232498</c:v>
                </c:pt>
                <c:pt idx="21">
                  <c:v>195.32598200322425</c:v>
                </c:pt>
                <c:pt idx="22">
                  <c:v>204.38979947903101</c:v>
                </c:pt>
                <c:pt idx="23">
                  <c:v>213.4443211330894</c:v>
                </c:pt>
                <c:pt idx="24">
                  <c:v>222.48999732632308</c:v>
                </c:pt>
                <c:pt idx="25">
                  <c:v>231.52723876628002</c:v>
                </c:pt>
                <c:pt idx="26">
                  <c:v>240.5564214441155</c:v>
                </c:pt>
                <c:pt idx="27">
                  <c:v>249.57789079067618</c:v>
                </c:pt>
                <c:pt idx="28">
                  <c:v>258.59196519955952</c:v>
                </c:pt>
                <c:pt idx="29">
                  <c:v>267.59893903273559</c:v>
                </c:pt>
                <c:pt idx="30">
                  <c:v>276.59908519995264</c:v>
                </c:pt>
                <c:pt idx="31">
                  <c:v>285.59265738456173</c:v>
                </c:pt>
                <c:pt idx="32">
                  <c:v>294.57989197406999</c:v>
                </c:pt>
                <c:pt idx="33">
                  <c:v>303.56100974259505</c:v>
                </c:pt>
                <c:pt idx="34">
                  <c:v>312.53621732365644</c:v>
                </c:pt>
                <c:pt idx="35">
                  <c:v>321.50570850482819</c:v>
                </c:pt>
                <c:pt idx="36">
                  <c:v>330.46966537027282</c:v>
                </c:pt>
                <c:pt idx="37">
                  <c:v>339.42825931275695</c:v>
                </c:pt>
                <c:pt idx="38">
                  <c:v>348.38165193318508</c:v>
                </c:pt>
                <c:pt idx="39">
                  <c:v>357.32999584277968</c:v>
                </c:pt>
                <c:pt idx="40">
                  <c:v>366.27343538067339</c:v>
                </c:pt>
                <c:pt idx="41">
                  <c:v>375.21210725772056</c:v>
                </c:pt>
                <c:pt idx="42">
                  <c:v>384.14614113573072</c:v>
                </c:pt>
                <c:pt idx="43">
                  <c:v>393.07566014998156</c:v>
                </c:pt>
                <c:pt idx="44">
                  <c:v>402.00078138175724</c:v>
                </c:pt>
                <c:pt idx="45">
                  <c:v>267.42355375979622</c:v>
                </c:pt>
                <c:pt idx="46">
                  <c:v>285.88763087528645</c:v>
                </c:pt>
                <c:pt idx="47">
                  <c:v>304.32502868636703</c:v>
                </c:pt>
                <c:pt idx="48">
                  <c:v>322.73759054414472</c:v>
                </c:pt>
                <c:pt idx="49">
                  <c:v>341.12693230463987</c:v>
                </c:pt>
                <c:pt idx="50">
                  <c:v>359.49448141144086</c:v>
                </c:pt>
                <c:pt idx="51">
                  <c:v>377.84150756940903</c:v>
                </c:pt>
                <c:pt idx="52">
                  <c:v>299.65666832805556</c:v>
                </c:pt>
                <c:pt idx="53">
                  <c:v>316.81406132690176</c:v>
                </c:pt>
                <c:pt idx="54">
                  <c:v>333.950877312957</c:v>
                </c:pt>
                <c:pt idx="55">
                  <c:v>351.06832057918632</c:v>
                </c:pt>
                <c:pt idx="56">
                  <c:v>368.1674684084316</c:v>
                </c:pt>
                <c:pt idx="57">
                  <c:v>385.24928986803616</c:v>
                </c:pt>
                <c:pt idx="58">
                  <c:v>402.31466109625626</c:v>
                </c:pt>
                <c:pt idx="59">
                  <c:v>419.3643778593069</c:v>
                </c:pt>
                <c:pt idx="60">
                  <c:v>334.26861359650508</c:v>
                </c:pt>
                <c:pt idx="61">
                  <c:v>350.12386222524532</c:v>
                </c:pt>
                <c:pt idx="62">
                  <c:v>365.96336731383093</c:v>
                </c:pt>
                <c:pt idx="63">
                  <c:v>381.78790608778053</c:v>
                </c:pt>
                <c:pt idx="64">
                  <c:v>397.59818609397763</c:v>
                </c:pt>
                <c:pt idx="65">
                  <c:v>413.39485402745521</c:v>
                </c:pt>
                <c:pt idx="66">
                  <c:v>429.17850313856837</c:v>
                </c:pt>
                <c:pt idx="67">
                  <c:v>444.94967949372705</c:v>
                </c:pt>
                <c:pt idx="68">
                  <c:v>376.4296541164581</c:v>
                </c:pt>
                <c:pt idx="69">
                  <c:v>391.52133039402747</c:v>
                </c:pt>
                <c:pt idx="70">
                  <c:v>406.60039190395037</c:v>
                </c:pt>
                <c:pt idx="71">
                  <c:v>421.66737227160212</c:v>
                </c:pt>
                <c:pt idx="72">
                  <c:v>436.72276388311457</c:v>
                </c:pt>
                <c:pt idx="73">
                  <c:v>451.76702241382162</c:v>
                </c:pt>
                <c:pt idx="74">
                  <c:v>466.80057072211775</c:v>
                </c:pt>
                <c:pt idx="75">
                  <c:v>481.8238022156375</c:v>
                </c:pt>
                <c:pt idx="76">
                  <c:v>415.15065369153336</c:v>
                </c:pt>
                <c:pt idx="77">
                  <c:v>429.68919220878115</c:v>
                </c:pt>
                <c:pt idx="78">
                  <c:v>444.21716180558633</c:v>
                </c:pt>
                <c:pt idx="79">
                  <c:v>458.73495675032768</c:v>
                </c:pt>
                <c:pt idx="80">
                  <c:v>473.24294432605535</c:v>
                </c:pt>
                <c:pt idx="81">
                  <c:v>487.74146746538446</c:v>
                </c:pt>
                <c:pt idx="82">
                  <c:v>502.23084705583574</c:v>
                </c:pt>
                <c:pt idx="83">
                  <c:v>516.71138396534536</c:v>
                </c:pt>
                <c:pt idx="84">
                  <c:v>531.18336082896553</c:v>
                </c:pt>
                <c:pt idx="85">
                  <c:v>453.00796081793391</c:v>
                </c:pt>
                <c:pt idx="86">
                  <c:v>466.84958227479683</c:v>
                </c:pt>
                <c:pt idx="87">
                  <c:v>480.68245879892771</c:v>
                </c:pt>
                <c:pt idx="88">
                  <c:v>494.50687744794459</c:v>
                </c:pt>
                <c:pt idx="89">
                  <c:v>508.32310792426023</c:v>
                </c:pt>
                <c:pt idx="90">
                  <c:v>522.13140407741355</c:v>
                </c:pt>
                <c:pt idx="91">
                  <c:v>535.93200523924747</c:v>
                </c:pt>
                <c:pt idx="92">
                  <c:v>549.72513741444334</c:v>
                </c:pt>
                <c:pt idx="93">
                  <c:v>563.51101434538896</c:v>
                </c:pt>
                <c:pt idx="94">
                  <c:v>498.37373206464912</c:v>
                </c:pt>
                <c:pt idx="95">
                  <c:v>512.1683788630661</c:v>
                </c:pt>
                <c:pt idx="96">
                  <c:v>525.9551813962272</c:v>
                </c:pt>
                <c:pt idx="97">
                  <c:v>539.73437419264405</c:v>
                </c:pt>
                <c:pt idx="98">
                  <c:v>553.50617883333825</c:v>
                </c:pt>
                <c:pt idx="99">
                  <c:v>567.2708049777093</c:v>
                </c:pt>
                <c:pt idx="100">
                  <c:v>581.02845128469107</c:v>
                </c:pt>
                <c:pt idx="101">
                  <c:v>594.7793062421581</c:v>
                </c:pt>
                <c:pt idx="102">
                  <c:v>608.52354891567518</c:v>
                </c:pt>
                <c:pt idx="103">
                  <c:v>622.26134962611513</c:v>
                </c:pt>
                <c:pt idx="104">
                  <c:v>532.41095590424868</c:v>
                </c:pt>
                <c:pt idx="105">
                  <c:v>545.74701567371824</c:v>
                </c:pt>
                <c:pt idx="106">
                  <c:v>559.07623860880494</c:v>
                </c:pt>
                <c:pt idx="107">
                  <c:v>572.39881062393727</c:v>
                </c:pt>
                <c:pt idx="108">
                  <c:v>585.71490827655975</c:v>
                </c:pt>
                <c:pt idx="109">
                  <c:v>599.02469944452935</c:v>
                </c:pt>
                <c:pt idx="110">
                  <c:v>612.32834394020426</c:v>
                </c:pt>
                <c:pt idx="111">
                  <c:v>625.62599406841184</c:v>
                </c:pt>
                <c:pt idx="112">
                  <c:v>638.91779513453378</c:v>
                </c:pt>
                <c:pt idx="113">
                  <c:v>652.20388590813616</c:v>
                </c:pt>
                <c:pt idx="114">
                  <c:v>583.4977027321512</c:v>
                </c:pt>
                <c:pt idx="115">
                  <c:v>597.36811830250406</c:v>
                </c:pt>
                <c:pt idx="116">
                  <c:v>611.2318381896481</c:v>
                </c:pt>
                <c:pt idx="117">
                  <c:v>625.08903558852899</c:v>
                </c:pt>
                <c:pt idx="118">
                  <c:v>638.93987539289583</c:v>
                </c:pt>
                <c:pt idx="119">
                  <c:v>652.78451476824023</c:v>
                </c:pt>
                <c:pt idx="120">
                  <c:v>666.62310367363227</c:v>
                </c:pt>
                <c:pt idx="121">
                  <c:v>680.45578533799824</c:v>
                </c:pt>
                <c:pt idx="122">
                  <c:v>694.28269669567874</c:v>
                </c:pt>
                <c:pt idx="123">
                  <c:v>708.10396878551171</c:v>
                </c:pt>
                <c:pt idx="124">
                  <c:v>721.91972711715516</c:v>
                </c:pt>
                <c:pt idx="125">
                  <c:v>735.73009200793229</c:v>
                </c:pt>
                <c:pt idx="126">
                  <c:v>624.20541223521639</c:v>
                </c:pt>
                <c:pt idx="127">
                  <c:v>637.89189497084487</c:v>
                </c:pt>
                <c:pt idx="128">
                  <c:v>651.57231259204821</c:v>
                </c:pt>
                <c:pt idx="129">
                  <c:v>665.24681031726357</c:v>
                </c:pt>
                <c:pt idx="130">
                  <c:v>678.91552691140748</c:v>
                </c:pt>
                <c:pt idx="131">
                  <c:v>692.57859509952289</c:v>
                </c:pt>
                <c:pt idx="132">
                  <c:v>706.23614194611048</c:v>
                </c:pt>
                <c:pt idx="133">
                  <c:v>719.88828920361209</c:v>
                </c:pt>
                <c:pt idx="134">
                  <c:v>733.53515363309873</c:v>
                </c:pt>
                <c:pt idx="135">
                  <c:v>747.17684729987866</c:v>
                </c:pt>
                <c:pt idx="136">
                  <c:v>760.81347784640309</c:v>
                </c:pt>
                <c:pt idx="137">
                  <c:v>774.44514874460936</c:v>
                </c:pt>
                <c:pt idx="138">
                  <c:v>654.44994378898684</c:v>
                </c:pt>
                <c:pt idx="139">
                  <c:v>667.73461729023177</c:v>
                </c:pt>
                <c:pt idx="140">
                  <c:v>681.01385689701522</c:v>
                </c:pt>
                <c:pt idx="141">
                  <c:v>694.28778343773104</c:v>
                </c:pt>
                <c:pt idx="142">
                  <c:v>707.55651274657691</c:v>
                </c:pt>
                <c:pt idx="143">
                  <c:v>720.82015596170902</c:v>
                </c:pt>
                <c:pt idx="144">
                  <c:v>734.07881980032732</c:v>
                </c:pt>
                <c:pt idx="145">
                  <c:v>747.33260681286674</c:v>
                </c:pt>
                <c:pt idx="146">
                  <c:v>760.58161561823101</c:v>
                </c:pt>
                <c:pt idx="147">
                  <c:v>773.82594112180038</c:v>
                </c:pt>
                <c:pt idx="148">
                  <c:v>787.0656747177444</c:v>
                </c:pt>
                <c:pt idx="149">
                  <c:v>800.30090447702969</c:v>
                </c:pt>
                <c:pt idx="150">
                  <c:v>495.26959878100564</c:v>
                </c:pt>
                <c:pt idx="151">
                  <c:v>503.23912467581346</c:v>
                </c:pt>
                <c:pt idx="152">
                  <c:v>511.20598088196829</c:v>
                </c:pt>
                <c:pt idx="153">
                  <c:v>519.17021488522141</c:v>
                </c:pt>
                <c:pt idx="154">
                  <c:v>340.36115415020345</c:v>
                </c:pt>
                <c:pt idx="155">
                  <c:v>345.12194204207157</c:v>
                </c:pt>
                <c:pt idx="156">
                  <c:v>349.88128740351999</c:v>
                </c:pt>
                <c:pt idx="157">
                  <c:v>354.63921265197814</c:v>
                </c:pt>
                <c:pt idx="158">
                  <c:v>237.44691553845598</c:v>
                </c:pt>
                <c:pt idx="159">
                  <c:v>240.36716112063394</c:v>
                </c:pt>
                <c:pt idx="160">
                  <c:v>243.28659890645511</c:v>
                </c:pt>
                <c:pt idx="161">
                  <c:v>246.20523998067588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2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2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2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2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2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2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2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2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2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2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2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2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2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2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2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2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2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2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" zoomScale="79" zoomScaleNormal="80" workbookViewId="0">
      <selection activeCell="E47" sqref="E47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08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1" t="s">
        <v>192</v>
      </c>
      <c r="C3" s="262"/>
      <c r="D3" s="262"/>
      <c r="E3" s="262"/>
      <c r="F3" s="263"/>
      <c r="G3" s="87"/>
      <c r="I3" s="208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88"/>
      <c r="B4" s="88"/>
      <c r="C4" s="88"/>
      <c r="D4" s="88"/>
      <c r="E4" s="88"/>
      <c r="F4" s="88"/>
      <c r="G4" s="215"/>
      <c r="I4" s="208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6" t="s">
        <v>231</v>
      </c>
      <c r="B5" s="266"/>
      <c r="C5" s="24">
        <v>15.8</v>
      </c>
      <c r="D5" s="267" t="s">
        <v>229</v>
      </c>
      <c r="E5" s="268"/>
      <c r="F5" s="88"/>
      <c r="G5" s="215"/>
      <c r="H5" s="215"/>
      <c r="I5" s="215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89"/>
      <c r="B6" s="89"/>
      <c r="C6" s="4"/>
      <c r="D6" s="84"/>
      <c r="E6" s="84"/>
      <c r="F6" s="26"/>
      <c r="G6" s="202"/>
      <c r="H6" s="202"/>
      <c r="I6" s="202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5" t="s">
        <v>226</v>
      </c>
      <c r="B7" s="265"/>
      <c r="C7" s="88"/>
      <c r="D7" s="88"/>
      <c r="E7" s="4"/>
      <c r="F7" s="88"/>
      <c r="G7" s="215"/>
      <c r="H7" s="215"/>
      <c r="I7" s="215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2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164</v>
      </c>
      <c r="C9" s="32">
        <v>0.12501599999999999</v>
      </c>
      <c r="D9" s="33">
        <f t="shared" ref="D9:D18" si="0">C9*$C$5</f>
        <v>1.9752527999999998</v>
      </c>
      <c r="E9" s="34">
        <v>105</v>
      </c>
      <c r="F9" s="35" t="str">
        <f t="array" ref="F9">IF(E9="","",IF(INDEX(A:A,MAX(IF(ISNUMBER($A$36:$A$55),ROW($A$36:$A$55),"")))&lt;&gt;E9,"Corrigez : révolution incorrecte","OK"))</f>
        <v>OK</v>
      </c>
      <c r="G9" s="225" t="s">
        <v>306</v>
      </c>
      <c r="I9" s="22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38</v>
      </c>
      <c r="C10" s="32">
        <v>0.12501599999999999</v>
      </c>
      <c r="D10" s="33">
        <f t="shared" si="0"/>
        <v>1.9752527999999998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35</v>
      </c>
      <c r="C11" s="32">
        <v>0.12501599999999999</v>
      </c>
      <c r="D11" s="33">
        <f t="shared" si="0"/>
        <v>1.9752527999999998</v>
      </c>
      <c r="E11" s="34">
        <v>76</v>
      </c>
      <c r="F11" s="35" t="str">
        <f t="array" ref="F11">IF(E11="","",IF(INDEX(A:A,MAX(IF(ISNUMBER($A$88:$A$107),ROW($A$88:$A$107),"")))&lt;&gt;E11,"Corrigez : révolution incorrecte","OK"))</f>
        <v>OK</v>
      </c>
      <c r="I11" s="22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158</v>
      </c>
      <c r="C12" s="32">
        <v>0.12501599999999999</v>
      </c>
      <c r="D12" s="33">
        <f t="shared" si="0"/>
        <v>1.9752527999999998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9</v>
      </c>
      <c r="C13" s="32">
        <v>9.7491999999999995E-2</v>
      </c>
      <c r="D13" s="33">
        <f t="shared" si="0"/>
        <v>1.5403735999999999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G13" s="254"/>
      <c r="I13" s="22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12</v>
      </c>
      <c r="C14" s="32">
        <v>9.7491999999999995E-2</v>
      </c>
      <c r="D14" s="33">
        <f t="shared" si="0"/>
        <v>1.5403735999999999</v>
      </c>
      <c r="E14" s="34"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44</v>
      </c>
      <c r="C15" s="32">
        <v>9.7491999999999995E-2</v>
      </c>
      <c r="D15" s="33">
        <f t="shared" si="0"/>
        <v>1.5403735999999999</v>
      </c>
      <c r="E15" s="34">
        <v>45</v>
      </c>
      <c r="F15" s="35" t="str">
        <f t="array" ref="F15">IF(E15="","",IF(INDEX(A:A,MAX(IF(ISNUMBER($A$192:$A$211),ROW($A$192:$A$211),"")))&lt;&gt;E15,"Corrigez : révolution incorrecte","OK"))</f>
        <v>OK</v>
      </c>
      <c r="I15" s="22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50</v>
      </c>
      <c r="C16" s="32">
        <v>9.7491999999999995E-2</v>
      </c>
      <c r="D16" s="33">
        <f t="shared" si="0"/>
        <v>1.5403735999999999</v>
      </c>
      <c r="E16" s="34">
        <v>161</v>
      </c>
      <c r="F16" s="35" t="str">
        <f t="array" ref="F16">IF(E16="","",IF(INDEX(A:A,MAX(IF(ISNUMBER($A$218:$A$237),ROW($A$218:$A$237),"")))&lt;&gt;E16,"Corrigez : révolution incorrecte","OK"))</f>
        <v>OK</v>
      </c>
      <c r="G16" s="254"/>
      <c r="I16" s="22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1</v>
      </c>
      <c r="C17" s="32">
        <v>4.3986999999999998E-2</v>
      </c>
      <c r="D17" s="33">
        <f t="shared" si="0"/>
        <v>0.69499460000000002</v>
      </c>
      <c r="E17" s="34">
        <v>161</v>
      </c>
      <c r="F17" s="35" t="str">
        <f t="array" ref="F17">IF(E17="","",IF(INDEX(A:A,MAX(IF(ISNUMBER($A$244:$A$263),ROW($A$244:$A$263),"")))&lt;&gt;E17,"Corrigez : révolution incorrecte","OK"))</f>
        <v>OK</v>
      </c>
      <c r="G17" s="254" t="s">
        <v>324</v>
      </c>
      <c r="I17" s="22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 t="s">
        <v>21</v>
      </c>
      <c r="C18" s="32">
        <v>2.1994E-2</v>
      </c>
      <c r="D18" s="33">
        <f t="shared" si="0"/>
        <v>0.34750520000000001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6"/>
      <c r="B19" s="36" t="s">
        <v>175</v>
      </c>
      <c r="C19" s="37">
        <f>SUM(C9:C18)</f>
        <v>0.956013</v>
      </c>
      <c r="D19" s="38">
        <f>SUM(D9:D18)</f>
        <v>15.105005400000001</v>
      </c>
      <c r="E19" s="4"/>
      <c r="F19" s="90"/>
      <c r="G19" s="216"/>
      <c r="H19" s="216"/>
      <c r="I19" s="21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6"/>
      <c r="B20" s="39" t="s">
        <v>230</v>
      </c>
      <c r="C20" s="40" t="str">
        <f>IF(C19&gt;100%,"Erreur : corrigez","OK")</f>
        <v>OK</v>
      </c>
      <c r="D20" s="219"/>
      <c r="F20" s="202"/>
      <c r="G20" s="202"/>
      <c r="H20" s="216"/>
      <c r="I20" s="216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7"/>
      <c r="I21" s="217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199"/>
      <c r="I24" s="199"/>
      <c r="J24" s="21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2"/>
      <c r="E25" s="4"/>
      <c r="F25" s="92"/>
      <c r="G25" s="218"/>
      <c r="I25" s="218"/>
      <c r="J25" s="21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199"/>
      <c r="I26" s="199"/>
      <c r="J26" s="199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199"/>
      <c r="I27" s="199"/>
      <c r="J27" s="199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5" t="s">
        <v>227</v>
      </c>
      <c r="B30" s="265"/>
      <c r="D30" s="22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0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Cèdre de l'Atlas</v>
      </c>
      <c r="D32" s="226" t="s">
        <v>307</v>
      </c>
      <c r="K32" s="22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3" t="s">
        <v>185</v>
      </c>
      <c r="C34" s="256" t="s">
        <v>186</v>
      </c>
      <c r="D34" s="256"/>
      <c r="E34" s="257" t="s">
        <v>187</v>
      </c>
      <c r="F34" s="258"/>
      <c r="G34" s="258"/>
      <c r="H34" s="259"/>
      <c r="I34" s="93"/>
      <c r="J34" s="220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42</v>
      </c>
      <c r="B36" s="60">
        <v>416.76</v>
      </c>
      <c r="C36" s="60">
        <v>1</v>
      </c>
      <c r="D36" s="60">
        <v>182.39</v>
      </c>
      <c r="E36" s="51">
        <v>0.3</v>
      </c>
      <c r="F36" s="51">
        <v>0.39</v>
      </c>
      <c r="G36" s="51">
        <v>0.31</v>
      </c>
      <c r="H36" s="51"/>
      <c r="I36" s="49">
        <f>IFERROR(B36/A36,"")</f>
        <v>9.9228571428571435</v>
      </c>
      <c r="J36" s="23" t="s">
        <v>325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49</v>
      </c>
      <c r="B37" s="60">
        <v>361.26</v>
      </c>
      <c r="C37" s="60">
        <v>2</v>
      </c>
      <c r="D37" s="60">
        <v>100.16</v>
      </c>
      <c r="E37" s="51">
        <v>0.4</v>
      </c>
      <c r="F37" s="51">
        <v>0.34</v>
      </c>
      <c r="G37" s="51">
        <v>0.26</v>
      </c>
      <c r="H37" s="51"/>
      <c r="I37" s="53">
        <f>IF(A37&lt;&gt;0,(B37-(B36-D36))/(A37-A36),"")</f>
        <v>18.127142857142854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56</v>
      </c>
      <c r="B38" s="60">
        <v>379.71</v>
      </c>
      <c r="C38" s="60">
        <v>3</v>
      </c>
      <c r="D38" s="60">
        <v>79.39</v>
      </c>
      <c r="E38" s="51">
        <v>0.5</v>
      </c>
      <c r="F38" s="51">
        <v>0.28000000000000003</v>
      </c>
      <c r="G38" s="51">
        <v>0.22</v>
      </c>
      <c r="H38" s="51"/>
      <c r="I38" s="53">
        <f t="shared" ref="I38:I55" si="1">IF(A38&lt;&gt;0,(B38-(B37-D37))/(A38-A37),"")</f>
        <v>16.944285714285709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63</v>
      </c>
      <c r="B39" s="60">
        <v>416.49</v>
      </c>
      <c r="C39" s="60">
        <v>4</v>
      </c>
      <c r="D39" s="60">
        <v>79.099999999999994</v>
      </c>
      <c r="E39" s="51">
        <v>0.6</v>
      </c>
      <c r="F39" s="51">
        <v>0.22</v>
      </c>
      <c r="G39" s="51">
        <v>0.18</v>
      </c>
      <c r="H39" s="51"/>
      <c r="I39" s="49">
        <f t="shared" si="1"/>
        <v>16.595714285714287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71</v>
      </c>
      <c r="B40" s="60">
        <v>465.79</v>
      </c>
      <c r="C40" s="60">
        <v>5</v>
      </c>
      <c r="D40" s="60">
        <v>90.8</v>
      </c>
      <c r="E40" s="51">
        <v>0.7</v>
      </c>
      <c r="F40" s="51">
        <v>0.17</v>
      </c>
      <c r="G40" s="51">
        <v>0.13</v>
      </c>
      <c r="H40" s="51"/>
      <c r="I40" s="49">
        <f t="shared" si="1"/>
        <v>16.050000000000004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79</v>
      </c>
      <c r="B41" s="50">
        <v>495.91</v>
      </c>
      <c r="C41" s="50">
        <v>6</v>
      </c>
      <c r="D41" s="50">
        <v>87.99</v>
      </c>
      <c r="E41" s="51">
        <v>0.8</v>
      </c>
      <c r="F41" s="51">
        <v>0.11</v>
      </c>
      <c r="G41" s="51">
        <v>0.09</v>
      </c>
      <c r="H41" s="51"/>
      <c r="I41" s="53">
        <f>IF(A41&lt;&gt;0,(B41-(B40-D40))/(A41-A40),"")</f>
        <v>15.115000000000002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87</v>
      </c>
      <c r="B42" s="50">
        <v>521.62</v>
      </c>
      <c r="C42" s="50">
        <v>7</v>
      </c>
      <c r="D42" s="50">
        <v>88.62</v>
      </c>
      <c r="E42" s="51">
        <v>0.8</v>
      </c>
      <c r="F42" s="51">
        <v>0.11</v>
      </c>
      <c r="G42" s="51">
        <v>0.09</v>
      </c>
      <c r="H42" s="51"/>
      <c r="I42" s="53">
        <f>IF(A42&lt;&gt;0,(B42-(B41-D41))/(A42-A41),"")</f>
        <v>14.212499999999999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95</v>
      </c>
      <c r="B43" s="60">
        <v>538.28</v>
      </c>
      <c r="C43" s="60">
        <v>8</v>
      </c>
      <c r="D43" s="60">
        <v>268.81</v>
      </c>
      <c r="E43" s="51">
        <v>0.8</v>
      </c>
      <c r="F43" s="51">
        <v>0.11</v>
      </c>
      <c r="G43" s="51">
        <v>0.09</v>
      </c>
      <c r="H43" s="51"/>
      <c r="I43" s="49">
        <f t="shared" si="1"/>
        <v>13.159999999999997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105</v>
      </c>
      <c r="B44" s="60">
        <v>356.68</v>
      </c>
      <c r="C44" s="60">
        <v>9</v>
      </c>
      <c r="D44" s="60">
        <v>356.68</v>
      </c>
      <c r="E44" s="51">
        <v>0.8</v>
      </c>
      <c r="F44" s="51">
        <v>0.11</v>
      </c>
      <c r="G44" s="51">
        <v>0.09</v>
      </c>
      <c r="H44" s="51"/>
      <c r="I44" s="49">
        <f t="shared" si="1"/>
        <v>8.7210000000000036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noir d'Autriche</v>
      </c>
      <c r="D58" s="226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3" t="s">
        <v>185</v>
      </c>
      <c r="C60" s="256" t="s">
        <v>186</v>
      </c>
      <c r="D60" s="256"/>
      <c r="E60" s="257" t="s">
        <v>187</v>
      </c>
      <c r="F60" s="258"/>
      <c r="G60" s="258"/>
      <c r="H60" s="259"/>
      <c r="I60" s="93"/>
      <c r="J60" s="220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1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22</v>
      </c>
      <c r="B62" s="60">
        <v>129.07</v>
      </c>
      <c r="C62" s="60">
        <v>1</v>
      </c>
      <c r="D62" s="60">
        <v>52.41</v>
      </c>
      <c r="E62" s="85">
        <v>0.2</v>
      </c>
      <c r="F62" s="85">
        <v>0.45</v>
      </c>
      <c r="G62" s="85">
        <v>0.35</v>
      </c>
      <c r="H62" s="51"/>
      <c r="I62" s="53">
        <f>IFERROR(B62/A62,"")</f>
        <v>5.8668181818181813</v>
      </c>
      <c r="J62" s="23" t="s">
        <v>327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27</v>
      </c>
      <c r="B63" s="60">
        <v>155.49</v>
      </c>
      <c r="C63" s="60">
        <v>2</v>
      </c>
      <c r="D63" s="60">
        <v>37.840000000000003</v>
      </c>
      <c r="E63" s="85">
        <v>0.3</v>
      </c>
      <c r="F63" s="85">
        <v>0.39</v>
      </c>
      <c r="G63" s="85">
        <v>0.31</v>
      </c>
      <c r="H63" s="51"/>
      <c r="I63" s="49">
        <f>IF(A63&lt;&gt;0,(B63-(B62-D62))/(A63-A62),"")</f>
        <v>15.766000000000002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33</v>
      </c>
      <c r="B64" s="60">
        <v>217.34</v>
      </c>
      <c r="C64" s="60">
        <v>3</v>
      </c>
      <c r="D64" s="60">
        <v>50.41</v>
      </c>
      <c r="E64" s="85">
        <v>0.4</v>
      </c>
      <c r="F64" s="85">
        <v>0.34</v>
      </c>
      <c r="G64" s="85">
        <v>0.26</v>
      </c>
      <c r="H64" s="51"/>
      <c r="I64" s="49">
        <f>IF(A64&lt;&gt;0,(B64-(B63-D63))/(A64-A63),"")</f>
        <v>16.614999999999998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41</v>
      </c>
      <c r="B65" s="60">
        <v>300.54000000000002</v>
      </c>
      <c r="C65" s="60">
        <v>4</v>
      </c>
      <c r="D65" s="60">
        <v>72.13</v>
      </c>
      <c r="E65" s="85">
        <v>0.5</v>
      </c>
      <c r="F65" s="85">
        <v>0.28000000000000003</v>
      </c>
      <c r="G65" s="85">
        <v>0.22</v>
      </c>
      <c r="H65" s="51"/>
      <c r="I65" s="49">
        <f>IF(A65&lt;&gt;0,(B65-(B64-D64))/(A65-A64),"")</f>
        <v>16.701250000000002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60">
        <v>50</v>
      </c>
      <c r="B66" s="60">
        <v>369.94</v>
      </c>
      <c r="C66" s="60">
        <v>5</v>
      </c>
      <c r="D66" s="60">
        <v>70.2</v>
      </c>
      <c r="E66" s="85">
        <v>0.6</v>
      </c>
      <c r="F66" s="85">
        <v>0.22</v>
      </c>
      <c r="G66" s="85">
        <v>0.18</v>
      </c>
      <c r="H66" s="51"/>
      <c r="I66" s="49">
        <f t="shared" ref="I66:I81" si="2">IF(A66&lt;&gt;0,(B66-(B65-D65))/(A66-A65),"")</f>
        <v>15.725555555555552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60">
        <v>60</v>
      </c>
      <c r="B67" s="60">
        <v>440.94</v>
      </c>
      <c r="C67" s="60">
        <v>6</v>
      </c>
      <c r="D67" s="60">
        <v>69.849999999999994</v>
      </c>
      <c r="E67" s="85">
        <v>0.6</v>
      </c>
      <c r="F67" s="85">
        <v>0.22</v>
      </c>
      <c r="G67" s="85">
        <v>0.18</v>
      </c>
      <c r="H67" s="51"/>
      <c r="I67" s="49">
        <f t="shared" si="2"/>
        <v>14.12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60">
        <v>70</v>
      </c>
      <c r="B68" s="60">
        <v>490.06</v>
      </c>
      <c r="C68" s="60">
        <v>7</v>
      </c>
      <c r="D68" s="60">
        <v>67.88</v>
      </c>
      <c r="E68" s="85">
        <v>0.7</v>
      </c>
      <c r="F68" s="85">
        <v>0.17</v>
      </c>
      <c r="G68" s="85">
        <v>0.13</v>
      </c>
      <c r="H68" s="51"/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60">
        <v>80</v>
      </c>
      <c r="B69" s="60">
        <v>520</v>
      </c>
      <c r="C69" s="60">
        <v>8</v>
      </c>
      <c r="D69" s="60">
        <v>520</v>
      </c>
      <c r="E69" s="63">
        <v>0.8</v>
      </c>
      <c r="F69" s="63">
        <v>0.11</v>
      </c>
      <c r="G69" s="63">
        <v>0.09</v>
      </c>
      <c r="H69" s="51"/>
      <c r="I69" s="49">
        <f t="shared" si="2"/>
        <v>9.782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Pin laricio</v>
      </c>
      <c r="D84" s="226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3" t="s">
        <v>185</v>
      </c>
      <c r="C86" s="256" t="s">
        <v>186</v>
      </c>
      <c r="D86" s="256"/>
      <c r="E86" s="257" t="s">
        <v>187</v>
      </c>
      <c r="F86" s="258"/>
      <c r="G86" s="258"/>
      <c r="H86" s="25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19</v>
      </c>
      <c r="B88" s="60">
        <v>127.82</v>
      </c>
      <c r="C88" s="60">
        <v>1</v>
      </c>
      <c r="D88" s="60">
        <v>46.3</v>
      </c>
      <c r="E88" s="85">
        <v>0.2</v>
      </c>
      <c r="F88" s="85">
        <v>0.45</v>
      </c>
      <c r="G88" s="85">
        <v>0.35</v>
      </c>
      <c r="H88" s="85"/>
      <c r="I88" s="53">
        <f>IFERROR(B88/A88,"")</f>
        <v>6.7273684210526312</v>
      </c>
      <c r="J88" s="23" t="s">
        <v>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24</v>
      </c>
      <c r="B89" s="60">
        <v>179.92</v>
      </c>
      <c r="C89" s="60">
        <v>2</v>
      </c>
      <c r="D89" s="60">
        <v>44.84</v>
      </c>
      <c r="E89" s="85">
        <v>0.3</v>
      </c>
      <c r="F89" s="85">
        <v>0.39</v>
      </c>
      <c r="G89" s="85">
        <v>0.31</v>
      </c>
      <c r="H89" s="85"/>
      <c r="I89" s="53">
        <f t="shared" ref="I89:I107" si="3">IF(A89&lt;&gt;0,(B89-(B88-D88))/(A89-A88),"")</f>
        <v>19.68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60">
        <v>260.10000000000002</v>
      </c>
      <c r="C90" s="60">
        <v>3</v>
      </c>
      <c r="D90" s="60">
        <v>66.989999999999995</v>
      </c>
      <c r="E90" s="85">
        <v>0.4</v>
      </c>
      <c r="F90" s="85">
        <v>0.34</v>
      </c>
      <c r="G90" s="85">
        <v>0.26</v>
      </c>
      <c r="H90" s="85"/>
      <c r="I90" s="53">
        <f t="shared" si="3"/>
        <v>20.836666666666673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37</v>
      </c>
      <c r="B91" s="60">
        <v>337.12</v>
      </c>
      <c r="C91" s="60">
        <v>4</v>
      </c>
      <c r="D91" s="60">
        <v>54.63</v>
      </c>
      <c r="E91" s="85">
        <v>0.5</v>
      </c>
      <c r="F91" s="85">
        <v>0.28000000000000003</v>
      </c>
      <c r="G91" s="85">
        <v>0.22</v>
      </c>
      <c r="H91" s="85"/>
      <c r="I91" s="53">
        <f t="shared" si="3"/>
        <v>20.572857142857142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60">
        <v>46</v>
      </c>
      <c r="B92" s="60">
        <v>466.26</v>
      </c>
      <c r="C92" s="60">
        <v>5</v>
      </c>
      <c r="D92" s="60">
        <v>93.13</v>
      </c>
      <c r="E92" s="85">
        <v>0.6</v>
      </c>
      <c r="F92" s="85">
        <v>0.22</v>
      </c>
      <c r="G92" s="85">
        <v>0.18</v>
      </c>
      <c r="H92" s="85"/>
      <c r="I92" s="53">
        <f t="shared" si="3"/>
        <v>20.418888888888887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60">
        <v>56</v>
      </c>
      <c r="B93" s="60">
        <v>551.70000000000005</v>
      </c>
      <c r="C93" s="60">
        <v>6</v>
      </c>
      <c r="D93" s="60">
        <v>77.37</v>
      </c>
      <c r="E93" s="85">
        <v>0.6</v>
      </c>
      <c r="F93" s="85">
        <v>0.22</v>
      </c>
      <c r="G93" s="85">
        <v>0.18</v>
      </c>
      <c r="H93" s="85"/>
      <c r="I93" s="53">
        <f t="shared" si="3"/>
        <v>17.857000000000006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60">
        <v>66</v>
      </c>
      <c r="B94" s="60">
        <v>630.36</v>
      </c>
      <c r="C94" s="60">
        <v>7</v>
      </c>
      <c r="D94" s="60">
        <v>87.84</v>
      </c>
      <c r="E94" s="85">
        <v>0.7</v>
      </c>
      <c r="F94" s="85">
        <v>0.17</v>
      </c>
      <c r="G94" s="85">
        <v>0.13</v>
      </c>
      <c r="H94" s="85"/>
      <c r="I94" s="53">
        <f t="shared" si="3"/>
        <v>15.602999999999998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76</v>
      </c>
      <c r="B95" s="60">
        <v>671.57</v>
      </c>
      <c r="C95" s="60">
        <v>8</v>
      </c>
      <c r="D95" s="60">
        <v>671.57</v>
      </c>
      <c r="E95" s="63">
        <v>0.8</v>
      </c>
      <c r="F95" s="63">
        <v>0.11</v>
      </c>
      <c r="G95" s="63">
        <v>0.09</v>
      </c>
      <c r="H95" s="85"/>
      <c r="I95" s="53">
        <f t="shared" si="3"/>
        <v>12.905000000000006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5"/>
      <c r="F96" s="85"/>
      <c r="G96" s="85"/>
      <c r="H96" s="85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5"/>
      <c r="F97" s="85"/>
      <c r="G97" s="85"/>
      <c r="H97" s="85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5"/>
      <c r="F98" s="85"/>
      <c r="G98" s="85"/>
      <c r="H98" s="85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5"/>
      <c r="F99" s="85"/>
      <c r="G99" s="85"/>
      <c r="H99" s="85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3"/>
      <c r="F100" s="63"/>
      <c r="G100" s="63"/>
      <c r="H100" s="63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3"/>
      <c r="F101" s="63"/>
      <c r="G101" s="63"/>
      <c r="H101" s="63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Séquoia géant</v>
      </c>
      <c r="D110" s="226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3" t="s">
        <v>185</v>
      </c>
      <c r="C112" s="256" t="s">
        <v>186</v>
      </c>
      <c r="D112" s="256"/>
      <c r="E112" s="257" t="s">
        <v>187</v>
      </c>
      <c r="F112" s="258"/>
      <c r="G112" s="258"/>
      <c r="H112" s="259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21</v>
      </c>
      <c r="B114" s="60">
        <v>195.15</v>
      </c>
      <c r="C114" s="50">
        <v>1</v>
      </c>
      <c r="D114" s="60">
        <v>64.58</v>
      </c>
      <c r="E114" s="85">
        <v>0.2</v>
      </c>
      <c r="F114" s="85">
        <v>0.45</v>
      </c>
      <c r="G114" s="85">
        <v>0.35</v>
      </c>
      <c r="H114" s="51"/>
      <c r="I114" s="53">
        <f>IFERROR(B114/A114,"")</f>
        <v>9.2928571428571427</v>
      </c>
      <c r="J114" s="23" t="s">
        <v>328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28</v>
      </c>
      <c r="B115" s="60">
        <v>281.86</v>
      </c>
      <c r="C115" s="50">
        <v>2</v>
      </c>
      <c r="D115" s="60">
        <v>67.61</v>
      </c>
      <c r="E115" s="85">
        <v>0.3</v>
      </c>
      <c r="F115" s="85">
        <v>0.39</v>
      </c>
      <c r="G115" s="85">
        <v>0.31</v>
      </c>
      <c r="H115" s="51"/>
      <c r="I115" s="53">
        <f t="shared" ref="I115:I133" si="4">IF(A115&lt;&gt;0,(B115-(B114-D114))/(A115-A114),"")</f>
        <v>21.612857142857145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35</v>
      </c>
      <c r="B116" s="60">
        <v>377.12</v>
      </c>
      <c r="C116" s="50">
        <v>4</v>
      </c>
      <c r="D116" s="60">
        <v>86.68</v>
      </c>
      <c r="E116" s="85">
        <v>0.4</v>
      </c>
      <c r="F116" s="85">
        <v>0.34</v>
      </c>
      <c r="G116" s="85">
        <v>0.26</v>
      </c>
      <c r="H116" s="51"/>
      <c r="I116" s="53">
        <f t="shared" si="4"/>
        <v>23.267142857142858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42</v>
      </c>
      <c r="B117" s="60">
        <v>450.23</v>
      </c>
      <c r="C117" s="50">
        <v>5</v>
      </c>
      <c r="D117" s="60">
        <v>99.98</v>
      </c>
      <c r="E117" s="85">
        <v>0.5</v>
      </c>
      <c r="F117" s="85">
        <v>0.28000000000000003</v>
      </c>
      <c r="G117" s="85">
        <v>0.22</v>
      </c>
      <c r="H117" s="51"/>
      <c r="I117" s="53">
        <f t="shared" si="4"/>
        <v>22.82714285714286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49</v>
      </c>
      <c r="B118" s="60">
        <v>503.83</v>
      </c>
      <c r="C118" s="50">
        <v>6</v>
      </c>
      <c r="D118" s="60">
        <v>112.61</v>
      </c>
      <c r="E118" s="85">
        <v>0.6</v>
      </c>
      <c r="F118" s="85">
        <v>0.22</v>
      </c>
      <c r="G118" s="85">
        <v>0.18</v>
      </c>
      <c r="H118" s="51"/>
      <c r="I118" s="53">
        <f t="shared" si="4"/>
        <v>21.939999999999998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60">
        <v>56</v>
      </c>
      <c r="B119" s="60">
        <v>533.49</v>
      </c>
      <c r="C119" s="60">
        <v>7</v>
      </c>
      <c r="D119" s="60">
        <v>94.57</v>
      </c>
      <c r="E119" s="85">
        <v>0.6</v>
      </c>
      <c r="F119" s="85">
        <v>0.22</v>
      </c>
      <c r="G119" s="85">
        <v>0.18</v>
      </c>
      <c r="H119" s="51"/>
      <c r="I119" s="53">
        <f t="shared" si="4"/>
        <v>20.324285714285718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63</v>
      </c>
      <c r="B120" s="60">
        <v>569</v>
      </c>
      <c r="C120" s="60">
        <v>8</v>
      </c>
      <c r="D120" s="60">
        <v>99.49</v>
      </c>
      <c r="E120" s="85">
        <v>0.7</v>
      </c>
      <c r="F120" s="85">
        <v>0.17</v>
      </c>
      <c r="G120" s="85">
        <v>0.13</v>
      </c>
      <c r="H120" s="85"/>
      <c r="I120" s="53">
        <f t="shared" si="4"/>
        <v>18.58285714285714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70</v>
      </c>
      <c r="B121" s="60">
        <v>586.05999999999995</v>
      </c>
      <c r="C121" s="60">
        <v>9</v>
      </c>
      <c r="D121" s="60">
        <v>586.05999999999995</v>
      </c>
      <c r="E121" s="63">
        <v>0.8</v>
      </c>
      <c r="F121" s="63">
        <v>0.11</v>
      </c>
      <c r="G121" s="63">
        <v>0.09</v>
      </c>
      <c r="H121" s="85"/>
      <c r="I121" s="53">
        <f t="shared" si="4"/>
        <v>16.649999999999995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5"/>
      <c r="F122" s="85"/>
      <c r="G122" s="85"/>
      <c r="H122" s="85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63"/>
      <c r="F123" s="63"/>
      <c r="G123" s="63"/>
      <c r="H123" s="85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5"/>
      <c r="F124" s="85"/>
      <c r="G124" s="85"/>
      <c r="H124" s="85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5"/>
      <c r="F125" s="85"/>
      <c r="G125" s="85"/>
      <c r="H125" s="85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3"/>
      <c r="F126" s="63"/>
      <c r="G126" s="63"/>
      <c r="H126" s="63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3"/>
      <c r="F127" s="63"/>
      <c r="G127" s="63"/>
      <c r="H127" s="63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Chêne chevelu</v>
      </c>
      <c r="D136" s="226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3" t="s">
        <v>185</v>
      </c>
      <c r="C138" s="256" t="s">
        <v>186</v>
      </c>
      <c r="D138" s="256"/>
      <c r="E138" s="257" t="s">
        <v>187</v>
      </c>
      <c r="F138" s="258"/>
      <c r="G138" s="258"/>
      <c r="H138" s="25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20</v>
      </c>
      <c r="B140" s="60">
        <v>84.62</v>
      </c>
      <c r="C140" s="50">
        <v>1</v>
      </c>
      <c r="D140" s="60">
        <v>32.049999999999997</v>
      </c>
      <c r="E140" s="51">
        <v>0</v>
      </c>
      <c r="F140" s="51"/>
      <c r="G140" s="51"/>
      <c r="H140" s="51">
        <v>1</v>
      </c>
      <c r="I140" s="57">
        <f>IFERROR(B140/A140,"")</f>
        <v>4.2309999999999999</v>
      </c>
      <c r="J140" s="23" t="s">
        <v>326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25</v>
      </c>
      <c r="B141" s="60">
        <v>91.67</v>
      </c>
      <c r="C141" s="50">
        <v>2</v>
      </c>
      <c r="D141" s="60">
        <v>23.72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7.8199999999999985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30</v>
      </c>
      <c r="B142" s="60">
        <v>104.49</v>
      </c>
      <c r="C142" s="50">
        <v>3</v>
      </c>
      <c r="D142" s="60">
        <v>23.72</v>
      </c>
      <c r="E142" s="51">
        <v>0.2</v>
      </c>
      <c r="F142" s="51"/>
      <c r="G142" s="51"/>
      <c r="H142" s="51">
        <v>0.8</v>
      </c>
      <c r="I142" s="57">
        <f t="shared" si="5"/>
        <v>7.3079999999999981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35</v>
      </c>
      <c r="B143" s="60">
        <v>114.74</v>
      </c>
      <c r="C143" s="50">
        <v>4</v>
      </c>
      <c r="D143" s="60">
        <v>23.08</v>
      </c>
      <c r="E143" s="51">
        <v>0.2</v>
      </c>
      <c r="F143" s="51"/>
      <c r="G143" s="51"/>
      <c r="H143" s="51">
        <v>0.8</v>
      </c>
      <c r="I143" s="57">
        <f t="shared" si="5"/>
        <v>6.7939999999999996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40</v>
      </c>
      <c r="B144" s="60">
        <v>122.44</v>
      </c>
      <c r="C144" s="50">
        <v>5</v>
      </c>
      <c r="D144" s="60">
        <v>21.15</v>
      </c>
      <c r="E144" s="51">
        <v>0.3</v>
      </c>
      <c r="F144" s="51"/>
      <c r="G144" s="51"/>
      <c r="H144" s="51">
        <v>0.7</v>
      </c>
      <c r="I144" s="57">
        <f t="shared" si="5"/>
        <v>6.1560000000000006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45</v>
      </c>
      <c r="B145" s="60">
        <v>128.85</v>
      </c>
      <c r="C145" s="50">
        <v>6</v>
      </c>
      <c r="D145" s="60">
        <v>19.87</v>
      </c>
      <c r="E145" s="51">
        <v>0.3</v>
      </c>
      <c r="F145" s="51"/>
      <c r="G145" s="51"/>
      <c r="H145" s="51">
        <v>0.7</v>
      </c>
      <c r="I145" s="57">
        <f t="shared" si="5"/>
        <v>5.5120000000000005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50</v>
      </c>
      <c r="B146" s="60">
        <v>133.97</v>
      </c>
      <c r="C146" s="50">
        <v>7</v>
      </c>
      <c r="D146" s="60">
        <v>17.95</v>
      </c>
      <c r="E146" s="51">
        <v>0.4</v>
      </c>
      <c r="F146" s="51"/>
      <c r="G146" s="51"/>
      <c r="H146" s="51">
        <v>0.6</v>
      </c>
      <c r="I146" s="57">
        <f t="shared" si="5"/>
        <v>4.998000000000002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55</v>
      </c>
      <c r="B147" s="60">
        <v>137.82</v>
      </c>
      <c r="C147" s="50">
        <v>8</v>
      </c>
      <c r="D147" s="60">
        <v>16.03</v>
      </c>
      <c r="E147" s="51">
        <v>0.4</v>
      </c>
      <c r="F147" s="51"/>
      <c r="G147" s="51"/>
      <c r="H147" s="51">
        <v>0.6</v>
      </c>
      <c r="I147" s="57">
        <f>IF(A147&lt;&gt;0,(B147-(B146-D146))/(A147-A146),"")</f>
        <v>4.3599999999999994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60</v>
      </c>
      <c r="B148" s="60">
        <v>141.03</v>
      </c>
      <c r="C148" s="50">
        <v>9</v>
      </c>
      <c r="D148" s="60">
        <v>14.1</v>
      </c>
      <c r="E148" s="51">
        <v>0.5</v>
      </c>
      <c r="F148" s="51"/>
      <c r="G148" s="51"/>
      <c r="H148" s="51">
        <v>0.5</v>
      </c>
      <c r="I148" s="57">
        <f t="shared" si="5"/>
        <v>3.8480000000000016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65</v>
      </c>
      <c r="B149" s="60">
        <v>143.59</v>
      </c>
      <c r="C149" s="50">
        <v>10</v>
      </c>
      <c r="D149" s="60">
        <v>12.82</v>
      </c>
      <c r="E149" s="51">
        <v>0.5</v>
      </c>
      <c r="F149" s="51"/>
      <c r="G149" s="51"/>
      <c r="H149" s="51">
        <v>0.5</v>
      </c>
      <c r="I149" s="57">
        <f t="shared" si="5"/>
        <v>3.3319999999999994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70</v>
      </c>
      <c r="B150" s="60">
        <v>145.51</v>
      </c>
      <c r="C150" s="50">
        <v>11</v>
      </c>
      <c r="D150" s="60">
        <v>10.9</v>
      </c>
      <c r="E150" s="51">
        <v>0.6</v>
      </c>
      <c r="F150" s="51"/>
      <c r="G150" s="51"/>
      <c r="H150" s="51">
        <v>0.4</v>
      </c>
      <c r="I150" s="57">
        <f t="shared" si="5"/>
        <v>2.947999999999996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75</v>
      </c>
      <c r="B151" s="60">
        <v>147.44</v>
      </c>
      <c r="C151" s="50">
        <v>12</v>
      </c>
      <c r="D151" s="60">
        <v>9.6199999999999992</v>
      </c>
      <c r="E151" s="51">
        <v>0.6</v>
      </c>
      <c r="F151" s="51"/>
      <c r="G151" s="51"/>
      <c r="H151" s="51">
        <v>0.4</v>
      </c>
      <c r="I151" s="57">
        <f t="shared" si="5"/>
        <v>2.5660000000000025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80</v>
      </c>
      <c r="B152" s="60">
        <v>148.72</v>
      </c>
      <c r="C152" s="50">
        <v>13</v>
      </c>
      <c r="D152" s="60">
        <v>8.33</v>
      </c>
      <c r="E152" s="54">
        <v>0.7</v>
      </c>
      <c r="F152" s="54"/>
      <c r="G152" s="54"/>
      <c r="H152" s="54">
        <v>0.3</v>
      </c>
      <c r="I152" s="57">
        <f t="shared" si="5"/>
        <v>2.180000000000001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85</v>
      </c>
      <c r="B153" s="60">
        <v>150</v>
      </c>
      <c r="C153" s="50">
        <v>14</v>
      </c>
      <c r="D153" s="60">
        <v>7.69</v>
      </c>
      <c r="E153" s="54">
        <v>0.7</v>
      </c>
      <c r="F153" s="54"/>
      <c r="G153" s="54"/>
      <c r="H153" s="54">
        <v>0.3</v>
      </c>
      <c r="I153" s="57">
        <f t="shared" si="5"/>
        <v>1.9220000000000028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90</v>
      </c>
      <c r="B154" s="50">
        <v>151.28</v>
      </c>
      <c r="C154" s="50">
        <v>15</v>
      </c>
      <c r="D154" s="50">
        <v>151.28</v>
      </c>
      <c r="E154" s="54">
        <v>0.8</v>
      </c>
      <c r="F154" s="54"/>
      <c r="G154" s="54"/>
      <c r="H154" s="54">
        <v>0.2</v>
      </c>
      <c r="I154" s="57">
        <f t="shared" si="5"/>
        <v>1.7939999999999998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Chêne pubescent</v>
      </c>
      <c r="D162" s="226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3" t="s">
        <v>185</v>
      </c>
      <c r="C164" s="256" t="s">
        <v>186</v>
      </c>
      <c r="D164" s="256"/>
      <c r="E164" s="257" t="s">
        <v>187</v>
      </c>
      <c r="F164" s="258"/>
      <c r="G164" s="258"/>
      <c r="H164" s="25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44</v>
      </c>
      <c r="B166" s="60">
        <v>190.75</v>
      </c>
      <c r="C166" s="60">
        <v>1</v>
      </c>
      <c r="D166" s="60">
        <v>74.010000000000005</v>
      </c>
      <c r="E166" s="51">
        <v>0.2</v>
      </c>
      <c r="F166" s="51"/>
      <c r="G166" s="51"/>
      <c r="H166" s="51">
        <v>0.8</v>
      </c>
      <c r="I166" s="49">
        <f>IFERROR(B166/A166,"")</f>
        <v>4.3352272727272725</v>
      </c>
      <c r="J166" s="23" t="s">
        <v>330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51</v>
      </c>
      <c r="B167" s="60">
        <v>179.02</v>
      </c>
      <c r="C167" s="60">
        <v>2</v>
      </c>
      <c r="D167" s="60">
        <v>46.13</v>
      </c>
      <c r="E167" s="51">
        <v>0.3</v>
      </c>
      <c r="F167" s="51"/>
      <c r="G167" s="51"/>
      <c r="H167" s="51">
        <v>0.7</v>
      </c>
      <c r="I167" s="49">
        <f t="shared" ref="I167:I185" si="6">IF(A167&lt;&gt;0,(B167-(B166-D166))/(A167-A166),"")</f>
        <v>8.8971428571428586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59</v>
      </c>
      <c r="B168" s="60">
        <v>199.19</v>
      </c>
      <c r="C168" s="60">
        <v>3</v>
      </c>
      <c r="D168" s="60">
        <v>48.96</v>
      </c>
      <c r="E168" s="51">
        <v>0.4</v>
      </c>
      <c r="F168" s="51"/>
      <c r="G168" s="51"/>
      <c r="H168" s="51">
        <v>0.6</v>
      </c>
      <c r="I168" s="49">
        <f t="shared" si="6"/>
        <v>8.2874999999999979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67</v>
      </c>
      <c r="B169" s="50">
        <v>211.64</v>
      </c>
      <c r="C169" s="50">
        <v>4</v>
      </c>
      <c r="D169" s="50">
        <v>40.630000000000003</v>
      </c>
      <c r="E169" s="51">
        <v>0.5</v>
      </c>
      <c r="F169" s="51"/>
      <c r="G169" s="51"/>
      <c r="H169" s="51">
        <v>0.5</v>
      </c>
      <c r="I169" s="49">
        <f t="shared" si="6"/>
        <v>7.6762499999999996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75</v>
      </c>
      <c r="B170" s="50">
        <v>229.61</v>
      </c>
      <c r="C170" s="50">
        <v>5</v>
      </c>
      <c r="D170" s="50">
        <v>39.54</v>
      </c>
      <c r="E170" s="51">
        <v>0.5</v>
      </c>
      <c r="F170" s="51"/>
      <c r="G170" s="51"/>
      <c r="H170" s="51">
        <v>0.5</v>
      </c>
      <c r="I170" s="49">
        <f t="shared" si="6"/>
        <v>7.3250000000000028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84</v>
      </c>
      <c r="B171" s="50">
        <v>253.71</v>
      </c>
      <c r="C171" s="50">
        <v>6</v>
      </c>
      <c r="D171" s="50">
        <v>44.89</v>
      </c>
      <c r="E171" s="51">
        <v>0.6</v>
      </c>
      <c r="F171" s="51"/>
      <c r="G171" s="51"/>
      <c r="H171" s="51">
        <v>0.4</v>
      </c>
      <c r="I171" s="49">
        <f t="shared" si="6"/>
        <v>7.0711111111111098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93</v>
      </c>
      <c r="B172" s="50">
        <v>269.52</v>
      </c>
      <c r="C172" s="50">
        <v>7</v>
      </c>
      <c r="D172" s="50">
        <v>38.57</v>
      </c>
      <c r="E172" s="51">
        <v>0.6</v>
      </c>
      <c r="F172" s="51"/>
      <c r="G172" s="51"/>
      <c r="H172" s="51">
        <v>0.4</v>
      </c>
      <c r="I172" s="49">
        <f t="shared" si="6"/>
        <v>6.7444444444444436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103</v>
      </c>
      <c r="B173" s="50">
        <v>298.3</v>
      </c>
      <c r="C173" s="50">
        <v>8</v>
      </c>
      <c r="D173" s="50">
        <v>50.51</v>
      </c>
      <c r="E173" s="54">
        <v>0.7</v>
      </c>
      <c r="F173" s="54"/>
      <c r="G173" s="54"/>
      <c r="H173" s="54">
        <v>0.3</v>
      </c>
      <c r="I173" s="49">
        <f t="shared" si="6"/>
        <v>6.7350000000000021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113</v>
      </c>
      <c r="B174" s="50">
        <v>312.99</v>
      </c>
      <c r="C174" s="50">
        <v>9</v>
      </c>
      <c r="D174" s="50">
        <v>40.479999999999997</v>
      </c>
      <c r="E174" s="54">
        <v>0.7</v>
      </c>
      <c r="F174" s="54"/>
      <c r="G174" s="54"/>
      <c r="H174" s="54">
        <v>0.3</v>
      </c>
      <c r="I174" s="49">
        <f t="shared" si="6"/>
        <v>6.5199999999999987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125</v>
      </c>
      <c r="B175" s="50">
        <v>354.04</v>
      </c>
      <c r="C175" s="50">
        <v>10</v>
      </c>
      <c r="D175" s="50">
        <v>61.5</v>
      </c>
      <c r="E175" s="54">
        <v>0.7</v>
      </c>
      <c r="F175" s="54"/>
      <c r="G175" s="54"/>
      <c r="H175" s="54">
        <v>0.3</v>
      </c>
      <c r="I175" s="49">
        <f t="shared" si="6"/>
        <v>6.7941666666666691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137</v>
      </c>
      <c r="B176" s="50">
        <v>373.1</v>
      </c>
      <c r="C176" s="50">
        <v>11</v>
      </c>
      <c r="D176" s="50">
        <v>65.53</v>
      </c>
      <c r="E176" s="54">
        <v>0.8</v>
      </c>
      <c r="F176" s="54"/>
      <c r="G176" s="54"/>
      <c r="H176" s="54">
        <v>0.2</v>
      </c>
      <c r="I176" s="49">
        <f t="shared" si="6"/>
        <v>6.7133333333333338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149</v>
      </c>
      <c r="B177" s="50">
        <v>385.84</v>
      </c>
      <c r="C177" s="50">
        <v>12</v>
      </c>
      <c r="D177" s="50">
        <v>153.56</v>
      </c>
      <c r="E177" s="54">
        <v>0.8</v>
      </c>
      <c r="F177" s="54"/>
      <c r="G177" s="54"/>
      <c r="H177" s="54">
        <v>0.2</v>
      </c>
      <c r="I177" s="49">
        <f t="shared" si="6"/>
        <v>6.5224999999999937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153</v>
      </c>
      <c r="B178" s="50">
        <v>247.84</v>
      </c>
      <c r="C178" s="50">
        <v>13</v>
      </c>
      <c r="D178" s="50">
        <v>89.29</v>
      </c>
      <c r="E178" s="54">
        <v>0.8</v>
      </c>
      <c r="F178" s="54"/>
      <c r="G178" s="54"/>
      <c r="H178" s="54">
        <v>0.2</v>
      </c>
      <c r="I178" s="49">
        <f t="shared" si="6"/>
        <v>3.8900000000000077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157</v>
      </c>
      <c r="B179" s="50">
        <v>167.77</v>
      </c>
      <c r="C179" s="50">
        <v>14</v>
      </c>
      <c r="D179" s="50">
        <v>57.95</v>
      </c>
      <c r="E179" s="54">
        <v>0.8</v>
      </c>
      <c r="F179" s="54"/>
      <c r="G179" s="54"/>
      <c r="H179" s="54">
        <v>0.2</v>
      </c>
      <c r="I179" s="49">
        <f t="shared" si="6"/>
        <v>2.3049999999999997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161</v>
      </c>
      <c r="B180" s="50">
        <v>115.43</v>
      </c>
      <c r="C180" s="50">
        <v>15</v>
      </c>
      <c r="D180" s="50">
        <v>115.43</v>
      </c>
      <c r="E180" s="54">
        <v>0.8</v>
      </c>
      <c r="F180" s="54"/>
      <c r="G180" s="54"/>
      <c r="H180" s="54">
        <v>0.2</v>
      </c>
      <c r="I180" s="49">
        <f t="shared" si="6"/>
        <v>1.4024999999999999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4"/>
      <c r="F181" s="54"/>
      <c r="G181" s="54"/>
      <c r="H181" s="54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4"/>
      <c r="F182" s="54"/>
      <c r="G182" s="54"/>
      <c r="H182" s="54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Robinier faux-acacia</v>
      </c>
      <c r="D188" s="226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3" t="s">
        <v>185</v>
      </c>
      <c r="C190" s="256" t="s">
        <v>186</v>
      </c>
      <c r="D190" s="256"/>
      <c r="E190" s="257" t="s">
        <v>187</v>
      </c>
      <c r="F190" s="258"/>
      <c r="G190" s="258"/>
      <c r="H190" s="25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5</v>
      </c>
      <c r="B192" s="60">
        <v>21.79</v>
      </c>
      <c r="C192" s="60">
        <v>1</v>
      </c>
      <c r="D192" s="60">
        <v>3.85</v>
      </c>
      <c r="E192" s="51">
        <v>0</v>
      </c>
      <c r="F192" s="51"/>
      <c r="G192" s="51"/>
      <c r="H192" s="51">
        <v>1</v>
      </c>
      <c r="I192" s="49">
        <f>IFERROR(B192/A192,"")</f>
        <v>4.3579999999999997</v>
      </c>
      <c r="J192" s="23" t="s">
        <v>331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10</v>
      </c>
      <c r="B193" s="60">
        <v>63.46</v>
      </c>
      <c r="C193" s="60">
        <v>2</v>
      </c>
      <c r="D193" s="60">
        <v>17.95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9.104000000000001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15</v>
      </c>
      <c r="B194" s="60">
        <v>89.74</v>
      </c>
      <c r="C194" s="60">
        <v>3</v>
      </c>
      <c r="D194" s="60">
        <v>14.74</v>
      </c>
      <c r="E194" s="51">
        <v>0</v>
      </c>
      <c r="F194" s="51"/>
      <c r="G194" s="51"/>
      <c r="H194" s="51">
        <v>1</v>
      </c>
      <c r="I194" s="49">
        <f t="shared" si="7"/>
        <v>8.8459999999999983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20</v>
      </c>
      <c r="B195" s="60">
        <v>115.38</v>
      </c>
      <c r="C195" s="60">
        <v>4</v>
      </c>
      <c r="D195" s="60">
        <v>11.54</v>
      </c>
      <c r="E195" s="51">
        <v>0</v>
      </c>
      <c r="F195" s="51"/>
      <c r="G195" s="51"/>
      <c r="H195" s="51">
        <v>1</v>
      </c>
      <c r="I195" s="49">
        <f t="shared" si="7"/>
        <v>8.0759999999999987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25</v>
      </c>
      <c r="B196" s="60">
        <v>137.18</v>
      </c>
      <c r="C196" s="60">
        <v>5</v>
      </c>
      <c r="D196" s="60">
        <v>8.9700000000000006</v>
      </c>
      <c r="E196" s="51">
        <v>0</v>
      </c>
      <c r="F196" s="51"/>
      <c r="G196" s="51"/>
      <c r="H196" s="51">
        <v>1</v>
      </c>
      <c r="I196" s="49">
        <f t="shared" si="7"/>
        <v>6.668000000000001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30</v>
      </c>
      <c r="B197" s="60">
        <v>155.77000000000001</v>
      </c>
      <c r="C197" s="60">
        <v>6</v>
      </c>
      <c r="D197" s="60">
        <v>7.05</v>
      </c>
      <c r="E197" s="51">
        <v>0.4</v>
      </c>
      <c r="F197" s="51"/>
      <c r="G197" s="51"/>
      <c r="H197" s="51">
        <v>0.6</v>
      </c>
      <c r="I197" s="49">
        <f t="shared" si="7"/>
        <v>5.5120000000000005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35</v>
      </c>
      <c r="B198" s="60">
        <v>171.15</v>
      </c>
      <c r="C198" s="60">
        <v>7</v>
      </c>
      <c r="D198" s="60">
        <v>5.77</v>
      </c>
      <c r="E198" s="51">
        <v>0.6</v>
      </c>
      <c r="F198" s="51"/>
      <c r="G198" s="51"/>
      <c r="H198" s="51">
        <v>0.4</v>
      </c>
      <c r="I198" s="49">
        <f t="shared" si="7"/>
        <v>4.4860000000000015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40</v>
      </c>
      <c r="B199" s="50">
        <v>185.26</v>
      </c>
      <c r="C199" s="50">
        <v>8</v>
      </c>
      <c r="D199" s="50">
        <v>4.49</v>
      </c>
      <c r="E199" s="51">
        <v>0.7</v>
      </c>
      <c r="F199" s="51"/>
      <c r="G199" s="51"/>
      <c r="H199" s="51">
        <v>0.3</v>
      </c>
      <c r="I199" s="49">
        <f t="shared" si="7"/>
        <v>3.9759999999999991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45</v>
      </c>
      <c r="B200" s="50">
        <v>200</v>
      </c>
      <c r="C200" s="50">
        <v>9</v>
      </c>
      <c r="D200" s="50">
        <v>200</v>
      </c>
      <c r="E200" s="51">
        <v>0.8</v>
      </c>
      <c r="F200" s="51"/>
      <c r="G200" s="51"/>
      <c r="H200" s="51">
        <v>0.2</v>
      </c>
      <c r="I200" s="49">
        <f t="shared" si="7"/>
        <v>3.8460000000000036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Tilleul</v>
      </c>
      <c r="D214" s="226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3" t="s">
        <v>185</v>
      </c>
      <c r="C216" s="256" t="s">
        <v>186</v>
      </c>
      <c r="D216" s="256"/>
      <c r="E216" s="257" t="s">
        <v>187</v>
      </c>
      <c r="F216" s="258"/>
      <c r="G216" s="258"/>
      <c r="H216" s="25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44</v>
      </c>
      <c r="B218" s="60">
        <v>190.75</v>
      </c>
      <c r="C218" s="60">
        <v>1</v>
      </c>
      <c r="D218" s="60">
        <v>74.010000000000005</v>
      </c>
      <c r="E218" s="51">
        <v>0.2</v>
      </c>
      <c r="F218" s="51"/>
      <c r="G218" s="51"/>
      <c r="H218" s="51">
        <v>0.8</v>
      </c>
      <c r="I218" s="53">
        <f>IFERROR(B218/A218,"")</f>
        <v>4.3352272727272725</v>
      </c>
      <c r="J218" s="23" t="s">
        <v>332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51</v>
      </c>
      <c r="B219" s="60">
        <v>179.02</v>
      </c>
      <c r="C219" s="60">
        <v>2</v>
      </c>
      <c r="D219" s="60">
        <v>46.13</v>
      </c>
      <c r="E219" s="51">
        <v>0.3</v>
      </c>
      <c r="F219" s="51"/>
      <c r="G219" s="51"/>
      <c r="H219" s="51">
        <v>0.7</v>
      </c>
      <c r="I219" s="53">
        <f t="shared" ref="I219:I231" si="8">IF(A219&lt;&gt;0,(B219-(B218-D218))/(A219-A218),"")</f>
        <v>8.8971428571428586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59</v>
      </c>
      <c r="B220" s="60">
        <v>199.19</v>
      </c>
      <c r="C220" s="60">
        <v>3</v>
      </c>
      <c r="D220" s="60">
        <v>48.96</v>
      </c>
      <c r="E220" s="51">
        <v>0.4</v>
      </c>
      <c r="F220" s="51"/>
      <c r="G220" s="51"/>
      <c r="H220" s="51">
        <v>0.6</v>
      </c>
      <c r="I220" s="53">
        <f t="shared" si="8"/>
        <v>8.2874999999999979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0">
        <v>67</v>
      </c>
      <c r="B221" s="50">
        <v>211.64</v>
      </c>
      <c r="C221" s="50">
        <v>4</v>
      </c>
      <c r="D221" s="50">
        <v>40.630000000000003</v>
      </c>
      <c r="E221" s="51">
        <v>0.5</v>
      </c>
      <c r="F221" s="51"/>
      <c r="G221" s="51"/>
      <c r="H221" s="51">
        <v>0.5</v>
      </c>
      <c r="I221" s="53">
        <f t="shared" si="8"/>
        <v>7.6762499999999996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0">
        <v>75</v>
      </c>
      <c r="B222" s="50">
        <v>229.61</v>
      </c>
      <c r="C222" s="50">
        <v>5</v>
      </c>
      <c r="D222" s="50">
        <v>39.54</v>
      </c>
      <c r="E222" s="51">
        <v>0.5</v>
      </c>
      <c r="F222" s="51"/>
      <c r="G222" s="51"/>
      <c r="H222" s="51">
        <v>0.5</v>
      </c>
      <c r="I222" s="53">
        <f t="shared" si="8"/>
        <v>7.3250000000000028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0">
        <v>84</v>
      </c>
      <c r="B223" s="50">
        <v>253.71</v>
      </c>
      <c r="C223" s="50">
        <v>6</v>
      </c>
      <c r="D223" s="50">
        <v>44.89</v>
      </c>
      <c r="E223" s="51">
        <v>0.6</v>
      </c>
      <c r="F223" s="51"/>
      <c r="G223" s="51"/>
      <c r="H223" s="51">
        <v>0.4</v>
      </c>
      <c r="I223" s="53">
        <f t="shared" si="8"/>
        <v>7.0711111111111098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0">
        <v>93</v>
      </c>
      <c r="B224" s="50">
        <v>269.52</v>
      </c>
      <c r="C224" s="50">
        <v>7</v>
      </c>
      <c r="D224" s="50">
        <v>38.57</v>
      </c>
      <c r="E224" s="51">
        <v>0.6</v>
      </c>
      <c r="F224" s="51"/>
      <c r="G224" s="51"/>
      <c r="H224" s="51">
        <v>0.4</v>
      </c>
      <c r="I224" s="53">
        <f t="shared" si="8"/>
        <v>6.7444444444444436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0">
        <v>103</v>
      </c>
      <c r="B225" s="50">
        <v>298.3</v>
      </c>
      <c r="C225" s="50">
        <v>8</v>
      </c>
      <c r="D225" s="50">
        <v>50.51</v>
      </c>
      <c r="E225" s="54">
        <v>0.7</v>
      </c>
      <c r="F225" s="54"/>
      <c r="G225" s="54"/>
      <c r="H225" s="54">
        <v>0.3</v>
      </c>
      <c r="I225" s="53">
        <f t="shared" si="8"/>
        <v>6.7350000000000021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0">
        <v>113</v>
      </c>
      <c r="B226" s="50">
        <v>312.99</v>
      </c>
      <c r="C226" s="50">
        <v>9</v>
      </c>
      <c r="D226" s="50">
        <v>40.479999999999997</v>
      </c>
      <c r="E226" s="54">
        <v>0.7</v>
      </c>
      <c r="F226" s="54"/>
      <c r="G226" s="54"/>
      <c r="H226" s="54">
        <v>0.3</v>
      </c>
      <c r="I226" s="53">
        <f t="shared" si="8"/>
        <v>6.5199999999999987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0">
        <v>125</v>
      </c>
      <c r="B227" s="50">
        <v>354.04</v>
      </c>
      <c r="C227" s="50">
        <v>10</v>
      </c>
      <c r="D227" s="50">
        <v>61.5</v>
      </c>
      <c r="E227" s="54">
        <v>0.7</v>
      </c>
      <c r="F227" s="54"/>
      <c r="G227" s="54"/>
      <c r="H227" s="54">
        <v>0.3</v>
      </c>
      <c r="I227" s="53">
        <f t="shared" si="8"/>
        <v>6.7941666666666691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0">
        <v>137</v>
      </c>
      <c r="B228" s="50">
        <v>373.1</v>
      </c>
      <c r="C228" s="50">
        <v>11</v>
      </c>
      <c r="D228" s="50">
        <v>65.53</v>
      </c>
      <c r="E228" s="54">
        <v>0.8</v>
      </c>
      <c r="F228" s="54"/>
      <c r="G228" s="54"/>
      <c r="H228" s="54">
        <v>0.2</v>
      </c>
      <c r="I228" s="53">
        <f t="shared" si="8"/>
        <v>6.7133333333333338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0">
        <v>149</v>
      </c>
      <c r="B229" s="50">
        <v>385.84</v>
      </c>
      <c r="C229" s="50">
        <v>12</v>
      </c>
      <c r="D229" s="50">
        <v>153.56</v>
      </c>
      <c r="E229" s="54">
        <v>0.8</v>
      </c>
      <c r="F229" s="54"/>
      <c r="G229" s="54"/>
      <c r="H229" s="54">
        <v>0.2</v>
      </c>
      <c r="I229" s="53">
        <f t="shared" si="8"/>
        <v>6.5224999999999937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0">
        <v>153</v>
      </c>
      <c r="B230" s="50">
        <v>247.84</v>
      </c>
      <c r="C230" s="50">
        <v>13</v>
      </c>
      <c r="D230" s="50">
        <v>89.29</v>
      </c>
      <c r="E230" s="54">
        <v>0.8</v>
      </c>
      <c r="F230" s="54"/>
      <c r="G230" s="54"/>
      <c r="H230" s="54">
        <v>0.2</v>
      </c>
      <c r="I230" s="53">
        <f t="shared" si="8"/>
        <v>3.8900000000000077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50">
        <v>157</v>
      </c>
      <c r="B231" s="50">
        <v>167.77</v>
      </c>
      <c r="C231" s="50">
        <v>14</v>
      </c>
      <c r="D231" s="50">
        <v>57.95</v>
      </c>
      <c r="E231" s="54">
        <v>0.8</v>
      </c>
      <c r="F231" s="54"/>
      <c r="G231" s="54"/>
      <c r="H231" s="54">
        <v>0.2</v>
      </c>
      <c r="I231" s="53">
        <f t="shared" si="8"/>
        <v>2.3049999999999997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>
        <v>161</v>
      </c>
      <c r="B232" s="50">
        <v>115.43</v>
      </c>
      <c r="C232" s="50">
        <v>15</v>
      </c>
      <c r="D232" s="50">
        <v>115.43</v>
      </c>
      <c r="E232" s="54">
        <v>0.8</v>
      </c>
      <c r="F232" s="54"/>
      <c r="G232" s="54"/>
      <c r="H232" s="54">
        <v>0.2</v>
      </c>
      <c r="I232" s="53">
        <f t="shared" ref="I232:I237" si="9">IF(A232&lt;&gt;0,(B232-(B231-D231))/(A232-A231),"")</f>
        <v>1.4024999999999999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Alisier torminal</v>
      </c>
      <c r="D240" s="226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3" t="s">
        <v>185</v>
      </c>
      <c r="C242" s="256" t="s">
        <v>186</v>
      </c>
      <c r="D242" s="256"/>
      <c r="E242" s="257" t="s">
        <v>187</v>
      </c>
      <c r="F242" s="258"/>
      <c r="G242" s="258"/>
      <c r="H242" s="25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44</v>
      </c>
      <c r="B244" s="60">
        <v>190.75</v>
      </c>
      <c r="C244" s="60">
        <v>1</v>
      </c>
      <c r="D244" s="60">
        <v>74.010000000000005</v>
      </c>
      <c r="E244" s="51">
        <v>0.2</v>
      </c>
      <c r="F244" s="51"/>
      <c r="G244" s="51"/>
      <c r="H244" s="51">
        <v>0.8</v>
      </c>
      <c r="I244" s="53">
        <f>IFERROR(B244/A244,"")</f>
        <v>4.3352272727272725</v>
      </c>
      <c r="J244" s="23" t="s">
        <v>332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51</v>
      </c>
      <c r="B245" s="60">
        <v>179.02</v>
      </c>
      <c r="C245" s="60">
        <v>2</v>
      </c>
      <c r="D245" s="60">
        <v>46.13</v>
      </c>
      <c r="E245" s="51">
        <v>0.3</v>
      </c>
      <c r="F245" s="51"/>
      <c r="G245" s="51"/>
      <c r="H245" s="51">
        <v>0.7</v>
      </c>
      <c r="I245" s="53">
        <f>IF(A245&lt;&gt;0,(B245-(B244-D244))/(A245-A244),"")</f>
        <v>8.8971428571428586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59</v>
      </c>
      <c r="B246" s="60">
        <v>199.19</v>
      </c>
      <c r="C246" s="60">
        <v>3</v>
      </c>
      <c r="D246" s="60">
        <v>48.96</v>
      </c>
      <c r="E246" s="51">
        <v>0.4</v>
      </c>
      <c r="F246" s="51"/>
      <c r="G246" s="51"/>
      <c r="H246" s="51">
        <v>0.6</v>
      </c>
      <c r="I246" s="53">
        <f>IF(A246&lt;&gt;0,(B246-(B245-D245))/(A246-A245),"")</f>
        <v>8.2874999999999979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67</v>
      </c>
      <c r="B247" s="50">
        <v>211.64</v>
      </c>
      <c r="C247" s="50">
        <v>4</v>
      </c>
      <c r="D247" s="50">
        <v>40.630000000000003</v>
      </c>
      <c r="E247" s="51">
        <v>0.5</v>
      </c>
      <c r="F247" s="51"/>
      <c r="G247" s="51"/>
      <c r="H247" s="51">
        <v>0.5</v>
      </c>
      <c r="I247" s="53">
        <f t="shared" ref="I247:I263" si="10">IF(A247&lt;&gt;0,(B247-(B246-D246))/(A247-A246),"")</f>
        <v>7.6762499999999996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75</v>
      </c>
      <c r="B248" s="50">
        <v>229.61</v>
      </c>
      <c r="C248" s="50">
        <v>5</v>
      </c>
      <c r="D248" s="50">
        <v>39.54</v>
      </c>
      <c r="E248" s="51">
        <v>0.5</v>
      </c>
      <c r="F248" s="51"/>
      <c r="G248" s="51"/>
      <c r="H248" s="51">
        <v>0.5</v>
      </c>
      <c r="I248" s="53">
        <f t="shared" si="10"/>
        <v>7.3250000000000028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84</v>
      </c>
      <c r="B249" s="50">
        <v>253.71</v>
      </c>
      <c r="C249" s="50">
        <v>6</v>
      </c>
      <c r="D249" s="50">
        <v>44.89</v>
      </c>
      <c r="E249" s="51">
        <v>0.6</v>
      </c>
      <c r="F249" s="51"/>
      <c r="G249" s="51"/>
      <c r="H249" s="51">
        <v>0.4</v>
      </c>
      <c r="I249" s="53">
        <f t="shared" si="10"/>
        <v>7.0711111111111098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93</v>
      </c>
      <c r="B250" s="50">
        <v>269.52</v>
      </c>
      <c r="C250" s="50">
        <v>7</v>
      </c>
      <c r="D250" s="50">
        <v>38.57</v>
      </c>
      <c r="E250" s="51">
        <v>0.6</v>
      </c>
      <c r="F250" s="51"/>
      <c r="G250" s="51"/>
      <c r="H250" s="51">
        <v>0.4</v>
      </c>
      <c r="I250" s="53">
        <f t="shared" si="10"/>
        <v>6.7444444444444436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0">
        <v>103</v>
      </c>
      <c r="B251" s="50">
        <v>298.3</v>
      </c>
      <c r="C251" s="50">
        <v>8</v>
      </c>
      <c r="D251" s="50">
        <v>50.51</v>
      </c>
      <c r="E251" s="54">
        <v>0.7</v>
      </c>
      <c r="F251" s="54"/>
      <c r="G251" s="54"/>
      <c r="H251" s="54">
        <v>0.3</v>
      </c>
      <c r="I251" s="53">
        <f t="shared" si="10"/>
        <v>6.7350000000000021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0">
        <v>113</v>
      </c>
      <c r="B252" s="50">
        <v>312.99</v>
      </c>
      <c r="C252" s="50">
        <v>9</v>
      </c>
      <c r="D252" s="50">
        <v>40.479999999999997</v>
      </c>
      <c r="E252" s="54">
        <v>0.7</v>
      </c>
      <c r="F252" s="54"/>
      <c r="G252" s="54"/>
      <c r="H252" s="54">
        <v>0.3</v>
      </c>
      <c r="I252" s="53">
        <f t="shared" si="10"/>
        <v>6.5199999999999987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0">
        <v>125</v>
      </c>
      <c r="B253" s="50">
        <v>354.04</v>
      </c>
      <c r="C253" s="50">
        <v>10</v>
      </c>
      <c r="D253" s="50">
        <v>61.5</v>
      </c>
      <c r="E253" s="54">
        <v>0.7</v>
      </c>
      <c r="F253" s="54"/>
      <c r="G253" s="54"/>
      <c r="H253" s="54">
        <v>0.3</v>
      </c>
      <c r="I253" s="53">
        <f t="shared" si="10"/>
        <v>6.7941666666666691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0">
        <v>137</v>
      </c>
      <c r="B254" s="50">
        <v>373.1</v>
      </c>
      <c r="C254" s="50">
        <v>11</v>
      </c>
      <c r="D254" s="50">
        <v>65.53</v>
      </c>
      <c r="E254" s="54">
        <v>0.8</v>
      </c>
      <c r="F254" s="54"/>
      <c r="G254" s="54"/>
      <c r="H254" s="54">
        <v>0.2</v>
      </c>
      <c r="I254" s="53">
        <f t="shared" si="10"/>
        <v>6.7133333333333338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0">
        <v>149</v>
      </c>
      <c r="B255" s="50">
        <v>385.84</v>
      </c>
      <c r="C255" s="50">
        <v>12</v>
      </c>
      <c r="D255" s="50">
        <v>153.56</v>
      </c>
      <c r="E255" s="54">
        <v>0.8</v>
      </c>
      <c r="F255" s="54"/>
      <c r="G255" s="54"/>
      <c r="H255" s="54">
        <v>0.2</v>
      </c>
      <c r="I255" s="53">
        <f t="shared" si="10"/>
        <v>6.5224999999999937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0">
        <v>153</v>
      </c>
      <c r="B256" s="50">
        <v>247.84</v>
      </c>
      <c r="C256" s="50">
        <v>13</v>
      </c>
      <c r="D256" s="50">
        <v>89.29</v>
      </c>
      <c r="E256" s="54">
        <v>0.8</v>
      </c>
      <c r="F256" s="54"/>
      <c r="G256" s="54"/>
      <c r="H256" s="54">
        <v>0.2</v>
      </c>
      <c r="I256" s="53">
        <f t="shared" si="10"/>
        <v>3.8900000000000077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50">
        <v>157</v>
      </c>
      <c r="B257" s="50">
        <v>167.77</v>
      </c>
      <c r="C257" s="50">
        <v>14</v>
      </c>
      <c r="D257" s="50">
        <v>57.95</v>
      </c>
      <c r="E257" s="54">
        <v>0.8</v>
      </c>
      <c r="F257" s="54"/>
      <c r="G257" s="54"/>
      <c r="H257" s="54">
        <v>0.2</v>
      </c>
      <c r="I257" s="53">
        <f t="shared" si="10"/>
        <v>2.3049999999999997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>
        <v>161</v>
      </c>
      <c r="B258" s="50">
        <v>115.43</v>
      </c>
      <c r="C258" s="50">
        <v>15</v>
      </c>
      <c r="D258" s="50">
        <v>115.43</v>
      </c>
      <c r="E258" s="54">
        <v>0.8</v>
      </c>
      <c r="F258" s="54"/>
      <c r="G258" s="54"/>
      <c r="H258" s="54">
        <v>0.2</v>
      </c>
      <c r="I258" s="53">
        <f t="shared" si="10"/>
        <v>1.4024999999999999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>Erable champêtre</v>
      </c>
      <c r="D266" s="226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3" t="s">
        <v>185</v>
      </c>
      <c r="C268" s="256" t="s">
        <v>186</v>
      </c>
      <c r="D268" s="256"/>
      <c r="E268" s="257" t="s">
        <v>187</v>
      </c>
      <c r="F268" s="258"/>
      <c r="G268" s="258"/>
      <c r="H268" s="25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>
        <v>15</v>
      </c>
      <c r="B270" s="60">
        <v>37</v>
      </c>
      <c r="C270" s="50">
        <v>1</v>
      </c>
      <c r="D270" s="60">
        <v>15</v>
      </c>
      <c r="E270" s="51">
        <v>0</v>
      </c>
      <c r="F270" s="51"/>
      <c r="G270" s="51"/>
      <c r="H270" s="51">
        <v>1</v>
      </c>
      <c r="I270" s="53">
        <f>IFERROR(B270/A270,"")</f>
        <v>2.4666666666666668</v>
      </c>
      <c r="J270" s="23" t="s">
        <v>329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>
        <v>20</v>
      </c>
      <c r="B271" s="60">
        <v>80</v>
      </c>
      <c r="C271" s="50">
        <v>2</v>
      </c>
      <c r="D271" s="60">
        <v>28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11.6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>
        <v>25</v>
      </c>
      <c r="B272" s="60">
        <v>115</v>
      </c>
      <c r="C272" s="50">
        <v>3</v>
      </c>
      <c r="D272" s="60">
        <v>28</v>
      </c>
      <c r="E272" s="51">
        <v>0</v>
      </c>
      <c r="F272" s="51"/>
      <c r="G272" s="51"/>
      <c r="H272" s="51">
        <v>1</v>
      </c>
      <c r="I272" s="53">
        <f t="shared" ref="I272:I289" si="11">IF(A272&lt;&gt;0,(B272-(B271-D271))/(A272-A271),"")</f>
        <v>12.6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>
        <v>30</v>
      </c>
      <c r="B273" s="60">
        <v>146</v>
      </c>
      <c r="C273" s="50">
        <v>4</v>
      </c>
      <c r="D273" s="60">
        <v>28</v>
      </c>
      <c r="E273" s="51">
        <v>0.2</v>
      </c>
      <c r="F273" s="51"/>
      <c r="G273" s="51"/>
      <c r="H273" s="51">
        <v>0.8</v>
      </c>
      <c r="I273" s="53">
        <f t="shared" si="11"/>
        <v>11.8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>
        <v>35</v>
      </c>
      <c r="B274" s="60">
        <v>172</v>
      </c>
      <c r="C274" s="50">
        <v>5</v>
      </c>
      <c r="D274" s="60">
        <v>28</v>
      </c>
      <c r="E274" s="51">
        <v>0.3</v>
      </c>
      <c r="F274" s="51"/>
      <c r="G274" s="51"/>
      <c r="H274" s="51">
        <v>0.7</v>
      </c>
      <c r="I274" s="53">
        <f t="shared" si="11"/>
        <v>10.8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>
        <v>40</v>
      </c>
      <c r="B275" s="60">
        <v>192</v>
      </c>
      <c r="C275" s="50">
        <v>6</v>
      </c>
      <c r="D275" s="60">
        <v>28</v>
      </c>
      <c r="E275" s="51">
        <v>0.3</v>
      </c>
      <c r="F275" s="51"/>
      <c r="G275" s="51"/>
      <c r="H275" s="51">
        <v>0.7</v>
      </c>
      <c r="I275" s="53">
        <f t="shared" si="11"/>
        <v>9.6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>
        <v>45</v>
      </c>
      <c r="B276" s="60">
        <v>205</v>
      </c>
      <c r="C276" s="50">
        <v>7</v>
      </c>
      <c r="D276" s="60">
        <v>22</v>
      </c>
      <c r="E276" s="51">
        <v>0.4</v>
      </c>
      <c r="F276" s="51"/>
      <c r="G276" s="51"/>
      <c r="H276" s="51">
        <v>0.6</v>
      </c>
      <c r="I276" s="53">
        <f t="shared" si="11"/>
        <v>8.1999999999999993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>
        <v>50</v>
      </c>
      <c r="B277" s="55">
        <v>219</v>
      </c>
      <c r="C277" s="55">
        <v>8</v>
      </c>
      <c r="D277" s="55">
        <v>17</v>
      </c>
      <c r="E277" s="51">
        <v>0.4</v>
      </c>
      <c r="F277" s="51"/>
      <c r="G277" s="51"/>
      <c r="H277" s="51">
        <v>0.6</v>
      </c>
      <c r="I277" s="53">
        <f t="shared" si="11"/>
        <v>7.2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>
        <v>55</v>
      </c>
      <c r="B278" s="55">
        <v>232</v>
      </c>
      <c r="C278" s="55">
        <v>9</v>
      </c>
      <c r="D278" s="55">
        <v>13</v>
      </c>
      <c r="E278" s="51">
        <v>0.5</v>
      </c>
      <c r="F278" s="51"/>
      <c r="G278" s="51"/>
      <c r="H278" s="51">
        <v>0.5</v>
      </c>
      <c r="I278" s="53">
        <f t="shared" si="11"/>
        <v>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>
        <v>60</v>
      </c>
      <c r="B279" s="55">
        <v>245</v>
      </c>
      <c r="C279" s="55">
        <v>10</v>
      </c>
      <c r="D279" s="55">
        <v>12</v>
      </c>
      <c r="E279" s="51">
        <v>0.5</v>
      </c>
      <c r="F279" s="51"/>
      <c r="G279" s="51"/>
      <c r="H279" s="51">
        <v>0.5</v>
      </c>
      <c r="I279" s="53">
        <f t="shared" si="11"/>
        <v>5.2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>
        <v>65</v>
      </c>
      <c r="B280" s="55">
        <v>255</v>
      </c>
      <c r="C280" s="55">
        <v>11</v>
      </c>
      <c r="D280" s="55">
        <v>11</v>
      </c>
      <c r="E280" s="51">
        <v>0.6</v>
      </c>
      <c r="F280" s="51"/>
      <c r="G280" s="51"/>
      <c r="H280" s="51">
        <v>0.4</v>
      </c>
      <c r="I280" s="53">
        <f t="shared" si="11"/>
        <v>4.4000000000000004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>
        <v>70</v>
      </c>
      <c r="B281" s="55">
        <v>263</v>
      </c>
      <c r="C281" s="55">
        <v>12</v>
      </c>
      <c r="D281" s="55">
        <v>10</v>
      </c>
      <c r="E281" s="51">
        <v>0.6</v>
      </c>
      <c r="F281" s="51"/>
      <c r="G281" s="51"/>
      <c r="H281" s="51">
        <v>0.4</v>
      </c>
      <c r="I281" s="53">
        <f t="shared" si="11"/>
        <v>3.8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>
        <v>75</v>
      </c>
      <c r="B282" s="55">
        <v>270</v>
      </c>
      <c r="C282" s="55">
        <v>13</v>
      </c>
      <c r="D282" s="55">
        <v>9</v>
      </c>
      <c r="E282" s="54">
        <v>0.7</v>
      </c>
      <c r="F282" s="54"/>
      <c r="G282" s="54"/>
      <c r="H282" s="54">
        <v>0.3</v>
      </c>
      <c r="I282" s="53">
        <f t="shared" si="11"/>
        <v>3.4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6">
        <v>80</v>
      </c>
      <c r="B283" s="60">
        <v>275</v>
      </c>
      <c r="C283" s="86">
        <v>14</v>
      </c>
      <c r="D283" s="60">
        <v>275</v>
      </c>
      <c r="E283" s="54">
        <v>0.8</v>
      </c>
      <c r="F283" s="54"/>
      <c r="G283" s="54"/>
      <c r="H283" s="54">
        <v>0.2</v>
      </c>
      <c r="I283" s="53">
        <f t="shared" si="11"/>
        <v>2.8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4"/>
      <c r="F284" s="54"/>
      <c r="G284" s="54"/>
      <c r="H284" s="54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4"/>
      <c r="C6" s="214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7"/>
      <c r="B7" s="26" t="s">
        <v>295</v>
      </c>
      <c r="C7" s="98" t="s">
        <v>214</v>
      </c>
      <c r="D7" s="212"/>
      <c r="E7" s="99"/>
      <c r="F7" s="26" t="s">
        <v>295</v>
      </c>
      <c r="G7" s="98" t="s">
        <v>215</v>
      </c>
      <c r="H7" s="213"/>
      <c r="I7" s="213"/>
      <c r="J7" s="213"/>
      <c r="K7" s="213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2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3"/>
      <c r="B13" s="105"/>
      <c r="C13" s="96" t="s">
        <v>273</v>
      </c>
      <c r="D13" s="213"/>
      <c r="E13" s="97"/>
      <c r="F13" s="105"/>
      <c r="G13" s="96" t="s">
        <v>301</v>
      </c>
      <c r="H13" s="213"/>
      <c r="I13" s="213"/>
      <c r="J13" s="213"/>
      <c r="K13" s="213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2">
      <c r="A14" s="213"/>
      <c r="B14" s="105"/>
      <c r="C14" s="96" t="s">
        <v>309</v>
      </c>
      <c r="D14" s="213"/>
      <c r="E14" s="97"/>
      <c r="F14" s="105"/>
      <c r="G14" s="96" t="s">
        <v>294</v>
      </c>
      <c r="H14" s="213"/>
      <c r="I14" s="213"/>
      <c r="J14" s="213"/>
      <c r="K14" s="213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Cèdre de l'Atlas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Pin noir d'Autriche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Pin laricio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>Séquoia géant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>Chêne chevelu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>Chêne pubescent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>Robinier faux-acacia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>Tilleul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>Alisier torminal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>Erable champêtre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65" thickBot="1" x14ac:dyDescent="0.25">
      <c r="A2" s="69" t="s">
        <v>178</v>
      </c>
      <c r="B2" s="70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4" t="s">
        <v>299</v>
      </c>
      <c r="I2" s="66" t="s">
        <v>298</v>
      </c>
      <c r="J2" s="67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7" t="s">
        <v>298</v>
      </c>
      <c r="AE2" s="67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6" t="s">
        <v>298</v>
      </c>
      <c r="AZ2" s="67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6" t="s">
        <v>298</v>
      </c>
      <c r="BU2" s="67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6" t="s">
        <v>298</v>
      </c>
      <c r="CP2" s="67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6" t="s">
        <v>298</v>
      </c>
      <c r="DK2" s="67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6" t="s">
        <v>298</v>
      </c>
      <c r="EF2" s="67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6" t="s">
        <v>298</v>
      </c>
      <c r="FA2" s="67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6" t="s">
        <v>298</v>
      </c>
      <c r="FV2" s="67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6" t="s">
        <v>298</v>
      </c>
      <c r="GQ2" s="67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1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5">
        <f>(B3+E3+F3)*44/12+(C3+D3)*0.475*44/12</f>
        <v>183.33333333333334</v>
      </c>
      <c r="I3" s="6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387.50901594883317</v>
      </c>
      <c r="T3" s="59">
        <f>IF('Données projet'!E9&gt;30,$R$33-$H$33,LOOKUP('Données projet'!$E$9,$A$3:$A$203,R3:R203)-LOOKUP('Données projet'!$E$9,$A$3:$A$203,$H$3:$H$203))</f>
        <v>361.3623790401972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373.47758082856359</v>
      </c>
      <c r="AO3" s="59">
        <f>IF('Données projet'!E10&gt;30,$AM$33-$H$33,LOOKUP('Données projet'!$E$10,$A$3:$A$203,AM3:AM203)-LOOKUP('Données projet'!$E$10,$A$3:$A$203,$H$3:$H$203))</f>
        <v>277.24895424120166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460.88622650237176</v>
      </c>
      <c r="BJ3" s="59">
        <f>IF('Données projet'!E11&gt;30,$BH$33-$H$33,LOOKUP('Données projet'!$E$11,$A$3:$A$203,BH3:BH203)-LOOKUP('Données projet'!$E$11,$A$3:$A$203,$H$3:$H$203))</f>
        <v>396.05161661639647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341.60063595566282</v>
      </c>
      <c r="CE3" s="59">
        <f>IF('Données projet'!E12&gt;30,$CC$33-$H$33,LOOKUP('Données projet'!$E$12,$A$3:$A$203,CC3:CC203)-LOOKUP('Données projet'!$E$12,$A$3:$A$203,$H$3:$H$203))</f>
        <v>317.05609766344219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287.73449456153207</v>
      </c>
      <c r="CZ3" s="59">
        <f>IF('Données projet'!E13&gt;30,$CX$33-$H$33,LOOKUP('Données projet'!$E$13,$A$3:$A$203,CX3:CX203)-LOOKUP('Données projet'!$E$13,$A$3:$A$203,$H$3:$H$203))</f>
        <v>296.74833899433281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532.34688562681413</v>
      </c>
      <c r="DU3" s="59">
        <f>IF('Données projet'!E14&gt;30,$DS$33-$H$33,LOOKUP('Données projet'!$E$14,$A$3:$A$203,DS3:DS203)-LOOKUP('Données projet'!$E$14,$A$3:$A$203,$H$3:$H$203))</f>
        <v>345.42627129678556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256.20286603823035</v>
      </c>
      <c r="EP3" s="59">
        <f>IF('Données projet'!E15&gt;30,$EN$33-$H$33,LOOKUP('Données projet'!$E$15,$A$3:$A$203,EN3:EN203)-LOOKUP('Données projet'!$E$15,$A$3:$A$203,$H$3:$H$203))</f>
        <v>364.83827155069434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380.73695370216979</v>
      </c>
      <c r="FK3" s="59">
        <f>IF('Données projet'!E16&gt;30,$FI$33-$H$33,LOOKUP('Données projet'!$E$16,$A$3:$A$203,FI3:FI203)-LOOKUP('Données projet'!$E$16,$A$3:$A$203,$H$3:$H$203))</f>
        <v>249.34467160415713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511.7458522930001</v>
      </c>
      <c r="GF3" s="59">
        <f>IF('Données projet'!E17&gt;30,$GD$33-$H$33,LOOKUP('Données projet'!$E$17,$A$3:$A$203,GD3:GD203)-LOOKUP('Données projet'!$E$17,$A$3:$A$203,$H$3:$H$203))</f>
        <v>332.37317679966122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348.77506423101278</v>
      </c>
      <c r="HA3" s="59">
        <f>IF('Données projet'!E18&gt;30,$GY$33-$H$33,LOOKUP('Données projet'!$E$18,$A$3:$A$203,GY3:GY203)-LOOKUP('Données projet'!$E$18,$A$3:$A$203,$H$3:$H$203))</f>
        <v>336.13747591329548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1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5">
        <f t="shared" ref="H4:H67" si="1">(B4+E4+F4)*44/12+(C4+D4)*0.475*44/12</f>
        <v>183.33333333333334</v>
      </c>
      <c r="I4" s="6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9.9228571428571435</v>
      </c>
      <c r="N4" s="13">
        <f>IF('Données projet'!$A$36&gt;35,N3+M4-V3,IF(A4&lt;'Données projet'!$A$36,$K$205^A4,IF(A4='Données projet'!$A$36,'Données projet'!$B$36,N3+M4-V3)))</f>
        <v>9.9228571428571435</v>
      </c>
      <c r="O4" s="13">
        <f>N4*VLOOKUP('Données projet'!$B$9,Paramètres!$A$1:$I$89,3,0)*VLOOKUP('Données projet'!$B$9,Paramètres!$A$1:$I$89,5,0)</f>
        <v>4.6438971428571429</v>
      </c>
      <c r="P4" s="13">
        <f>EXP(-1.0587+0.8836*LN(O4)+0.284)</f>
        <v>1.7898206860922095</v>
      </c>
      <c r="Q4" s="20">
        <f t="shared" ref="Q4:Q34" si="2">(O4+P4)*0.475*44/12</f>
        <v>11.20539188542012</v>
      </c>
      <c r="R4" s="59">
        <f t="shared" si="0"/>
        <v>179.01782583834395</v>
      </c>
      <c r="S4" s="59">
        <f ca="1">AVERAGE(OFFSET($R$3,0,0,'Données projet'!$E$9+1,1))-AVERAGE(OFFSET($H$3,0,0,'Données projet'!$E$9+1,1))</f>
        <v>387.50901594883317</v>
      </c>
      <c r="T4" s="59">
        <f>$T$3</f>
        <v>361.3623790401972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5.8668181818181813</v>
      </c>
      <c r="AI4" s="13">
        <f>IF('Données projet'!$A$62&gt;35,AI3+AH4-AQ3,IF(A4&lt;'Données projet'!$A$62,$AF$205^A4,IF(A4='Données projet'!$A$62,'Données projet'!$B$62,AI3+AH4-AQ3)))</f>
        <v>1.2472301622014093</v>
      </c>
      <c r="AJ4" s="13">
        <f>AI4*VLOOKUP('Données projet'!$B$10,Paramètres!$A$1:$I$89,3,0)*VLOOKUP('Données projet'!$B$10,Paramètres!$A$1:$I$89,5,0)</f>
        <v>0.74584363699644274</v>
      </c>
      <c r="AK4" s="13">
        <f>EXP(-1.0587+0.8836*LN(AJ4)+0.284)</f>
        <v>0.35565068640491565</v>
      </c>
      <c r="AL4" s="20">
        <f t="shared" ref="AL4:AL67" si="4">(AJ4+AK4)*0.475*44/12</f>
        <v>1.918435946590699</v>
      </c>
      <c r="AM4" s="59">
        <f t="shared" ref="AM4:AM67" si="5">AL4+(AD4+AE4)*44/12</f>
        <v>169.73086989951454</v>
      </c>
      <c r="AN4" s="59">
        <f ca="1">AVERAGE(OFFSET($AM$3,0,0,'Données projet'!$E$10+1,1))-AVERAGE(OFFSET($H$3,0,0,'Données projet'!$E$10+1,1))</f>
        <v>373.47758082856359</v>
      </c>
      <c r="AO4" s="59">
        <f>$AO$3</f>
        <v>277.24895424120166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6.7273684210526312</v>
      </c>
      <c r="BD4" s="12">
        <f>IF('Données projet'!$A$88&gt;35,BD3+BC4-BL3,IF(A4&lt;'Données projet'!$A$88,$BA$205^A4,IF(A4='Données projet'!$A$88,'Données projet'!$B$88,BD3+BC4-BL3)))</f>
        <v>1.2908435877572824</v>
      </c>
      <c r="BE4" s="13">
        <f>BD4*VLOOKUP('Données projet'!$B$11,Paramètres!$A$1:$I$89,3,0)*VLOOKUP('Données projet'!$B$11,Paramètres!$A$1:$I$89,5,0)</f>
        <v>0.77192446547885496</v>
      </c>
      <c r="BF4" s="13">
        <f>EXP(-1.0587+0.8836*LN(BE4)+0.284)</f>
        <v>0.36661747604786077</v>
      </c>
      <c r="BG4" s="20">
        <f t="shared" ref="BG4:BG67" si="7">(BE4+BF4)*0.475*44/12</f>
        <v>1.9829605481590298</v>
      </c>
      <c r="BH4" s="59">
        <f t="shared" ref="BH4:BH67" si="8">BG4+(AY4+AZ4)*44/12</f>
        <v>169.79539450108288</v>
      </c>
      <c r="BI4" s="59">
        <f ca="1">AVERAGE(OFFSET($BH$3,0,0,'Données projet'!$E$11+1,1))-AVERAGE(OFFSET($H$3,0,0,'Données projet'!$E$11+1,1))</f>
        <v>460.88622650237176</v>
      </c>
      <c r="BJ4" s="59">
        <f>$BJ$3</f>
        <v>396.05161661639647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9.2928571428571427</v>
      </c>
      <c r="BY4" s="12">
        <f>IF('Données projet'!$A$114&gt;35,BY3+BX4-CG3,IF(A4&lt;'Données projet'!$A$114,$BV$205^A4,IF(A4='Données projet'!$A$114,'Données projet'!$B$114,BY3+BX4-CG3)))</f>
        <v>1.2854795418236975</v>
      </c>
      <c r="BZ4" s="13">
        <f>BY4*VLOOKUP('Données projet'!$B$12,Paramètres!$A$1:$I$89,3,0)*VLOOKUP('Données projet'!$B$12,Paramètres!$A$1:$I$89,5,0)</f>
        <v>0.58489319152978236</v>
      </c>
      <c r="CA4" s="13">
        <f>EXP(-1.0587+0.8836*LN(BZ4)+0.284)</f>
        <v>0.28690685083389461</v>
      </c>
      <c r="CB4" s="20">
        <f t="shared" ref="CB4:CB67" si="10">(BZ4+CA4)*0.475*44/12</f>
        <v>1.5183850737834039</v>
      </c>
      <c r="CC4" s="59">
        <f t="shared" ref="CC4:CC67" si="11">CB4+(BT4+BU4)*44/12</f>
        <v>169.33081902670725</v>
      </c>
      <c r="CD4" s="59">
        <f ca="1">AVERAGE(OFFSET($CC$3,0,0,'Données projet'!$E$12+1,1))-AVERAGE(OFFSET($H$3,0,0,'Données projet'!$E$12+1,1))</f>
        <v>341.60063595566282</v>
      </c>
      <c r="CE4" s="59">
        <f>$CE$3</f>
        <v>317.05609766344219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4.2309999999999999</v>
      </c>
      <c r="CT4" s="12">
        <f>IF('Données projet'!$A$140&gt;35,CT3+CS4-DB3,IF(A4&lt;'Données projet'!$A$140,$CQ$205^A4,IF(A4='Données projet'!$A$140,'Données projet'!$B$140,CT3+CS4-DB3)))</f>
        <v>1.2484571790906913</v>
      </c>
      <c r="CU4" s="17">
        <f>CT4*VLOOKUP('Données projet'!$B$13,Paramètres!$A$1:$I$89,3,0)*VLOOKUP('Données projet'!$B$13,Paramètres!$A$1:$I$89,5,0)</f>
        <v>1.3048874435855906</v>
      </c>
      <c r="CV4" s="13">
        <f>EXP(-1.0587+0.8836*LN(CU4)+0.284)</f>
        <v>0.58300518030568149</v>
      </c>
      <c r="CW4" s="20">
        <f t="shared" ref="CW4:CW67" si="13">(CU4+CV4)*0.475*44/12</f>
        <v>3.2880796532772987</v>
      </c>
      <c r="CX4" s="59">
        <f t="shared" ref="CX4:CX67" si="14">CW4+(CO4+CP4)*44/12</f>
        <v>171.10051360620113</v>
      </c>
      <c r="CY4" s="59">
        <f ca="1">AVERAGE(OFFSET($CX$3,0,0,'Données projet'!$E$13+1,1))-AVERAGE(OFFSET($H$3,0,0,'Données projet'!$E$13+1,1))</f>
        <v>287.73449456153207</v>
      </c>
      <c r="CZ4" s="59">
        <f>$CZ$3</f>
        <v>296.74833899433281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4.3352272727272725</v>
      </c>
      <c r="DO4" s="12">
        <f>IF('Données projet'!$A$166&gt;35,DO3+DN4-DW3,IF(A4&lt;'Données projet'!$A$166,$DL$205^A4,IF(A4='Données projet'!$A$166,'Données projet'!$B$166,DO3+DN4-DW3)))</f>
        <v>4.3352272727272725</v>
      </c>
      <c r="DP4" s="17">
        <f>DO4*VLOOKUP('Données projet'!$B$14,Paramètres!$A$1:$I$89,3,0)*VLOOKUP('Données projet'!$B$14,Paramètres!$A$1:$I$89,5,0)</f>
        <v>4.3959204545454549</v>
      </c>
      <c r="DQ4" s="13">
        <f>EXP(-1.0587+0.8836*LN(DP4)+0.284)</f>
        <v>1.705104067337752</v>
      </c>
      <c r="DR4" s="20">
        <f t="shared" ref="DR4:DR67" si="16">(DP4+DQ4)*0.475*44/12</f>
        <v>10.625951042279917</v>
      </c>
      <c r="DS4" s="59">
        <f t="shared" ref="DS4:DS67" si="17">DR4+(DJ4+DK4)*44/12</f>
        <v>178.43838499520376</v>
      </c>
      <c r="DT4" s="59">
        <f ca="1">AVERAGE(OFFSET($DS$3,0,0,'Données projet'!$E$14+1,1))-AVERAGE(OFFSET($H$3,0,0,'Données projet'!$E$14+1,1))</f>
        <v>532.34688562681413</v>
      </c>
      <c r="DU4" s="59">
        <f>$DU$3</f>
        <v>345.42627129678556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4.3579999999999997</v>
      </c>
      <c r="EJ4" s="12">
        <f>IF('Données projet'!$A$192&gt;35,EJ3+EI4-ER3,IF(A4&lt;'Données projet'!$A$192,$EG$205^A4,IF(A4='Données projet'!$A$192,'Données projet'!$B$192,EJ3+EI4-ER3)))</f>
        <v>1.8520446218242204</v>
      </c>
      <c r="EK4" s="17">
        <f>EJ4*VLOOKUP('Données projet'!$B$15,Paramètres!$A$1:$I$89,3,0)*VLOOKUP('Données projet'!$B$15,Paramètres!$A$1:$I$89,5,0)</f>
        <v>1.6757299738265545</v>
      </c>
      <c r="EL4" s="13">
        <f>EXP(-1.0587+0.8836*LN(EK4)+0.284)</f>
        <v>0.72720817567109008</v>
      </c>
      <c r="EM4" s="20">
        <f t="shared" ref="EM4:EM67" si="19">(EK4+EL4)*0.475*44/12</f>
        <v>4.1851172770417309</v>
      </c>
      <c r="EN4" s="59">
        <f t="shared" ref="EN4:EN67" si="20">EM4+(EE4+EF4)*44/12</f>
        <v>171.99755122996558</v>
      </c>
      <c r="EO4" s="59">
        <f ca="1">AVERAGE(OFFSET($EN$3,0,0,'Données projet'!$E$15+1,1))-AVERAGE(OFFSET($H$3,0,0,'Données projet'!$E$15+1,1))</f>
        <v>256.20286603823035</v>
      </c>
      <c r="EP4" s="59">
        <f>$EP$3</f>
        <v>364.83827155069434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4.3352272727272725</v>
      </c>
      <c r="FE4" s="12">
        <f>IF('Données projet'!$A$218&gt;35,FE3+FD4-FM3,IF(A4&lt;'Données projet'!$A$218,$FB$205^A4,IF(A4='Données projet'!$A$218,'Données projet'!$B$218,FE3+FD4-FM3)))</f>
        <v>4.3352272727272725</v>
      </c>
      <c r="FF4" s="17">
        <f>FE4*VLOOKUP('Données projet'!$B$16,Paramètres!$A$1:$I$89,3,0)*VLOOKUP('Données projet'!$B$16,Paramètres!$A$1:$I$89,5,0)</f>
        <v>2.9080704545454545</v>
      </c>
      <c r="FG4" s="13">
        <f>EXP(-1.0587+0.8836*LN(FF4)+0.284)</f>
        <v>1.1835684390612413</v>
      </c>
      <c r="FH4" s="20">
        <f t="shared" ref="FH4:FH67" si="22">(FF4+FG4)*0.475*44/12</f>
        <v>7.1262710730316625</v>
      </c>
      <c r="FI4" s="59">
        <f t="shared" ref="FI4:FI67" si="23">FH4+(EZ4+FA4)*44/12</f>
        <v>174.9387050259555</v>
      </c>
      <c r="FJ4" s="59">
        <f ca="1">AVERAGE(OFFSET($FI$3,0,0,'Données projet'!$E$16+1,1))-AVERAGE(OFFSET($H$3,0,0,'Données projet'!$E$16+1,1))</f>
        <v>380.73695370216979</v>
      </c>
      <c r="FK4" s="59">
        <f>$FK$3</f>
        <v>249.34467160415713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4.3352272727272725</v>
      </c>
      <c r="FZ4" s="12">
        <f>IF('Données projet'!$A$244&gt;35,FZ3+FY4-GH3,IF(A4&lt;'Données projet'!$A$244,$FW$205^A4,IF(A4='Données projet'!$A$244,'Données projet'!$B$244,FZ3+FY4-GH3)))</f>
        <v>4.3352272727272725</v>
      </c>
      <c r="GA4" s="17">
        <f>FZ4*VLOOKUP('Données projet'!$B$17,Paramètres!$A$1:$I$89,3,0)*VLOOKUP('Données projet'!$B$17,Paramètres!$A$1:$I$89,5,0)</f>
        <v>4.1930318181818178</v>
      </c>
      <c r="GB4" s="13">
        <f>EXP(-1.0587+0.8836*LN(GA4)+0.284)</f>
        <v>1.6353772249810601</v>
      </c>
      <c r="GC4" s="20">
        <f t="shared" ref="GC4:GC67" si="25">(GA4+GB4)*0.475*44/12</f>
        <v>10.151145750175345</v>
      </c>
      <c r="GD4" s="59">
        <f t="shared" ref="GD4:GD67" si="26">GC4+(FU4+FV4)*44/12</f>
        <v>177.96357970309919</v>
      </c>
      <c r="GE4" s="59">
        <f ca="1">AVERAGE(OFFSET($GD$3,0,0,'Données projet'!$E$17+1,1))-AVERAGE(OFFSET($H$3,0,0,'Données projet'!$E$17+1,1))</f>
        <v>511.7458522930001</v>
      </c>
      <c r="GF4" s="59">
        <f>$GF$3</f>
        <v>332.37317679966122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2.4666666666666668</v>
      </c>
      <c r="GU4" s="12">
        <f>IF('Données projet'!$A$270&gt;35,GU3+GT4-HC3,IF(A4&lt;'Données projet'!$A$270,$GR$205^A4,IF(A4='Données projet'!$A$270,'Données projet'!$B$270,GU3+GT4-HC3)))</f>
        <v>1.2721747796233518</v>
      </c>
      <c r="GV4" s="17">
        <f>GU4*VLOOKUP('Données projet'!$B$18,Paramètres!$A$1:$I$89,3,0)*VLOOKUP('Données projet'!$B$18,Paramètres!$A$1:$I$89,5,0)</f>
        <v>1.1113718874789602</v>
      </c>
      <c r="GW4" s="13">
        <f>EXP(-1.0587+0.8836*LN(GV4)+0.284)</f>
        <v>0.5059102014681881</v>
      </c>
      <c r="GX4" s="20">
        <f t="shared" ref="GX4:GX67" si="28">(GV4+GW4)*0.475*44/12</f>
        <v>2.8167663049162832</v>
      </c>
      <c r="GY4" s="59">
        <f t="shared" ref="GY4:GY67" si="29">GX4+(GP4+GQ4)*44/12</f>
        <v>170.62920025784013</v>
      </c>
      <c r="GZ4" s="59">
        <f ca="1">AVERAGE(OFFSET($GY$3,0,0,'Données projet'!$E$18+1,1))-AVERAGE(OFFSET($H$3,0,0,'Données projet'!$E$18+1,1))</f>
        <v>348.77506423101278</v>
      </c>
      <c r="HA4" s="59">
        <f>$HA$3</f>
        <v>336.13747591329548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">
      <c r="A5" s="10">
        <f t="shared" ref="A5:A68" si="31">A4+1</f>
        <v>2</v>
      </c>
      <c r="B5" s="71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5">
        <f t="shared" si="1"/>
        <v>183.33333333333334</v>
      </c>
      <c r="I5" s="6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9.9228571428571435</v>
      </c>
      <c r="N5" s="13">
        <f>IF('Données projet'!$A$36&gt;35,N4+M5-V4,IF(A5&lt;'Données projet'!$A$36,$K$205^A5,IF(A5='Données projet'!$A$36,'Données projet'!$B$36,N4+M5-V4)))</f>
        <v>19.845714285714287</v>
      </c>
      <c r="O5" s="13">
        <f>N5*VLOOKUP('Données projet'!$B$9,Paramètres!$A$1:$I$89,3,0)*VLOOKUP('Données projet'!$B$9,Paramètres!$A$1:$I$89,5,0)</f>
        <v>9.2877942857142859</v>
      </c>
      <c r="P5" s="13">
        <f t="shared" ref="P5:P68" si="33">EXP(-1.0587+0.8836*LN(O5)+0.284)</f>
        <v>3.3021715192899936</v>
      </c>
      <c r="Q5" s="20">
        <f t="shared" si="2"/>
        <v>21.927523777049117</v>
      </c>
      <c r="R5" s="59">
        <f t="shared" si="0"/>
        <v>192.52480506454995</v>
      </c>
      <c r="S5" s="59">
        <f ca="1">AVERAGE(OFFSET($R$3,0,0,'Données projet'!$E$9+1,1))-AVERAGE(OFFSET($H$3,0,0,'Données projet'!$E$9+1,1))</f>
        <v>387.50901594883317</v>
      </c>
      <c r="T5" s="59">
        <f t="shared" ref="T5:T68" si="34">$T$3</f>
        <v>361.3623790401972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5.8668181818181813</v>
      </c>
      <c r="AI5" s="13">
        <f>IF('Données projet'!$A$62&gt;35,AI4+AH5-AQ4,IF(A5&lt;'Données projet'!$A$62,$AF$205^A5,IF(A5='Données projet'!$A$62,'Données projet'!$B$62,AI4+AH5-AQ4)))</f>
        <v>1.5555830775049537</v>
      </c>
      <c r="AJ5" s="13">
        <f>AI5*VLOOKUP('Données projet'!$B$10,Paramètres!$A$1:$I$89,3,0)*VLOOKUP('Données projet'!$B$10,Paramètres!$A$1:$I$89,5,0)</f>
        <v>0.93023868034796242</v>
      </c>
      <c r="AK5" s="13">
        <f t="shared" ref="AK5:AK68" si="35">EXP(-1.0587+0.8836*LN(AJ5)+0.284)</f>
        <v>0.43231675887518456</v>
      </c>
      <c r="AL5" s="20">
        <f t="shared" si="4"/>
        <v>2.373117389980314</v>
      </c>
      <c r="AM5" s="59">
        <f t="shared" si="5"/>
        <v>172.97039867748114</v>
      </c>
      <c r="AN5" s="59">
        <f ca="1">AVERAGE(OFFSET($AM$3,0,0,'Données projet'!$E$10+1,1))-AVERAGE(OFFSET($H$3,0,0,'Données projet'!$E$10+1,1))</f>
        <v>373.47758082856359</v>
      </c>
      <c r="AO5" s="59">
        <f t="shared" ref="AO5:AO68" si="36">$AO$3</f>
        <v>277.24895424120166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6.7273684210526312</v>
      </c>
      <c r="BD5" s="12">
        <f>IF('Données projet'!$A$88&gt;35,BD4+BC5-BL4,IF(A5&lt;'Données projet'!$A$88,$BA$205^A5,IF(A5='Données projet'!$A$88,'Données projet'!$B$88,BD4+BC5-BL4)))</f>
        <v>1.6662771680540926</v>
      </c>
      <c r="BE5" s="13">
        <f>BD5*VLOOKUP('Données projet'!$B$11,Paramètres!$A$1:$I$89,3,0)*VLOOKUP('Données projet'!$B$11,Paramètres!$A$1:$I$89,5,0)</f>
        <v>0.99643374649634742</v>
      </c>
      <c r="BF5" s="13">
        <f t="shared" ref="BF5:BF68" si="37">EXP(-1.0587+0.8836*LN(BE5)+0.284)</f>
        <v>0.45938953262211651</v>
      </c>
      <c r="BG5" s="20">
        <f t="shared" si="7"/>
        <v>2.5355588777979912</v>
      </c>
      <c r="BH5" s="59">
        <f t="shared" si="8"/>
        <v>173.13284016529883</v>
      </c>
      <c r="BI5" s="59">
        <f ca="1">AVERAGE(OFFSET($BH$3,0,0,'Données projet'!$E$11+1,1))-AVERAGE(OFFSET($H$3,0,0,'Données projet'!$E$11+1,1))</f>
        <v>460.88622650237176</v>
      </c>
      <c r="BJ5" s="59">
        <f t="shared" ref="BJ5:BJ68" si="38">$BJ$3</f>
        <v>396.05161661639647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9.2928571428571427</v>
      </c>
      <c r="BY5" s="12">
        <f>IF('Données projet'!$A$114&gt;35,BY4+BX5-CG4,IF(A5&lt;'Données projet'!$A$114,$BV$205^A5,IF(A5='Données projet'!$A$114,'Données projet'!$B$114,BY4+BX5-CG4)))</f>
        <v>1.6524576524472632</v>
      </c>
      <c r="BZ5" s="13">
        <f>BY5*VLOOKUP('Données projet'!$B$12,Paramètres!$A$1:$I$89,3,0)*VLOOKUP('Données projet'!$B$12,Paramètres!$A$1:$I$89,5,0)</f>
        <v>0.75186823186350471</v>
      </c>
      <c r="CA5" s="13">
        <f t="shared" ref="CA5:CA68" si="39">EXP(-1.0587+0.8836*LN(BZ5)+0.284)</f>
        <v>0.35818789288783021</v>
      </c>
      <c r="CB5" s="20">
        <f t="shared" si="10"/>
        <v>1.9333477506085748</v>
      </c>
      <c r="CC5" s="59">
        <f t="shared" si="11"/>
        <v>172.5306290381094</v>
      </c>
      <c r="CD5" s="59">
        <f ca="1">AVERAGE(OFFSET($CC$3,0,0,'Données projet'!$E$12+1,1))-AVERAGE(OFFSET($H$3,0,0,'Données projet'!$E$12+1,1))</f>
        <v>341.60063595566282</v>
      </c>
      <c r="CE5" s="59">
        <f t="shared" ref="CE5:CE68" si="40">$CE$3</f>
        <v>317.05609766344219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4.2309999999999999</v>
      </c>
      <c r="CT5" s="12">
        <f>IF('Données projet'!$A$140&gt;35,CT4+CS5-DB4,IF(A5&lt;'Données projet'!$A$140,$CQ$205^A5,IF(A5='Données projet'!$A$140,'Données projet'!$B$140,CT4+CS5-DB4)))</f>
        <v>1.5586453280230865</v>
      </c>
      <c r="CU5" s="17">
        <f>CT5*VLOOKUP('Données projet'!$B$13,Paramètres!$A$1:$I$89,3,0)*VLOOKUP('Données projet'!$B$13,Paramètres!$A$1:$I$89,5,0)</f>
        <v>1.6290960968497301</v>
      </c>
      <c r="CV5" s="13">
        <f t="shared" ref="CV5:CV68" si="41">EXP(-1.0587+0.8836*LN(CU5)+0.284)</f>
        <v>0.70929707968561584</v>
      </c>
      <c r="CW5" s="20">
        <f t="shared" si="13"/>
        <v>4.072701449132393</v>
      </c>
      <c r="CX5" s="59">
        <f t="shared" si="14"/>
        <v>174.66998273663322</v>
      </c>
      <c r="CY5" s="59">
        <f ca="1">AVERAGE(OFFSET($CX$3,0,0,'Données projet'!$E$13+1,1))-AVERAGE(OFFSET($H$3,0,0,'Données projet'!$E$13+1,1))</f>
        <v>287.73449456153207</v>
      </c>
      <c r="CZ5" s="59">
        <f t="shared" ref="CZ5:CZ68" si="42">$CZ$3</f>
        <v>296.74833899433281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4.3352272727272725</v>
      </c>
      <c r="DO5" s="12">
        <f>IF('Données projet'!$A$166&gt;35,DO4+DN5-DW4,IF(A5&lt;'Données projet'!$A$166,$DL$205^A5,IF(A5='Données projet'!$A$166,'Données projet'!$B$166,DO4+DN5-DW4)))</f>
        <v>8.670454545454545</v>
      </c>
      <c r="DP5" s="17">
        <f>DO5*VLOOKUP('Données projet'!$B$14,Paramètres!$A$1:$I$89,3,0)*VLOOKUP('Données projet'!$B$14,Paramètres!$A$1:$I$89,5,0)</f>
        <v>8.7918409090909098</v>
      </c>
      <c r="DQ5" s="13">
        <f t="shared" ref="DQ5:DQ68" si="43">EXP(-1.0587+0.8836*LN(DP5)+0.284)</f>
        <v>3.1458716129165203</v>
      </c>
      <c r="DR5" s="20">
        <f t="shared" si="16"/>
        <v>20.791515975829608</v>
      </c>
      <c r="DS5" s="59">
        <f t="shared" si="17"/>
        <v>191.38879726333045</v>
      </c>
      <c r="DT5" s="59">
        <f ca="1">AVERAGE(OFFSET($DS$3,0,0,'Données projet'!$E$14+1,1))-AVERAGE(OFFSET($H$3,0,0,'Données projet'!$E$14+1,1))</f>
        <v>532.34688562681413</v>
      </c>
      <c r="DU5" s="59">
        <f t="shared" ref="DU5:DU68" si="44">$DU$3</f>
        <v>345.42627129678556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4.3579999999999997</v>
      </c>
      <c r="EJ5" s="12">
        <f>IF('Données projet'!$A$192&gt;35,EJ4+EI5-ER4,IF(A5&lt;'Données projet'!$A$192,$EG$205^A5,IF(A5='Données projet'!$A$192,'Données projet'!$B$192,EJ4+EI5-ER4)))</f>
        <v>3.4300692812280196</v>
      </c>
      <c r="EK5" s="17">
        <f>EJ5*VLOOKUP('Données projet'!$B$15,Paramètres!$A$1:$I$89,3,0)*VLOOKUP('Données projet'!$B$15,Paramètres!$A$1:$I$89,5,0)</f>
        <v>3.1035266856551122</v>
      </c>
      <c r="EL5" s="13">
        <f t="shared" ref="EL5:EL68" si="45">EXP(-1.0587+0.8836*LN(EK5)+0.284)</f>
        <v>1.2535901485903567</v>
      </c>
      <c r="EM5" s="20">
        <f t="shared" si="19"/>
        <v>7.5886451529775245</v>
      </c>
      <c r="EN5" s="59">
        <f t="shared" si="20"/>
        <v>178.18592644047837</v>
      </c>
      <c r="EO5" s="59">
        <f ca="1">AVERAGE(OFFSET($EN$3,0,0,'Données projet'!$E$15+1,1))-AVERAGE(OFFSET($H$3,0,0,'Données projet'!$E$15+1,1))</f>
        <v>256.20286603823035</v>
      </c>
      <c r="EP5" s="59">
        <f t="shared" ref="EP5:EP68" si="46">$EP$3</f>
        <v>364.83827155069434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4.3352272727272725</v>
      </c>
      <c r="FE5" s="12">
        <f>IF('Données projet'!$A$218&gt;35,FE4+FD5-FM4,IF(A5&lt;'Données projet'!$A$218,$FB$205^A5,IF(A5='Données projet'!$A$218,'Données projet'!$B$218,FE4+FD5-FM4)))</f>
        <v>8.670454545454545</v>
      </c>
      <c r="FF5" s="17">
        <f>FE5*VLOOKUP('Données projet'!$B$16,Paramètres!$A$1:$I$89,3,0)*VLOOKUP('Données projet'!$B$16,Paramètres!$A$1:$I$89,5,0)</f>
        <v>5.8161409090909091</v>
      </c>
      <c r="FG5" s="13">
        <f t="shared" ref="FG5:FG68" si="47">EXP(-1.0587+0.8836*LN(FF5)+0.284)</f>
        <v>2.1836522624687067</v>
      </c>
      <c r="FH5" s="20">
        <f t="shared" si="22"/>
        <v>13.932973107132996</v>
      </c>
      <c r="FI5" s="59">
        <f t="shared" si="23"/>
        <v>184.53025439463383</v>
      </c>
      <c r="FJ5" s="59">
        <f ca="1">AVERAGE(OFFSET($FI$3,0,0,'Données projet'!$E$16+1,1))-AVERAGE(OFFSET($H$3,0,0,'Données projet'!$E$16+1,1))</f>
        <v>380.73695370216979</v>
      </c>
      <c r="FK5" s="59">
        <f t="shared" ref="FK5:FK68" si="48">$FK$3</f>
        <v>249.34467160415713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4.3352272727272725</v>
      </c>
      <c r="FZ5" s="12">
        <f>IF('Données projet'!$A$244&gt;35,FZ4+FY5-GH4,IF(A5&lt;'Données projet'!$A$244,$FW$205^A5,IF(A5='Données projet'!$A$244,'Données projet'!$B$244,FZ4+FY5-GH4)))</f>
        <v>8.670454545454545</v>
      </c>
      <c r="GA5" s="17">
        <f>FZ5*VLOOKUP('Données projet'!$B$17,Paramètres!$A$1:$I$89,3,0)*VLOOKUP('Données projet'!$B$17,Paramètres!$A$1:$I$89,5,0)</f>
        <v>8.3860636363636356</v>
      </c>
      <c r="GB5" s="13">
        <f t="shared" ref="GB5:GB68" si="49">EXP(-1.0587+0.8836*LN(GA5)+0.284)</f>
        <v>3.0172274449563181</v>
      </c>
      <c r="GC5" s="20">
        <f t="shared" si="25"/>
        <v>19.860731966632247</v>
      </c>
      <c r="GD5" s="59">
        <f t="shared" si="26"/>
        <v>190.45801325413308</v>
      </c>
      <c r="GE5" s="59">
        <f ca="1">AVERAGE(OFFSET($GD$3,0,0,'Données projet'!$E$17+1,1))-AVERAGE(OFFSET($H$3,0,0,'Données projet'!$E$17+1,1))</f>
        <v>511.7458522930001</v>
      </c>
      <c r="GF5" s="59">
        <f t="shared" ref="GF5:GF68" si="50">$GF$3</f>
        <v>332.37317679966122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2.4666666666666668</v>
      </c>
      <c r="GU5" s="12">
        <f>IF('Données projet'!$A$270&gt;35,GU4+GT5-HC4,IF(A5&lt;'Données projet'!$A$270,$GR$205^A5,IF(A5='Données projet'!$A$270,'Données projet'!$B$270,GU4+GT5-HC4)))</f>
        <v>1.6184286699097237</v>
      </c>
      <c r="GV5" s="17">
        <f>GU5*VLOOKUP('Données projet'!$B$18,Paramètres!$A$1:$I$89,3,0)*VLOOKUP('Données projet'!$B$18,Paramètres!$A$1:$I$89,5,0)</f>
        <v>1.4138592860331347</v>
      </c>
      <c r="GW5" s="13">
        <f t="shared" ref="GW5:GW68" si="51">EXP(-1.0587+0.8836*LN(GV5)+0.284)</f>
        <v>0.62582221171965613</v>
      </c>
      <c r="GX5" s="20">
        <f t="shared" si="28"/>
        <v>3.5524452752527771</v>
      </c>
      <c r="GY5" s="59">
        <f t="shared" si="29"/>
        <v>174.14972656275361</v>
      </c>
      <c r="GZ5" s="59">
        <f ca="1">AVERAGE(OFFSET($GY$3,0,0,'Données projet'!$E$18+1,1))-AVERAGE(OFFSET($H$3,0,0,'Données projet'!$E$18+1,1))</f>
        <v>348.77506423101278</v>
      </c>
      <c r="HA5" s="59">
        <f t="shared" ref="HA5:HA68" si="52">$HA$3</f>
        <v>336.13747591329548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">
      <c r="A6" s="10">
        <f t="shared" si="31"/>
        <v>3</v>
      </c>
      <c r="B6" s="71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5">
        <f t="shared" si="1"/>
        <v>183.33333333333334</v>
      </c>
      <c r="I6" s="6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9.9228571428571435</v>
      </c>
      <c r="N6" s="13">
        <f>IF('Données projet'!$A$36&gt;35,N5+M6-V5,IF(A6&lt;'Données projet'!$A$36,$K$205^A6,IF(A6='Données projet'!$A$36,'Données projet'!$B$36,N5+M6-V5)))</f>
        <v>29.76857142857143</v>
      </c>
      <c r="O6" s="13">
        <f>N6*VLOOKUP('Données projet'!$B$9,Paramètres!$A$1:$I$89,3,0)*VLOOKUP('Données projet'!$B$9,Paramètres!$A$1:$I$89,5,0)</f>
        <v>13.93169142857143</v>
      </c>
      <c r="P6" s="13">
        <f t="shared" si="33"/>
        <v>4.7249135181182051</v>
      </c>
      <c r="Q6" s="20">
        <f t="shared" si="2"/>
        <v>32.493586948817772</v>
      </c>
      <c r="R6" s="59">
        <f t="shared" si="0"/>
        <v>205.84860751870266</v>
      </c>
      <c r="S6" s="59">
        <f ca="1">AVERAGE(OFFSET($R$3,0,0,'Données projet'!$E$9+1,1))-AVERAGE(OFFSET($H$3,0,0,'Données projet'!$E$9+1,1))</f>
        <v>387.50901594883317</v>
      </c>
      <c r="T6" s="59">
        <f t="shared" si="34"/>
        <v>361.3623790401972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5.8668181818181813</v>
      </c>
      <c r="AI6" s="13">
        <f>IF('Données projet'!$A$62&gt;35,AI5+AH6-AQ5,IF(A6&lt;'Données projet'!$A$62,$AF$205^A6,IF(A6='Données projet'!$A$62,'Données projet'!$B$62,AI5+AH6-AQ5)))</f>
        <v>1.9401701340742707</v>
      </c>
      <c r="AJ6" s="13">
        <f>AI6*VLOOKUP('Données projet'!$B$10,Paramètres!$A$1:$I$89,3,0)*VLOOKUP('Données projet'!$B$10,Paramètres!$A$1:$I$89,5,0)</f>
        <v>1.1602217401764139</v>
      </c>
      <c r="AK6" s="13">
        <f t="shared" si="35"/>
        <v>0.52550940332379237</v>
      </c>
      <c r="AL6" s="20">
        <f t="shared" si="4"/>
        <v>2.9359817415961924</v>
      </c>
      <c r="AM6" s="59">
        <f t="shared" si="5"/>
        <v>176.29100231148107</v>
      </c>
      <c r="AN6" s="59">
        <f ca="1">AVERAGE(OFFSET($AM$3,0,0,'Données projet'!$E$10+1,1))-AVERAGE(OFFSET($H$3,0,0,'Données projet'!$E$10+1,1))</f>
        <v>373.47758082856359</v>
      </c>
      <c r="AO6" s="59">
        <f t="shared" si="36"/>
        <v>277.24895424120166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6.7273684210526312</v>
      </c>
      <c r="BD6" s="12">
        <f>IF('Données projet'!$A$88&gt;35,BD5+BC6-BL5,IF(A6&lt;'Données projet'!$A$88,$BA$205^A6,IF(A6='Données projet'!$A$88,'Données projet'!$B$88,BD5+BC6-BL5)))</f>
        <v>2.1509031978089892</v>
      </c>
      <c r="BE6" s="13">
        <f>BD6*VLOOKUP('Données projet'!$B$11,Paramètres!$A$1:$I$89,3,0)*VLOOKUP('Données projet'!$B$11,Paramètres!$A$1:$I$89,5,0)</f>
        <v>1.2862401122897757</v>
      </c>
      <c r="BF6" s="13">
        <f t="shared" si="37"/>
        <v>0.57563743266623835</v>
      </c>
      <c r="BG6" s="20">
        <f t="shared" si="7"/>
        <v>3.2427700574650582</v>
      </c>
      <c r="BH6" s="59">
        <f t="shared" si="8"/>
        <v>176.59779062734995</v>
      </c>
      <c r="BI6" s="59">
        <f ca="1">AVERAGE(OFFSET($BH$3,0,0,'Données projet'!$E$11+1,1))-AVERAGE(OFFSET($H$3,0,0,'Données projet'!$E$11+1,1))</f>
        <v>460.88622650237176</v>
      </c>
      <c r="BJ6" s="59">
        <f t="shared" si="38"/>
        <v>396.05161661639647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9.2928571428571427</v>
      </c>
      <c r="BY6" s="12">
        <f>IF('Données projet'!$A$114&gt;35,BY5+BX6-CG5,IF(A6&lt;'Données projet'!$A$114,$BV$205^A6,IF(A6='Données projet'!$A$114,'Données projet'!$B$114,BY5+BX6-CG5)))</f>
        <v>2.1242005059509705</v>
      </c>
      <c r="BZ6" s="13">
        <f>BY6*VLOOKUP('Données projet'!$B$12,Paramètres!$A$1:$I$89,3,0)*VLOOKUP('Données projet'!$B$12,Paramètres!$A$1:$I$89,5,0)</f>
        <v>0.96651123020769159</v>
      </c>
      <c r="CA6" s="13">
        <f t="shared" si="39"/>
        <v>0.44717847008018113</v>
      </c>
      <c r="CB6" s="20">
        <f t="shared" si="10"/>
        <v>2.4621762280013781</v>
      </c>
      <c r="CC6" s="59">
        <f t="shared" si="11"/>
        <v>175.81719679788625</v>
      </c>
      <c r="CD6" s="59">
        <f ca="1">AVERAGE(OFFSET($CC$3,0,0,'Données projet'!$E$12+1,1))-AVERAGE(OFFSET($H$3,0,0,'Données projet'!$E$12+1,1))</f>
        <v>341.60063595566282</v>
      </c>
      <c r="CE6" s="59">
        <f t="shared" si="40"/>
        <v>317.05609766344219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4.2309999999999999</v>
      </c>
      <c r="CT6" s="12">
        <f>IF('Données projet'!$A$140&gt;35,CT5+CS6-DB5,IF(A6&lt;'Données projet'!$A$140,$CQ$205^A6,IF(A6='Données projet'!$A$140,'Données projet'!$B$140,CT5+CS6-DB5)))</f>
        <v>1.9459019494265879</v>
      </c>
      <c r="CU6" s="17">
        <f>CT6*VLOOKUP('Données projet'!$B$13,Paramètres!$A$1:$I$89,3,0)*VLOOKUP('Données projet'!$B$13,Paramètres!$A$1:$I$89,5,0)</f>
        <v>2.0338567175406697</v>
      </c>
      <c r="CV6" s="13">
        <f t="shared" si="41"/>
        <v>0.86294661564886255</v>
      </c>
      <c r="CW6" s="20">
        <f t="shared" si="13"/>
        <v>5.0452658053051023</v>
      </c>
      <c r="CX6" s="59">
        <f t="shared" si="14"/>
        <v>178.40028637518998</v>
      </c>
      <c r="CY6" s="59">
        <f ca="1">AVERAGE(OFFSET($CX$3,0,0,'Données projet'!$E$13+1,1))-AVERAGE(OFFSET($H$3,0,0,'Données projet'!$E$13+1,1))</f>
        <v>287.73449456153207</v>
      </c>
      <c r="CZ6" s="59">
        <f t="shared" si="42"/>
        <v>296.74833899433281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4.3352272727272725</v>
      </c>
      <c r="DO6" s="12">
        <f>IF('Données projet'!$A$166&gt;35,DO5+DN6-DW5,IF(A6&lt;'Données projet'!$A$166,$DL$205^A6,IF(A6='Données projet'!$A$166,'Données projet'!$B$166,DO5+DN6-DW5)))</f>
        <v>13.005681818181817</v>
      </c>
      <c r="DP6" s="17">
        <f>DO6*VLOOKUP('Données projet'!$B$14,Paramètres!$A$1:$I$89,3,0)*VLOOKUP('Données projet'!$B$14,Paramètres!$A$1:$I$89,5,0)</f>
        <v>13.187761363636364</v>
      </c>
      <c r="DQ6" s="13">
        <f t="shared" si="43"/>
        <v>4.5012717308304806</v>
      </c>
      <c r="DR6" s="20">
        <f t="shared" si="16"/>
        <v>30.808399306196417</v>
      </c>
      <c r="DS6" s="59">
        <f t="shared" si="17"/>
        <v>204.16341987608129</v>
      </c>
      <c r="DT6" s="59">
        <f ca="1">AVERAGE(OFFSET($DS$3,0,0,'Données projet'!$E$14+1,1))-AVERAGE(OFFSET($H$3,0,0,'Données projet'!$E$14+1,1))</f>
        <v>532.34688562681413</v>
      </c>
      <c r="DU6" s="59">
        <f t="shared" si="44"/>
        <v>345.42627129678556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4.3579999999999997</v>
      </c>
      <c r="EJ6" s="12">
        <f>IF('Données projet'!$A$192&gt;35,EJ5+EI6-ER5,IF(A6&lt;'Données projet'!$A$192,$EG$205^A6,IF(A6='Données projet'!$A$192,'Données projet'!$B$192,EJ5+EI6-ER5)))</f>
        <v>6.3526413647828228</v>
      </c>
      <c r="EK6" s="17">
        <f>EJ6*VLOOKUP('Données projet'!$B$15,Paramètres!$A$1:$I$89,3,0)*VLOOKUP('Données projet'!$B$15,Paramètres!$A$1:$I$89,5,0)</f>
        <v>5.7478699068554979</v>
      </c>
      <c r="EL6" s="13">
        <f t="shared" si="45"/>
        <v>2.1609881643486402</v>
      </c>
      <c r="EM6" s="20">
        <f t="shared" si="19"/>
        <v>13.774594474013874</v>
      </c>
      <c r="EN6" s="59">
        <f t="shared" si="20"/>
        <v>187.12961504389875</v>
      </c>
      <c r="EO6" s="59">
        <f ca="1">AVERAGE(OFFSET($EN$3,0,0,'Données projet'!$E$15+1,1))-AVERAGE(OFFSET($H$3,0,0,'Données projet'!$E$15+1,1))</f>
        <v>256.20286603823035</v>
      </c>
      <c r="EP6" s="59">
        <f t="shared" si="46"/>
        <v>364.83827155069434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4.3352272727272725</v>
      </c>
      <c r="FE6" s="12">
        <f>IF('Données projet'!$A$218&gt;35,FE5+FD6-FM5,IF(A6&lt;'Données projet'!$A$218,$FB$205^A6,IF(A6='Données projet'!$A$218,'Données projet'!$B$218,FE5+FD6-FM5)))</f>
        <v>13.005681818181817</v>
      </c>
      <c r="FF6" s="17">
        <f>FE6*VLOOKUP('Données projet'!$B$16,Paramètres!$A$1:$I$89,3,0)*VLOOKUP('Données projet'!$B$16,Paramètres!$A$1:$I$89,5,0)</f>
        <v>8.7242113636363623</v>
      </c>
      <c r="FG6" s="13">
        <f t="shared" si="47"/>
        <v>3.1244797653715444</v>
      </c>
      <c r="FH6" s="20">
        <f t="shared" si="22"/>
        <v>20.636470383022104</v>
      </c>
      <c r="FI6" s="59">
        <f t="shared" si="23"/>
        <v>193.99149095290699</v>
      </c>
      <c r="FJ6" s="59">
        <f ca="1">AVERAGE(OFFSET($FI$3,0,0,'Données projet'!$E$16+1,1))-AVERAGE(OFFSET($H$3,0,0,'Données projet'!$E$16+1,1))</f>
        <v>380.73695370216979</v>
      </c>
      <c r="FK6" s="59">
        <f t="shared" si="48"/>
        <v>249.34467160415713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4.3352272727272725</v>
      </c>
      <c r="FZ6" s="12">
        <f>IF('Données projet'!$A$244&gt;35,FZ5+FY6-GH5,IF(A6&lt;'Données projet'!$A$244,$FW$205^A6,IF(A6='Données projet'!$A$244,'Données projet'!$B$244,FZ5+FY6-GH5)))</f>
        <v>13.005681818181817</v>
      </c>
      <c r="GA6" s="17">
        <f>FZ6*VLOOKUP('Données projet'!$B$17,Paramètres!$A$1:$I$89,3,0)*VLOOKUP('Données projet'!$B$17,Paramètres!$A$1:$I$89,5,0)</f>
        <v>12.579095454545454</v>
      </c>
      <c r="GB6" s="13">
        <f t="shared" si="49"/>
        <v>4.3172011685742486</v>
      </c>
      <c r="GC6" s="20">
        <f t="shared" si="25"/>
        <v>29.427716618600147</v>
      </c>
      <c r="GD6" s="59">
        <f t="shared" si="26"/>
        <v>202.78273718848504</v>
      </c>
      <c r="GE6" s="59">
        <f ca="1">AVERAGE(OFFSET($GD$3,0,0,'Données projet'!$E$17+1,1))-AVERAGE(OFFSET($H$3,0,0,'Données projet'!$E$17+1,1))</f>
        <v>511.7458522930001</v>
      </c>
      <c r="GF6" s="59">
        <f t="shared" si="50"/>
        <v>332.37317679966122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2.4666666666666668</v>
      </c>
      <c r="GU6" s="12">
        <f>IF('Données projet'!$A$270&gt;35,GU5+GT6-HC5,IF(A6&lt;'Données projet'!$A$270,$GR$205^A6,IF(A6='Données projet'!$A$270,'Données projet'!$B$270,GU5+GT6-HC5)))</f>
        <v>2.0589241364785171</v>
      </c>
      <c r="GV6" s="17">
        <f>GU6*VLOOKUP('Données projet'!$B$18,Paramètres!$A$1:$I$89,3,0)*VLOOKUP('Données projet'!$B$18,Paramètres!$A$1:$I$89,5,0)</f>
        <v>1.7986761256276329</v>
      </c>
      <c r="GW6" s="13">
        <f t="shared" si="51"/>
        <v>0.77415604497611523</v>
      </c>
      <c r="GX6" s="20">
        <f t="shared" si="28"/>
        <v>4.4810160304681945</v>
      </c>
      <c r="GY6" s="59">
        <f t="shared" si="29"/>
        <v>177.83603660035308</v>
      </c>
      <c r="GZ6" s="59">
        <f ca="1">AVERAGE(OFFSET($GY$3,0,0,'Données projet'!$E$18+1,1))-AVERAGE(OFFSET($H$3,0,0,'Données projet'!$E$18+1,1))</f>
        <v>348.77506423101278</v>
      </c>
      <c r="HA6" s="59">
        <f t="shared" si="52"/>
        <v>336.13747591329548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">
      <c r="A7" s="10">
        <f t="shared" si="31"/>
        <v>4</v>
      </c>
      <c r="B7" s="71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5">
        <f t="shared" si="1"/>
        <v>183.33333333333334</v>
      </c>
      <c r="I7" s="6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9.9228571428571435</v>
      </c>
      <c r="N7" s="13">
        <f>IF('Données projet'!$A$36&gt;35,N6+M7-V6,IF(A7&lt;'Données projet'!$A$36,$K$205^A7,IF(A7='Données projet'!$A$36,'Données projet'!$B$36,N6+M7-V6)))</f>
        <v>39.691428571428574</v>
      </c>
      <c r="O7" s="13">
        <f>N7*VLOOKUP('Données projet'!$B$9,Paramètres!$A$1:$I$89,3,0)*VLOOKUP('Données projet'!$B$9,Paramètres!$A$1:$I$89,5,0)</f>
        <v>18.575588571428572</v>
      </c>
      <c r="P7" s="13">
        <f t="shared" si="33"/>
        <v>6.0924185464734348</v>
      </c>
      <c r="Q7" s="20">
        <f t="shared" si="2"/>
        <v>42.963445730345995</v>
      </c>
      <c r="R7" s="59">
        <f t="shared" si="0"/>
        <v>219.04956779452294</v>
      </c>
      <c r="S7" s="59">
        <f ca="1">AVERAGE(OFFSET($R$3,0,0,'Données projet'!$E$9+1,1))-AVERAGE(OFFSET($H$3,0,0,'Données projet'!$E$9+1,1))</f>
        <v>387.50901594883317</v>
      </c>
      <c r="T7" s="59">
        <f t="shared" si="34"/>
        <v>361.3623790401972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5.8668181818181813</v>
      </c>
      <c r="AI7" s="13">
        <f>IF('Données projet'!$A$62&gt;35,AI6+AH7-AQ6,IF(A7&lt;'Données projet'!$A$62,$AF$205^A7,IF(A7='Données projet'!$A$62,'Données projet'!$B$62,AI6+AH7-AQ6)))</f>
        <v>2.419838711019783</v>
      </c>
      <c r="AJ7" s="13">
        <f>AI7*VLOOKUP('Données projet'!$B$10,Paramètres!$A$1:$I$89,3,0)*VLOOKUP('Données projet'!$B$10,Paramètres!$A$1:$I$89,5,0)</f>
        <v>1.4470635491898303</v>
      </c>
      <c r="AK7" s="13">
        <f t="shared" si="35"/>
        <v>0.63879118103182142</v>
      </c>
      <c r="AL7" s="20">
        <f t="shared" si="4"/>
        <v>3.6328636551360431</v>
      </c>
      <c r="AM7" s="59">
        <f t="shared" si="5"/>
        <v>179.718985719313</v>
      </c>
      <c r="AN7" s="59">
        <f ca="1">AVERAGE(OFFSET($AM$3,0,0,'Données projet'!$E$10+1,1))-AVERAGE(OFFSET($H$3,0,0,'Données projet'!$E$10+1,1))</f>
        <v>373.47758082856359</v>
      </c>
      <c r="AO7" s="59">
        <f t="shared" si="36"/>
        <v>277.24895424120166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6.7273684210526312</v>
      </c>
      <c r="BD7" s="12">
        <f>IF('Données projet'!$A$88&gt;35,BD6+BC7-BL6,IF(A7&lt;'Données projet'!$A$88,$BA$205^A7,IF(A7='Données projet'!$A$88,'Données projet'!$B$88,BD6+BC7-BL6)))</f>
        <v>2.7764796007783668</v>
      </c>
      <c r="BE7" s="13">
        <f>BD7*VLOOKUP('Données projet'!$B$11,Paramètres!$A$1:$I$89,3,0)*VLOOKUP('Données projet'!$B$11,Paramètres!$A$1:$I$89,5,0)</f>
        <v>1.6603348012654635</v>
      </c>
      <c r="BF7" s="13">
        <f t="shared" si="37"/>
        <v>0.7213017066262718</v>
      </c>
      <c r="BG7" s="20">
        <f t="shared" si="7"/>
        <v>4.1480169179114386</v>
      </c>
      <c r="BH7" s="59">
        <f t="shared" si="8"/>
        <v>180.23413898208838</v>
      </c>
      <c r="BI7" s="59">
        <f ca="1">AVERAGE(OFFSET($BH$3,0,0,'Données projet'!$E$11+1,1))-AVERAGE(OFFSET($H$3,0,0,'Données projet'!$E$11+1,1))</f>
        <v>460.88622650237176</v>
      </c>
      <c r="BJ7" s="59">
        <f t="shared" si="38"/>
        <v>396.05161661639647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9.2928571428571427</v>
      </c>
      <c r="BY7" s="12">
        <f>IF('Données projet'!$A$114&gt;35,BY6+BX7-CG6,IF(A7&lt;'Données projet'!$A$114,$BV$205^A7,IF(A7='Données projet'!$A$114,'Données projet'!$B$114,BY6+BX7-CG6)))</f>
        <v>2.7306162931315199</v>
      </c>
      <c r="BZ7" s="13">
        <f>BY7*VLOOKUP('Données projet'!$B$12,Paramètres!$A$1:$I$89,3,0)*VLOOKUP('Données projet'!$B$12,Paramètres!$A$1:$I$89,5,0)</f>
        <v>1.2424304133748414</v>
      </c>
      <c r="CA7" s="13">
        <f t="shared" si="39"/>
        <v>0.55827845684854949</v>
      </c>
      <c r="CB7" s="20">
        <f t="shared" si="10"/>
        <v>3.1362346156390721</v>
      </c>
      <c r="CC7" s="59">
        <f t="shared" si="11"/>
        <v>179.22235667981602</v>
      </c>
      <c r="CD7" s="59">
        <f ca="1">AVERAGE(OFFSET($CC$3,0,0,'Données projet'!$E$12+1,1))-AVERAGE(OFFSET($H$3,0,0,'Données projet'!$E$12+1,1))</f>
        <v>341.60063595566282</v>
      </c>
      <c r="CE7" s="59">
        <f t="shared" si="40"/>
        <v>317.05609766344219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4.2309999999999999</v>
      </c>
      <c r="CT7" s="12">
        <f>IF('Données projet'!$A$140&gt;35,CT6+CS7-DB6,IF(A7&lt;'Données projet'!$A$140,$CQ$205^A7,IF(A7='Données projet'!$A$140,'Données projet'!$B$140,CT6+CS7-DB6)))</f>
        <v>2.4293752585681951</v>
      </c>
      <c r="CU7" s="17">
        <f>CT7*VLOOKUP('Données projet'!$B$13,Paramètres!$A$1:$I$89,3,0)*VLOOKUP('Données projet'!$B$13,Paramètres!$A$1:$I$89,5,0)</f>
        <v>2.5391830202554777</v>
      </c>
      <c r="CV7" s="13">
        <f t="shared" si="41"/>
        <v>1.0498800612430148</v>
      </c>
      <c r="CW7" s="20">
        <f t="shared" si="13"/>
        <v>6.2509515336098742</v>
      </c>
      <c r="CX7" s="59">
        <f t="shared" si="14"/>
        <v>182.33707359778683</v>
      </c>
      <c r="CY7" s="59">
        <f ca="1">AVERAGE(OFFSET($CX$3,0,0,'Données projet'!$E$13+1,1))-AVERAGE(OFFSET($H$3,0,0,'Données projet'!$E$13+1,1))</f>
        <v>287.73449456153207</v>
      </c>
      <c r="CZ7" s="59">
        <f t="shared" si="42"/>
        <v>296.74833899433281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4.3352272727272725</v>
      </c>
      <c r="DO7" s="12">
        <f>IF('Données projet'!$A$166&gt;35,DO6+DN7-DW6,IF(A7&lt;'Données projet'!$A$166,$DL$205^A7,IF(A7='Données projet'!$A$166,'Données projet'!$B$166,DO6+DN7-DW6)))</f>
        <v>17.34090909090909</v>
      </c>
      <c r="DP7" s="17">
        <f>DO7*VLOOKUP('Données projet'!$B$14,Paramètres!$A$1:$I$89,3,0)*VLOOKUP('Données projet'!$B$14,Paramètres!$A$1:$I$89,5,0)</f>
        <v>17.58368181818182</v>
      </c>
      <c r="DQ7" s="13">
        <f t="shared" si="43"/>
        <v>5.8040493800509259</v>
      </c>
      <c r="DR7" s="20">
        <f t="shared" si="16"/>
        <v>40.733631836922029</v>
      </c>
      <c r="DS7" s="59">
        <f t="shared" si="17"/>
        <v>216.81975390109898</v>
      </c>
      <c r="DT7" s="59">
        <f ca="1">AVERAGE(OFFSET($DS$3,0,0,'Données projet'!$E$14+1,1))-AVERAGE(OFFSET($H$3,0,0,'Données projet'!$E$14+1,1))</f>
        <v>532.34688562681413</v>
      </c>
      <c r="DU7" s="59">
        <f t="shared" si="44"/>
        <v>345.42627129678556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4.3579999999999997</v>
      </c>
      <c r="EJ7" s="12">
        <f>IF('Données projet'!$A$192&gt;35,EJ6+EI7-ER6,IF(A7&lt;'Données projet'!$A$192,$EG$205^A7,IF(A7='Données projet'!$A$192,'Données projet'!$B$192,EJ6+EI7-ER6)))</f>
        <v>11.765375274024104</v>
      </c>
      <c r="EK7" s="17">
        <f>EJ7*VLOOKUP('Données projet'!$B$15,Paramètres!$A$1:$I$89,3,0)*VLOOKUP('Données projet'!$B$15,Paramètres!$A$1:$I$89,5,0)</f>
        <v>10.645311547937007</v>
      </c>
      <c r="EL7" s="13">
        <f t="shared" si="45"/>
        <v>3.7251966695064609</v>
      </c>
      <c r="EM7" s="20">
        <f t="shared" si="19"/>
        <v>25.028635145380708</v>
      </c>
      <c r="EN7" s="59">
        <f t="shared" si="20"/>
        <v>201.11475720955767</v>
      </c>
      <c r="EO7" s="59">
        <f ca="1">AVERAGE(OFFSET($EN$3,0,0,'Données projet'!$E$15+1,1))-AVERAGE(OFFSET($H$3,0,0,'Données projet'!$E$15+1,1))</f>
        <v>256.20286603823035</v>
      </c>
      <c r="EP7" s="59">
        <f t="shared" si="46"/>
        <v>364.83827155069434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4.3352272727272725</v>
      </c>
      <c r="FE7" s="12">
        <f>IF('Données projet'!$A$218&gt;35,FE6+FD7-FM6,IF(A7&lt;'Données projet'!$A$218,$FB$205^A7,IF(A7='Données projet'!$A$218,'Données projet'!$B$218,FE6+FD7-FM6)))</f>
        <v>17.34090909090909</v>
      </c>
      <c r="FF7" s="17">
        <f>FE7*VLOOKUP('Données projet'!$B$16,Paramètres!$A$1:$I$89,3,0)*VLOOKUP('Données projet'!$B$16,Paramètres!$A$1:$I$89,5,0)</f>
        <v>11.632281818181818</v>
      </c>
      <c r="FG7" s="13">
        <f t="shared" si="47"/>
        <v>4.0287802935728436</v>
      </c>
      <c r="FH7" s="20">
        <f t="shared" si="22"/>
        <v>27.27634984463937</v>
      </c>
      <c r="FI7" s="59">
        <f t="shared" si="23"/>
        <v>203.3624719088163</v>
      </c>
      <c r="FJ7" s="59">
        <f ca="1">AVERAGE(OFFSET($FI$3,0,0,'Données projet'!$E$16+1,1))-AVERAGE(OFFSET($H$3,0,0,'Données projet'!$E$16+1,1))</f>
        <v>380.73695370216979</v>
      </c>
      <c r="FK7" s="59">
        <f t="shared" si="48"/>
        <v>249.34467160415713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4.3352272727272725</v>
      </c>
      <c r="FZ7" s="12">
        <f>IF('Données projet'!$A$244&gt;35,FZ6+FY7-GH6,IF(A7&lt;'Données projet'!$A$244,$FW$205^A7,IF(A7='Données projet'!$A$244,'Données projet'!$B$244,FZ6+FY7-GH6)))</f>
        <v>17.34090909090909</v>
      </c>
      <c r="GA7" s="17">
        <f>FZ7*VLOOKUP('Données projet'!$B$17,Paramètres!$A$1:$I$89,3,0)*VLOOKUP('Données projet'!$B$17,Paramètres!$A$1:$I$89,5,0)</f>
        <v>16.772127272727271</v>
      </c>
      <c r="GB7" s="13">
        <f t="shared" si="49"/>
        <v>5.5667043147816013</v>
      </c>
      <c r="GC7" s="20">
        <f t="shared" si="25"/>
        <v>38.906798348244614</v>
      </c>
      <c r="GD7" s="59">
        <f t="shared" si="26"/>
        <v>214.99292041242157</v>
      </c>
      <c r="GE7" s="59">
        <f ca="1">AVERAGE(OFFSET($GD$3,0,0,'Données projet'!$E$17+1,1))-AVERAGE(OFFSET($H$3,0,0,'Données projet'!$E$17+1,1))</f>
        <v>511.7458522930001</v>
      </c>
      <c r="GF7" s="59">
        <f t="shared" si="50"/>
        <v>332.37317679966122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2.4666666666666668</v>
      </c>
      <c r="GU7" s="12">
        <f>IF('Données projet'!$A$270&gt;35,GU6+GT7-HC6,IF(A7&lt;'Données projet'!$A$270,$GR$205^A7,IF(A7='Données projet'!$A$270,'Données projet'!$B$270,GU6+GT7-HC6)))</f>
        <v>2.6193113595857573</v>
      </c>
      <c r="GV7" s="17">
        <f>GU7*VLOOKUP('Données projet'!$B$18,Paramètres!$A$1:$I$89,3,0)*VLOOKUP('Données projet'!$B$18,Paramètres!$A$1:$I$89,5,0)</f>
        <v>2.2882304037341177</v>
      </c>
      <c r="GW7" s="13">
        <f t="shared" si="51"/>
        <v>0.95764830769786036</v>
      </c>
      <c r="GX7" s="20">
        <f t="shared" si="28"/>
        <v>5.6532387557440282</v>
      </c>
      <c r="GY7" s="59">
        <f t="shared" si="29"/>
        <v>181.73936081992099</v>
      </c>
      <c r="GZ7" s="59">
        <f ca="1">AVERAGE(OFFSET($GY$3,0,0,'Données projet'!$E$18+1,1))-AVERAGE(OFFSET($H$3,0,0,'Données projet'!$E$18+1,1))</f>
        <v>348.77506423101278</v>
      </c>
      <c r="HA7" s="59">
        <f t="shared" si="52"/>
        <v>336.13747591329548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">
      <c r="A8" s="10">
        <f t="shared" si="31"/>
        <v>5</v>
      </c>
      <c r="B8" s="71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5">
        <f t="shared" si="1"/>
        <v>183.33333333333334</v>
      </c>
      <c r="I8" s="6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9.9228571428571435</v>
      </c>
      <c r="N8" s="13">
        <f>IF('Données projet'!$A$36&gt;35,N7+M8-V7,IF(A8&lt;'Données projet'!$A$36,$K$205^A8,IF(A8='Données projet'!$A$36,'Données projet'!$B$36,N7+M8-V7)))</f>
        <v>49.614285714285714</v>
      </c>
      <c r="O8" s="13">
        <f>N8*VLOOKUP('Données projet'!$B$9,Paramètres!$A$1:$I$89,3,0)*VLOOKUP('Données projet'!$B$9,Paramètres!$A$1:$I$89,5,0)</f>
        <v>23.219485714285714</v>
      </c>
      <c r="P8" s="13">
        <f t="shared" si="33"/>
        <v>7.4202650598578179</v>
      </c>
      <c r="Q8" s="20">
        <f t="shared" si="2"/>
        <v>53.364232598299985</v>
      </c>
      <c r="R8" s="59">
        <f t="shared" si="0"/>
        <v>232.15528047474734</v>
      </c>
      <c r="S8" s="59">
        <f ca="1">AVERAGE(OFFSET($R$3,0,0,'Données projet'!$E$9+1,1))-AVERAGE(OFFSET($H$3,0,0,'Données projet'!$E$9+1,1))</f>
        <v>387.50901594883317</v>
      </c>
      <c r="T8" s="59">
        <f t="shared" si="34"/>
        <v>361.3623790401972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5.8668181818181813</v>
      </c>
      <c r="AI8" s="13">
        <f>IF('Données projet'!$A$62&gt;35,AI7+AH8-AQ7,IF(A8&lt;'Données projet'!$A$62,$AF$205^A8,IF(A8='Données projet'!$A$62,'Données projet'!$B$62,AI7+AH8-AQ7)))</f>
        <v>3.0180958280464529</v>
      </c>
      <c r="AJ8" s="13">
        <f>AI8*VLOOKUP('Données projet'!$B$10,Paramètres!$A$1:$I$89,3,0)*VLOOKUP('Données projet'!$B$10,Paramètres!$A$1:$I$89,5,0)</f>
        <v>1.804821305171779</v>
      </c>
      <c r="AK8" s="13">
        <f t="shared" si="35"/>
        <v>0.77649261912941803</v>
      </c>
      <c r="AL8" s="20">
        <f t="shared" si="4"/>
        <v>4.4957884181579182</v>
      </c>
      <c r="AM8" s="59">
        <f t="shared" si="5"/>
        <v>183.28683629460528</v>
      </c>
      <c r="AN8" s="59">
        <f ca="1">AVERAGE(OFFSET($AM$3,0,0,'Données projet'!$E$10+1,1))-AVERAGE(OFFSET($H$3,0,0,'Données projet'!$E$10+1,1))</f>
        <v>373.47758082856359</v>
      </c>
      <c r="AO8" s="59">
        <f t="shared" si="36"/>
        <v>277.24895424120166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6.7273684210526312</v>
      </c>
      <c r="BD8" s="12">
        <f>IF('Données projet'!$A$88&gt;35,BD7+BC8-BL7,IF(A8&lt;'Données projet'!$A$88,$BA$205^A8,IF(A8='Données projet'!$A$88,'Données projet'!$B$88,BD7+BC8-BL7)))</f>
        <v>3.5840008892036539</v>
      </c>
      <c r="BE8" s="13">
        <f>BD8*VLOOKUP('Données projet'!$B$11,Paramètres!$A$1:$I$89,3,0)*VLOOKUP('Données projet'!$B$11,Paramètres!$A$1:$I$89,5,0)</f>
        <v>2.1432325317437853</v>
      </c>
      <c r="BF8" s="13">
        <f t="shared" si="37"/>
        <v>0.90382612814485752</v>
      </c>
      <c r="BG8" s="20">
        <f t="shared" si="7"/>
        <v>5.3069604993060517</v>
      </c>
      <c r="BH8" s="59">
        <f t="shared" si="8"/>
        <v>184.09800837575341</v>
      </c>
      <c r="BI8" s="59">
        <f ca="1">AVERAGE(OFFSET($BH$3,0,0,'Données projet'!$E$11+1,1))-AVERAGE(OFFSET($H$3,0,0,'Données projet'!$E$11+1,1))</f>
        <v>460.88622650237176</v>
      </c>
      <c r="BJ8" s="59">
        <f t="shared" si="38"/>
        <v>396.05161661639647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9.2928571428571427</v>
      </c>
      <c r="BY8" s="12">
        <f>IF('Données projet'!$A$114&gt;35,BY7+BX8-CG7,IF(A8&lt;'Données projet'!$A$114,$BV$205^A8,IF(A8='Données projet'!$A$114,'Données projet'!$B$114,BY7+BX8-CG7)))</f>
        <v>3.5101513813910294</v>
      </c>
      <c r="BZ8" s="13">
        <f>BY8*VLOOKUP('Données projet'!$B$12,Paramètres!$A$1:$I$89,3,0)*VLOOKUP('Données projet'!$B$12,Paramètres!$A$1:$I$89,5,0)</f>
        <v>1.5971188785329185</v>
      </c>
      <c r="CA8" s="13">
        <f t="shared" si="39"/>
        <v>0.69698086163520601</v>
      </c>
      <c r="CB8" s="20">
        <f t="shared" si="10"/>
        <v>3.9955570474594828</v>
      </c>
      <c r="CC8" s="59">
        <f t="shared" si="11"/>
        <v>182.78660492390682</v>
      </c>
      <c r="CD8" s="59">
        <f ca="1">AVERAGE(OFFSET($CC$3,0,0,'Données projet'!$E$12+1,1))-AVERAGE(OFFSET($H$3,0,0,'Données projet'!$E$12+1,1))</f>
        <v>341.60063595566282</v>
      </c>
      <c r="CE8" s="59">
        <f t="shared" si="40"/>
        <v>317.05609766344219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4.2309999999999999</v>
      </c>
      <c r="CT8" s="12">
        <f>IF('Données projet'!$A$140&gt;35,CT7+CS8-DB7,IF(A8&lt;'Données projet'!$A$140,$CQ$205^A8,IF(A8='Données projet'!$A$140,'Données projet'!$B$140,CT7+CS8-DB7)))</f>
        <v>3.0329709822647679</v>
      </c>
      <c r="CU8" s="17">
        <f>CT8*VLOOKUP('Données projet'!$B$13,Paramètres!$A$1:$I$89,3,0)*VLOOKUP('Données projet'!$B$13,Paramètres!$A$1:$I$89,5,0)</f>
        <v>3.1700612706631359</v>
      </c>
      <c r="CV8" s="13">
        <f t="shared" si="41"/>
        <v>1.2773074521728549</v>
      </c>
      <c r="CW8" s="20">
        <f t="shared" si="13"/>
        <v>7.7458338589393518</v>
      </c>
      <c r="CX8" s="59">
        <f t="shared" si="14"/>
        <v>186.53688173538671</v>
      </c>
      <c r="CY8" s="59">
        <f ca="1">AVERAGE(OFFSET($CX$3,0,0,'Données projet'!$E$13+1,1))-AVERAGE(OFFSET($H$3,0,0,'Données projet'!$E$13+1,1))</f>
        <v>287.73449456153207</v>
      </c>
      <c r="CZ8" s="59">
        <f t="shared" si="42"/>
        <v>296.74833899433281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4.3352272727272725</v>
      </c>
      <c r="DO8" s="12">
        <f>IF('Données projet'!$A$166&gt;35,DO7+DN8-DW7,IF(A8&lt;'Données projet'!$A$166,$DL$205^A8,IF(A8='Données projet'!$A$166,'Données projet'!$B$166,DO7+DN8-DW7)))</f>
        <v>21.676136363636363</v>
      </c>
      <c r="DP8" s="17">
        <f>DO8*VLOOKUP('Données projet'!$B$14,Paramètres!$A$1:$I$89,3,0)*VLOOKUP('Données projet'!$B$14,Paramètres!$A$1:$I$89,5,0)</f>
        <v>21.979602272727274</v>
      </c>
      <c r="DQ8" s="13">
        <f t="shared" si="43"/>
        <v>7.0690456494343712</v>
      </c>
      <c r="DR8" s="20">
        <f t="shared" si="16"/>
        <v>50.593061797764868</v>
      </c>
      <c r="DS8" s="59">
        <f t="shared" si="17"/>
        <v>229.38410967421223</v>
      </c>
      <c r="DT8" s="59">
        <f ca="1">AVERAGE(OFFSET($DS$3,0,0,'Données projet'!$E$14+1,1))-AVERAGE(OFFSET($H$3,0,0,'Données projet'!$E$14+1,1))</f>
        <v>532.34688562681413</v>
      </c>
      <c r="DU8" s="59">
        <f t="shared" si="44"/>
        <v>345.42627129678556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>
        <f>VLOOKUP(A8,'Données projet'!$A$191:$I$211,2,0)</f>
        <v>21.79</v>
      </c>
      <c r="EH8" s="12">
        <f>VLOOKUP(A8,'Données projet'!$A$191:$I$211,9,0)</f>
        <v>4.3579999999999997</v>
      </c>
      <c r="EI8" s="12">
        <f t="array" ref="EI8">INDEX(EH:EH,MIN(IF(ISNUMBER(EH8:EH204),ROW(EH8:EH204),"")))</f>
        <v>4.3579999999999997</v>
      </c>
      <c r="EJ8" s="12">
        <f>IF('Données projet'!$A$192&gt;35,EJ7+EI8-ER7,IF(A8&lt;'Données projet'!$A$192,$EG$205^A8,IF(A8='Données projet'!$A$192,'Données projet'!$B$192,EJ7+EI8-ER7)))</f>
        <v>21.79</v>
      </c>
      <c r="EK8" s="17">
        <f>EJ8*VLOOKUP('Données projet'!$B$15,Paramètres!$A$1:$I$89,3,0)*VLOOKUP('Données projet'!$B$15,Paramètres!$A$1:$I$89,5,0)</f>
        <v>19.715592000000001</v>
      </c>
      <c r="EL8" s="13">
        <f t="shared" si="45"/>
        <v>6.421641013792792</v>
      </c>
      <c r="EM8" s="20">
        <f t="shared" si="19"/>
        <v>45.522347499022452</v>
      </c>
      <c r="EN8" s="59">
        <f t="shared" si="20"/>
        <v>224.31339537546981</v>
      </c>
      <c r="EO8" s="59">
        <f ca="1">AVERAGE(OFFSET($EN$3,0,0,'Données projet'!$E$15+1,1))-AVERAGE(OFFSET($H$3,0,0,'Données projet'!$E$15+1,1))</f>
        <v>256.20286603823035</v>
      </c>
      <c r="EP8" s="59">
        <f t="shared" si="46"/>
        <v>364.83827155069434</v>
      </c>
      <c r="EQ8" s="15">
        <f>IF(ISNA(VLOOKUP(A8,'Données projet'!$A$191:$I$211,3,0)),0,VLOOKUP(A8,'Données projet'!$A$191:$I$211,3,0))</f>
        <v>1</v>
      </c>
      <c r="ER8" s="15">
        <f>IF(ISNA(VLOOKUP(A8,'Données projet'!$A$191:$I$211,4,0)),0,VLOOKUP(A8,'Données projet'!$A$191:$I$211,4,0))</f>
        <v>3.85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4.3352272727272725</v>
      </c>
      <c r="FE8" s="12">
        <f>IF('Données projet'!$A$218&gt;35,FE7+FD8-FM7,IF(A8&lt;'Données projet'!$A$218,$FB$205^A8,IF(A8='Données projet'!$A$218,'Données projet'!$B$218,FE7+FD8-FM7)))</f>
        <v>21.676136363636363</v>
      </c>
      <c r="FF8" s="17">
        <f>FE8*VLOOKUP('Données projet'!$B$16,Paramètres!$A$1:$I$89,3,0)*VLOOKUP('Données projet'!$B$16,Paramètres!$A$1:$I$89,5,0)</f>
        <v>14.540352272727272</v>
      </c>
      <c r="FG8" s="13">
        <f t="shared" si="47"/>
        <v>4.90685553170779</v>
      </c>
      <c r="FH8" s="20">
        <f t="shared" si="22"/>
        <v>33.870553592724399</v>
      </c>
      <c r="FI8" s="59">
        <f t="shared" si="23"/>
        <v>212.66160146917176</v>
      </c>
      <c r="FJ8" s="59">
        <f ca="1">AVERAGE(OFFSET($FI$3,0,0,'Données projet'!$E$16+1,1))-AVERAGE(OFFSET($H$3,0,0,'Données projet'!$E$16+1,1))</f>
        <v>380.73695370216979</v>
      </c>
      <c r="FK8" s="59">
        <f t="shared" si="48"/>
        <v>249.34467160415713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4.3352272727272725</v>
      </c>
      <c r="FZ8" s="12">
        <f>IF('Données projet'!$A$244&gt;35,FZ7+FY8-GH7,IF(A8&lt;'Données projet'!$A$244,$FW$205^A8,IF(A8='Données projet'!$A$244,'Données projet'!$B$244,FZ7+FY8-GH7)))</f>
        <v>21.676136363636363</v>
      </c>
      <c r="GA8" s="17">
        <f>FZ8*VLOOKUP('Données projet'!$B$17,Paramètres!$A$1:$I$89,3,0)*VLOOKUP('Données projet'!$B$17,Paramètres!$A$1:$I$89,5,0)</f>
        <v>20.965159090909093</v>
      </c>
      <c r="GB8" s="13">
        <f t="shared" si="49"/>
        <v>6.7799710755991489</v>
      </c>
      <c r="GC8" s="20">
        <f t="shared" si="25"/>
        <v>48.322768373335187</v>
      </c>
      <c r="GD8" s="59">
        <f t="shared" si="26"/>
        <v>227.11381624978253</v>
      </c>
      <c r="GE8" s="59">
        <f ca="1">AVERAGE(OFFSET($GD$3,0,0,'Données projet'!$E$17+1,1))-AVERAGE(OFFSET($H$3,0,0,'Données projet'!$E$17+1,1))</f>
        <v>511.7458522930001</v>
      </c>
      <c r="GF8" s="59">
        <f t="shared" si="50"/>
        <v>332.37317679966122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2.4666666666666668</v>
      </c>
      <c r="GU8" s="12">
        <f>IF('Données projet'!$A$270&gt;35,GU7+GT8-HC7,IF(A8&lt;'Données projet'!$A$270,$GR$205^A8,IF(A8='Données projet'!$A$270,'Données projet'!$B$270,GU7+GT8-HC7)))</f>
        <v>3.332221851645953</v>
      </c>
      <c r="GV8" s="17">
        <f>GU8*VLOOKUP('Données projet'!$B$18,Paramètres!$A$1:$I$89,3,0)*VLOOKUP('Données projet'!$B$18,Paramètres!$A$1:$I$89,5,0)</f>
        <v>2.9110290095979048</v>
      </c>
      <c r="GW8" s="13">
        <f t="shared" si="51"/>
        <v>1.1846323324451606</v>
      </c>
      <c r="GX8" s="20">
        <f t="shared" si="28"/>
        <v>7.133276837391672</v>
      </c>
      <c r="GY8" s="59">
        <f t="shared" si="29"/>
        <v>185.92432471383901</v>
      </c>
      <c r="GZ8" s="59">
        <f ca="1">AVERAGE(OFFSET($GY$3,0,0,'Données projet'!$E$18+1,1))-AVERAGE(OFFSET($H$3,0,0,'Données projet'!$E$18+1,1))</f>
        <v>348.77506423101278</v>
      </c>
      <c r="HA8" s="59">
        <f t="shared" si="52"/>
        <v>336.13747591329548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">
      <c r="A9" s="10">
        <f t="shared" si="31"/>
        <v>6</v>
      </c>
      <c r="B9" s="71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5">
        <f t="shared" si="1"/>
        <v>183.33333333333334</v>
      </c>
      <c r="I9" s="6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9.9228571428571435</v>
      </c>
      <c r="N9" s="13">
        <f>IF('Données projet'!$A$36&gt;35,N8+M9-V8,IF(A9&lt;'Données projet'!$A$36,$K$205^A9,IF(A9='Données projet'!$A$36,'Données projet'!$B$36,N8+M9-V8)))</f>
        <v>59.537142857142854</v>
      </c>
      <c r="O9" s="13">
        <f>N9*VLOOKUP('Données projet'!$B$9,Paramètres!$A$1:$I$89,3,0)*VLOOKUP('Données projet'!$B$9,Paramètres!$A$1:$I$89,5,0)</f>
        <v>27.863382857142856</v>
      </c>
      <c r="P9" s="13">
        <f t="shared" si="33"/>
        <v>8.7173396597084576</v>
      </c>
      <c r="Q9" s="20">
        <f t="shared" si="2"/>
        <v>63.71142505018269</v>
      </c>
      <c r="R9" s="59">
        <f t="shared" si="0"/>
        <v>245.18167714644167</v>
      </c>
      <c r="S9" s="59">
        <f ca="1">AVERAGE(OFFSET($R$3,0,0,'Données projet'!$E$9+1,1))-AVERAGE(OFFSET($H$3,0,0,'Données projet'!$E$9+1,1))</f>
        <v>387.50901594883317</v>
      </c>
      <c r="T9" s="59">
        <f t="shared" si="34"/>
        <v>361.3623790401972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5.8668181818181813</v>
      </c>
      <c r="AI9" s="13">
        <f>IF('Données projet'!$A$62&gt;35,AI8+AH9-AQ8,IF(A9&lt;'Données projet'!$A$62,$AF$205^A9,IF(A9='Données projet'!$A$62,'Données projet'!$B$62,AI8+AH9-AQ8)))</f>
        <v>3.7642601491537744</v>
      </c>
      <c r="AJ9" s="13">
        <f>AI9*VLOOKUP('Données projet'!$B$10,Paramètres!$A$1:$I$89,3,0)*VLOOKUP('Données projet'!$B$10,Paramètres!$A$1:$I$89,5,0)</f>
        <v>2.251027569193957</v>
      </c>
      <c r="AK9" s="13">
        <f t="shared" si="35"/>
        <v>0.94387775765556148</v>
      </c>
      <c r="AL9" s="20">
        <f t="shared" si="4"/>
        <v>5.5644601109295779</v>
      </c>
      <c r="AM9" s="59">
        <f t="shared" si="5"/>
        <v>187.03471220718856</v>
      </c>
      <c r="AN9" s="59">
        <f ca="1">AVERAGE(OFFSET($AM$3,0,0,'Données projet'!$E$10+1,1))-AVERAGE(OFFSET($H$3,0,0,'Données projet'!$E$10+1,1))</f>
        <v>373.47758082856359</v>
      </c>
      <c r="AO9" s="59">
        <f t="shared" si="36"/>
        <v>277.24895424120166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6.7273684210526312</v>
      </c>
      <c r="BD9" s="12">
        <f>IF('Données projet'!$A$88&gt;35,BD8+BC9-BL8,IF(A9&lt;'Données projet'!$A$88,$BA$205^A9,IF(A9='Données projet'!$A$88,'Données projet'!$B$88,BD8+BC9-BL8)))</f>
        <v>4.6263845663449343</v>
      </c>
      <c r="BE9" s="13">
        <f>BD9*VLOOKUP('Données projet'!$B$11,Paramètres!$A$1:$I$89,3,0)*VLOOKUP('Données projet'!$B$11,Paramètres!$A$1:$I$89,5,0)</f>
        <v>2.766577970674271</v>
      </c>
      <c r="BF9" s="13">
        <f t="shared" si="37"/>
        <v>1.1325381077194452</v>
      </c>
      <c r="BG9" s="20">
        <f t="shared" si="7"/>
        <v>6.7909605032023883</v>
      </c>
      <c r="BH9" s="59">
        <f t="shared" si="8"/>
        <v>188.26121259946137</v>
      </c>
      <c r="BI9" s="59">
        <f ca="1">AVERAGE(OFFSET($BH$3,0,0,'Données projet'!$E$11+1,1))-AVERAGE(OFFSET($H$3,0,0,'Données projet'!$E$11+1,1))</f>
        <v>460.88622650237176</v>
      </c>
      <c r="BJ9" s="59">
        <f t="shared" si="38"/>
        <v>396.05161661639647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9.2928571428571427</v>
      </c>
      <c r="BY9" s="12">
        <f>IF('Données projet'!$A$114&gt;35,BY8+BX9-CG8,IF(A9&lt;'Données projet'!$A$114,$BV$205^A9,IF(A9='Données projet'!$A$114,'Données projet'!$B$114,BY8+BX9-CG8)))</f>
        <v>4.5122277894823588</v>
      </c>
      <c r="BZ9" s="13">
        <f>BY9*VLOOKUP('Données projet'!$B$12,Paramètres!$A$1:$I$89,3,0)*VLOOKUP('Données projet'!$B$12,Paramètres!$A$1:$I$89,5,0)</f>
        <v>2.0530636442144732</v>
      </c>
      <c r="CA9" s="13">
        <f t="shared" si="39"/>
        <v>0.87014341235369885</v>
      </c>
      <c r="CB9" s="20">
        <f t="shared" si="10"/>
        <v>5.0912522901895665</v>
      </c>
      <c r="CC9" s="59">
        <f t="shared" si="11"/>
        <v>186.56150438644855</v>
      </c>
      <c r="CD9" s="59">
        <f ca="1">AVERAGE(OFFSET($CC$3,0,0,'Données projet'!$E$12+1,1))-AVERAGE(OFFSET($H$3,0,0,'Données projet'!$E$12+1,1))</f>
        <v>341.60063595566282</v>
      </c>
      <c r="CE9" s="59">
        <f t="shared" si="40"/>
        <v>317.05609766344219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4.2309999999999999</v>
      </c>
      <c r="CT9" s="12">
        <f>IF('Données projet'!$A$140&gt;35,CT8+CS9-DB8,IF(A9&lt;'Données projet'!$A$140,$CQ$205^A9,IF(A9='Données projet'!$A$140,'Données projet'!$B$140,CT8+CS9-DB8)))</f>
        <v>3.7865343967821952</v>
      </c>
      <c r="CU9" s="17">
        <f>CT9*VLOOKUP('Données projet'!$B$13,Paramètres!$A$1:$I$89,3,0)*VLOOKUP('Données projet'!$B$13,Paramètres!$A$1:$I$89,5,0)</f>
        <v>3.9576857515167503</v>
      </c>
      <c r="CV9" s="13">
        <f t="shared" si="41"/>
        <v>1.5540006783676448</v>
      </c>
      <c r="CW9" s="20">
        <f t="shared" si="13"/>
        <v>9.5995205320486541</v>
      </c>
      <c r="CX9" s="59">
        <f t="shared" si="14"/>
        <v>191.06977262830762</v>
      </c>
      <c r="CY9" s="59">
        <f ca="1">AVERAGE(OFFSET($CX$3,0,0,'Données projet'!$E$13+1,1))-AVERAGE(OFFSET($H$3,0,0,'Données projet'!$E$13+1,1))</f>
        <v>287.73449456153207</v>
      </c>
      <c r="CZ9" s="59">
        <f t="shared" si="42"/>
        <v>296.74833899433281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4.3352272727272725</v>
      </c>
      <c r="DO9" s="12">
        <f>IF('Données projet'!$A$166&gt;35,DO8+DN9-DW8,IF(A9&lt;'Données projet'!$A$166,$DL$205^A9,IF(A9='Données projet'!$A$166,'Données projet'!$B$166,DO8+DN9-DW8)))</f>
        <v>26.011363636363637</v>
      </c>
      <c r="DP9" s="17">
        <f>DO9*VLOOKUP('Données projet'!$B$14,Paramètres!$A$1:$I$89,3,0)*VLOOKUP('Données projet'!$B$14,Paramètres!$A$1:$I$89,5,0)</f>
        <v>26.375522727272731</v>
      </c>
      <c r="DQ9" s="13">
        <f t="shared" si="43"/>
        <v>8.3047265156973467</v>
      </c>
      <c r="DR9" s="20">
        <f t="shared" si="16"/>
        <v>60.401434098172878</v>
      </c>
      <c r="DS9" s="59">
        <f t="shared" si="17"/>
        <v>241.87168619443185</v>
      </c>
      <c r="DT9" s="59">
        <f ca="1">AVERAGE(OFFSET($DS$3,0,0,'Données projet'!$E$14+1,1))-AVERAGE(OFFSET($H$3,0,0,'Données projet'!$E$14+1,1))</f>
        <v>532.34688562681413</v>
      </c>
      <c r="DU9" s="59">
        <f t="shared" si="44"/>
        <v>345.42627129678556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9.104000000000001</v>
      </c>
      <c r="EJ9" s="12">
        <f>IF('Données projet'!$A$192&gt;35,EJ8+EI9-ER8,IF(A9&lt;'Données projet'!$A$192,$EG$205^A9,IF(A9='Données projet'!$A$192,'Données projet'!$B$192,EJ8+EI9-ER8)))</f>
        <v>27.043999999999997</v>
      </c>
      <c r="EK9" s="17">
        <f>EJ9*VLOOKUP('Données projet'!$B$15,Paramètres!$A$1:$I$89,3,0)*VLOOKUP('Données projet'!$B$15,Paramètres!$A$1:$I$89,5,0)</f>
        <v>24.469411199999996</v>
      </c>
      <c r="EL9" s="13">
        <f t="shared" si="45"/>
        <v>7.77212553017175</v>
      </c>
      <c r="EM9" s="20">
        <f t="shared" si="19"/>
        <v>56.154009805049121</v>
      </c>
      <c r="EN9" s="59">
        <f t="shared" si="20"/>
        <v>237.6242619013081</v>
      </c>
      <c r="EO9" s="59">
        <f ca="1">AVERAGE(OFFSET($EN$3,0,0,'Données projet'!$E$15+1,1))-AVERAGE(OFFSET($H$3,0,0,'Données projet'!$E$15+1,1))</f>
        <v>256.20286603823035</v>
      </c>
      <c r="EP9" s="59">
        <f t="shared" si="46"/>
        <v>364.83827155069434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4.3352272727272725</v>
      </c>
      <c r="FE9" s="12">
        <f>IF('Données projet'!$A$218&gt;35,FE8+FD9-FM8,IF(A9&lt;'Données projet'!$A$218,$FB$205^A9,IF(A9='Données projet'!$A$218,'Données projet'!$B$218,FE8+FD9-FM8)))</f>
        <v>26.011363636363637</v>
      </c>
      <c r="FF9" s="17">
        <f>FE9*VLOOKUP('Données projet'!$B$16,Paramètres!$A$1:$I$89,3,0)*VLOOKUP('Données projet'!$B$16,Paramètres!$A$1:$I$89,5,0)</f>
        <v>17.448422727272728</v>
      </c>
      <c r="FG9" s="13">
        <f t="shared" si="47"/>
        <v>5.7645819907996341</v>
      </c>
      <c r="FH9" s="20">
        <f t="shared" si="22"/>
        <v>40.429316550642689</v>
      </c>
      <c r="FI9" s="59">
        <f t="shared" si="23"/>
        <v>221.89956864690166</v>
      </c>
      <c r="FJ9" s="59">
        <f ca="1">AVERAGE(OFFSET($FI$3,0,0,'Données projet'!$E$16+1,1))-AVERAGE(OFFSET($H$3,0,0,'Données projet'!$E$16+1,1))</f>
        <v>380.73695370216979</v>
      </c>
      <c r="FK9" s="59">
        <f t="shared" si="48"/>
        <v>249.34467160415713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4.3352272727272725</v>
      </c>
      <c r="FZ9" s="12">
        <f>IF('Données projet'!$A$244&gt;35,FZ8+FY9-GH8,IF(A9&lt;'Données projet'!$A$244,$FW$205^A9,IF(A9='Données projet'!$A$244,'Données projet'!$B$244,FZ8+FY9-GH8)))</f>
        <v>26.011363636363637</v>
      </c>
      <c r="GA9" s="17">
        <f>FZ9*VLOOKUP('Données projet'!$B$17,Paramètres!$A$1:$I$89,3,0)*VLOOKUP('Données projet'!$B$17,Paramètres!$A$1:$I$89,5,0)</f>
        <v>25.158190909090912</v>
      </c>
      <c r="GB9" s="13">
        <f t="shared" si="49"/>
        <v>7.9651212284496422</v>
      </c>
      <c r="GC9" s="20">
        <f t="shared" si="25"/>
        <v>57.68976863954979</v>
      </c>
      <c r="GD9" s="59">
        <f t="shared" si="26"/>
        <v>239.16002073580876</v>
      </c>
      <c r="GE9" s="59">
        <f ca="1">AVERAGE(OFFSET($GD$3,0,0,'Données projet'!$E$17+1,1))-AVERAGE(OFFSET($H$3,0,0,'Données projet'!$E$17+1,1))</f>
        <v>511.7458522930001</v>
      </c>
      <c r="GF9" s="59">
        <f t="shared" si="50"/>
        <v>332.37317679966122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2.4666666666666668</v>
      </c>
      <c r="GU9" s="12">
        <f>IF('Données projet'!$A$270&gt;35,GU8+GT9-HC8,IF(A9&lt;'Données projet'!$A$270,$GR$205^A9,IF(A9='Données projet'!$A$270,'Données projet'!$B$270,GU8+GT9-HC8)))</f>
        <v>4.2391685997738069</v>
      </c>
      <c r="GV9" s="17">
        <f>GU9*VLOOKUP('Données projet'!$B$18,Paramètres!$A$1:$I$89,3,0)*VLOOKUP('Données projet'!$B$18,Paramètres!$A$1:$I$89,5,0)</f>
        <v>3.7033376887623981</v>
      </c>
      <c r="GW9" s="13">
        <f t="shared" si="51"/>
        <v>1.4654166376047331</v>
      </c>
      <c r="GX9" s="20">
        <f t="shared" si="28"/>
        <v>9.002247118422753</v>
      </c>
      <c r="GY9" s="59">
        <f t="shared" si="29"/>
        <v>190.47249921468173</v>
      </c>
      <c r="GZ9" s="59">
        <f ca="1">AVERAGE(OFFSET($GY$3,0,0,'Données projet'!$E$18+1,1))-AVERAGE(OFFSET($H$3,0,0,'Données projet'!$E$18+1,1))</f>
        <v>348.77506423101278</v>
      </c>
      <c r="HA9" s="59">
        <f t="shared" si="52"/>
        <v>336.13747591329548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">
      <c r="A10" s="10">
        <f t="shared" si="31"/>
        <v>7</v>
      </c>
      <c r="B10" s="71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5">
        <f t="shared" si="1"/>
        <v>183.33333333333334</v>
      </c>
      <c r="I10" s="6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9.9228571428571435</v>
      </c>
      <c r="N10" s="13">
        <f>IF('Données projet'!$A$36&gt;35,N9+M10-V9,IF(A10&lt;'Données projet'!$A$36,$K$205^A10,IF(A10='Données projet'!$A$36,'Données projet'!$B$36,N9+M10-V9)))</f>
        <v>69.459999999999994</v>
      </c>
      <c r="O10" s="13">
        <f>N10*VLOOKUP('Données projet'!$B$9,Paramètres!$A$1:$I$89,3,0)*VLOOKUP('Données projet'!$B$9,Paramètres!$A$1:$I$89,5,0)</f>
        <v>32.507280000000002</v>
      </c>
      <c r="P10" s="13">
        <f t="shared" si="33"/>
        <v>9.9893711943664076</v>
      </c>
      <c r="Q10" s="20">
        <f t="shared" si="2"/>
        <v>74.015000830188157</v>
      </c>
      <c r="R10" s="59">
        <f t="shared" si="0"/>
        <v>258.13918176592438</v>
      </c>
      <c r="S10" s="59">
        <f ca="1">AVERAGE(OFFSET($R$3,0,0,'Données projet'!$E$9+1,1))-AVERAGE(OFFSET($H$3,0,0,'Données projet'!$E$9+1,1))</f>
        <v>387.50901594883317</v>
      </c>
      <c r="T10" s="59">
        <f t="shared" si="34"/>
        <v>361.3623790401972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5.8668181818181813</v>
      </c>
      <c r="AI10" s="13">
        <f>IF('Données projet'!$A$62&gt;35,AI9+AH10-AQ9,IF(A10&lt;'Données projet'!$A$62,$AF$205^A10,IF(A10='Données projet'!$A$62,'Données projet'!$B$62,AI9+AH10-AQ9)))</f>
        <v>4.6948987963973625</v>
      </c>
      <c r="AJ10" s="13">
        <f>AI10*VLOOKUP('Données projet'!$B$10,Paramètres!$A$1:$I$89,3,0)*VLOOKUP('Données projet'!$B$10,Paramètres!$A$1:$I$89,5,0)</f>
        <v>2.8075494802456231</v>
      </c>
      <c r="AK10" s="13">
        <f t="shared" si="35"/>
        <v>1.1473453828778812</v>
      </c>
      <c r="AL10" s="20">
        <f t="shared" si="4"/>
        <v>6.8881085532734367</v>
      </c>
      <c r="AM10" s="59">
        <f t="shared" si="5"/>
        <v>191.01228948900967</v>
      </c>
      <c r="AN10" s="59">
        <f ca="1">AVERAGE(OFFSET($AM$3,0,0,'Données projet'!$E$10+1,1))-AVERAGE(OFFSET($H$3,0,0,'Données projet'!$E$10+1,1))</f>
        <v>373.47758082856359</v>
      </c>
      <c r="AO10" s="59">
        <f t="shared" si="36"/>
        <v>277.24895424120166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6.7273684210526312</v>
      </c>
      <c r="BD10" s="12">
        <f>IF('Données projet'!$A$88&gt;35,BD9+BC10-BL9,IF(A10&lt;'Données projet'!$A$88,$BA$205^A10,IF(A10='Données projet'!$A$88,'Données projet'!$B$88,BD9+BC10-BL9)))</f>
        <v>5.9719388519656151</v>
      </c>
      <c r="BE10" s="13">
        <f>BD10*VLOOKUP('Données projet'!$B$11,Paramètres!$A$1:$I$89,3,0)*VLOOKUP('Données projet'!$B$11,Paramètres!$A$1:$I$89,5,0)</f>
        <v>3.5712194334754384</v>
      </c>
      <c r="BF10" s="13">
        <f t="shared" si="37"/>
        <v>1.4191253444613534</v>
      </c>
      <c r="BG10" s="20">
        <f t="shared" si="7"/>
        <v>8.6915171549065775</v>
      </c>
      <c r="BH10" s="59">
        <f t="shared" si="8"/>
        <v>192.8156980906428</v>
      </c>
      <c r="BI10" s="59">
        <f ca="1">AVERAGE(OFFSET($BH$3,0,0,'Données projet'!$E$11+1,1))-AVERAGE(OFFSET($H$3,0,0,'Données projet'!$E$11+1,1))</f>
        <v>460.88622650237176</v>
      </c>
      <c r="BJ10" s="59">
        <f t="shared" si="38"/>
        <v>396.05161661639647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9.2928571428571427</v>
      </c>
      <c r="BY10" s="12">
        <f>IF('Données projet'!$A$114&gt;35,BY9+BX10-CG9,IF(A10&lt;'Données projet'!$A$114,$BV$205^A10,IF(A10='Données projet'!$A$114,'Données projet'!$B$114,BY9+BX10-CG9)))</f>
        <v>5.8003765114279382</v>
      </c>
      <c r="BZ10" s="13">
        <f>BY10*VLOOKUP('Données projet'!$B$12,Paramètres!$A$1:$I$89,3,0)*VLOOKUP('Données projet'!$B$12,Paramètres!$A$1:$I$89,5,0)</f>
        <v>2.6391713126997121</v>
      </c>
      <c r="CA10" s="13">
        <f t="shared" si="39"/>
        <v>1.0863276163511435</v>
      </c>
      <c r="CB10" s="20">
        <f t="shared" si="10"/>
        <v>6.4885773014302401</v>
      </c>
      <c r="CC10" s="59">
        <f t="shared" si="11"/>
        <v>190.61275823716647</v>
      </c>
      <c r="CD10" s="59">
        <f ca="1">AVERAGE(OFFSET($CC$3,0,0,'Données projet'!$E$12+1,1))-AVERAGE(OFFSET($H$3,0,0,'Données projet'!$E$12+1,1))</f>
        <v>341.60063595566282</v>
      </c>
      <c r="CE10" s="59">
        <f t="shared" si="40"/>
        <v>317.05609766344219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4.2309999999999999</v>
      </c>
      <c r="CT10" s="12">
        <f>IF('Données projet'!$A$140&gt;35,CT9+CS10-DB9,IF(A10&lt;'Données projet'!$A$140,$CQ$205^A10,IF(A10='Données projet'!$A$140,'Données projet'!$B$140,CT9+CS10-DB9)))</f>
        <v>4.727326051536572</v>
      </c>
      <c r="CU10" s="17">
        <f>CT10*VLOOKUP('Données projet'!$B$13,Paramètres!$A$1:$I$89,3,0)*VLOOKUP('Données projet'!$B$13,Paramètres!$A$1:$I$89,5,0)</f>
        <v>4.9410011890660259</v>
      </c>
      <c r="CV10" s="13">
        <f t="shared" si="41"/>
        <v>1.8906318163720355</v>
      </c>
      <c r="CW10" s="20">
        <f t="shared" si="13"/>
        <v>11.89842748447129</v>
      </c>
      <c r="CX10" s="59">
        <f t="shared" si="14"/>
        <v>196.02260842020752</v>
      </c>
      <c r="CY10" s="59">
        <f ca="1">AVERAGE(OFFSET($CX$3,0,0,'Données projet'!$E$13+1,1))-AVERAGE(OFFSET($H$3,0,0,'Données projet'!$E$13+1,1))</f>
        <v>287.73449456153207</v>
      </c>
      <c r="CZ10" s="59">
        <f t="shared" si="42"/>
        <v>296.74833899433281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4.3352272727272725</v>
      </c>
      <c r="DO10" s="12">
        <f>IF('Données projet'!$A$166&gt;35,DO9+DN10-DW9,IF(A10&lt;'Données projet'!$A$166,$DL$205^A10,IF(A10='Données projet'!$A$166,'Données projet'!$B$166,DO9+DN10-DW9)))</f>
        <v>30.34659090909091</v>
      </c>
      <c r="DP10" s="17">
        <f>DO10*VLOOKUP('Données projet'!$B$14,Paramètres!$A$1:$I$89,3,0)*VLOOKUP('Données projet'!$B$14,Paramètres!$A$1:$I$89,5,0)</f>
        <v>30.771443181818185</v>
      </c>
      <c r="DQ10" s="13">
        <f t="shared" si="43"/>
        <v>9.51654966668724</v>
      </c>
      <c r="DR10" s="20">
        <f t="shared" si="16"/>
        <v>70.168254211146944</v>
      </c>
      <c r="DS10" s="59">
        <f t="shared" si="17"/>
        <v>254.29243514688318</v>
      </c>
      <c r="DT10" s="59">
        <f ca="1">AVERAGE(OFFSET($DS$3,0,0,'Données projet'!$E$14+1,1))-AVERAGE(OFFSET($H$3,0,0,'Données projet'!$E$14+1,1))</f>
        <v>532.34688562681413</v>
      </c>
      <c r="DU10" s="59">
        <f t="shared" si="44"/>
        <v>345.42627129678556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9.104000000000001</v>
      </c>
      <c r="EJ10" s="12">
        <f>IF('Données projet'!$A$192&gt;35,EJ9+EI10-ER9,IF(A10&lt;'Données projet'!$A$192,$EG$205^A10,IF(A10='Données projet'!$A$192,'Données projet'!$B$192,EJ9+EI10-ER9)))</f>
        <v>36.147999999999996</v>
      </c>
      <c r="EK10" s="17">
        <f>EJ10*VLOOKUP('Données projet'!$B$15,Paramètres!$A$1:$I$89,3,0)*VLOOKUP('Données projet'!$B$15,Paramètres!$A$1:$I$89,5,0)</f>
        <v>32.706710399999999</v>
      </c>
      <c r="EL10" s="13">
        <f t="shared" si="45"/>
        <v>10.043502667435174</v>
      </c>
      <c r="EM10" s="20">
        <f t="shared" si="19"/>
        <v>74.456621092449581</v>
      </c>
      <c r="EN10" s="59">
        <f t="shared" si="20"/>
        <v>258.58080202818581</v>
      </c>
      <c r="EO10" s="59">
        <f ca="1">AVERAGE(OFFSET($EN$3,0,0,'Données projet'!$E$15+1,1))-AVERAGE(OFFSET($H$3,0,0,'Données projet'!$E$15+1,1))</f>
        <v>256.20286603823035</v>
      </c>
      <c r="EP10" s="59">
        <f t="shared" si="46"/>
        <v>364.83827155069434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4.3352272727272725</v>
      </c>
      <c r="FE10" s="12">
        <f>IF('Données projet'!$A$218&gt;35,FE9+FD10-FM9,IF(A10&lt;'Données projet'!$A$218,$FB$205^A10,IF(A10='Données projet'!$A$218,'Données projet'!$B$218,FE9+FD10-FM9)))</f>
        <v>30.34659090909091</v>
      </c>
      <c r="FF10" s="17">
        <f>FE10*VLOOKUP('Données projet'!$B$16,Paramètres!$A$1:$I$89,3,0)*VLOOKUP('Données projet'!$B$16,Paramètres!$A$1:$I$89,5,0)</f>
        <v>20.35649318181818</v>
      </c>
      <c r="FG10" s="13">
        <f t="shared" si="47"/>
        <v>6.6057480302864642</v>
      </c>
      <c r="FH10" s="20">
        <f t="shared" si="22"/>
        <v>46.959236777748913</v>
      </c>
      <c r="FI10" s="59">
        <f t="shared" si="23"/>
        <v>231.08341771348515</v>
      </c>
      <c r="FJ10" s="59">
        <f ca="1">AVERAGE(OFFSET($FI$3,0,0,'Données projet'!$E$16+1,1))-AVERAGE(OFFSET($H$3,0,0,'Données projet'!$E$16+1,1))</f>
        <v>380.73695370216979</v>
      </c>
      <c r="FK10" s="59">
        <f t="shared" si="48"/>
        <v>249.34467160415713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4.3352272727272725</v>
      </c>
      <c r="FZ10" s="12">
        <f>IF('Données projet'!$A$244&gt;35,FZ9+FY10-GH9,IF(A10&lt;'Données projet'!$A$244,$FW$205^A10,IF(A10='Données projet'!$A$244,'Données projet'!$B$244,FZ9+FY10-GH9)))</f>
        <v>30.34659090909091</v>
      </c>
      <c r="GA10" s="17">
        <f>FZ10*VLOOKUP('Données projet'!$B$17,Paramètres!$A$1:$I$89,3,0)*VLOOKUP('Données projet'!$B$17,Paramètres!$A$1:$I$89,5,0)</f>
        <v>29.351222727272731</v>
      </c>
      <c r="GB10" s="13">
        <f t="shared" si="49"/>
        <v>9.1273892798817755</v>
      </c>
      <c r="GC10" s="20">
        <f t="shared" si="25"/>
        <v>67.01691591246076</v>
      </c>
      <c r="GD10" s="59">
        <f t="shared" si="26"/>
        <v>251.14109684819698</v>
      </c>
      <c r="GE10" s="59">
        <f ca="1">AVERAGE(OFFSET($GD$3,0,0,'Données projet'!$E$17+1,1))-AVERAGE(OFFSET($H$3,0,0,'Données projet'!$E$17+1,1))</f>
        <v>511.7458522930001</v>
      </c>
      <c r="GF10" s="59">
        <f t="shared" si="50"/>
        <v>332.37317679966122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2.4666666666666668</v>
      </c>
      <c r="GU10" s="12">
        <f>IF('Données projet'!$A$270&gt;35,GU9+GT10-HC9,IF(A10&lt;'Données projet'!$A$270,$GR$205^A10,IF(A10='Données projet'!$A$270,'Données projet'!$B$270,GU9+GT10-HC9)))</f>
        <v>5.3929633792034757</v>
      </c>
      <c r="GV10" s="17">
        <f>GU10*VLOOKUP('Données projet'!$B$18,Paramètres!$A$1:$I$89,3,0)*VLOOKUP('Données projet'!$B$18,Paramètres!$A$1:$I$89,5,0)</f>
        <v>4.711292808072157</v>
      </c>
      <c r="GW10" s="13">
        <f t="shared" si="51"/>
        <v>1.8127530905190552</v>
      </c>
      <c r="GX10" s="20">
        <f t="shared" si="28"/>
        <v>11.362713273379695</v>
      </c>
      <c r="GY10" s="59">
        <f t="shared" si="29"/>
        <v>195.48689420911592</v>
      </c>
      <c r="GZ10" s="59">
        <f ca="1">AVERAGE(OFFSET($GY$3,0,0,'Données projet'!$E$18+1,1))-AVERAGE(OFFSET($H$3,0,0,'Données projet'!$E$18+1,1))</f>
        <v>348.77506423101278</v>
      </c>
      <c r="HA10" s="59">
        <f t="shared" si="52"/>
        <v>336.13747591329548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">
      <c r="A11" s="10">
        <f t="shared" si="31"/>
        <v>8</v>
      </c>
      <c r="B11" s="71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5">
        <f t="shared" si="1"/>
        <v>183.33333333333334</v>
      </c>
      <c r="I11" s="6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9.9228571428571435</v>
      </c>
      <c r="N11" s="13">
        <f>IF('Données projet'!$A$36&gt;35,N10+M11-V10,IF(A11&lt;'Données projet'!$A$36,$K$205^A11,IF(A11='Données projet'!$A$36,'Données projet'!$B$36,N10+M11-V10)))</f>
        <v>79.382857142857134</v>
      </c>
      <c r="O11" s="13">
        <f>N11*VLOOKUP('Données projet'!$B$9,Paramètres!$A$1:$I$89,3,0)*VLOOKUP('Données projet'!$B$9,Paramètres!$A$1:$I$89,5,0)</f>
        <v>37.151177142857144</v>
      </c>
      <c r="P11" s="13">
        <f t="shared" si="33"/>
        <v>11.240350032876002</v>
      </c>
      <c r="Q11" s="20">
        <f t="shared" si="2"/>
        <v>84.28190983106856</v>
      </c>
      <c r="R11" s="59">
        <f t="shared" si="0"/>
        <v>271.03518269728909</v>
      </c>
      <c r="S11" s="59">
        <f ca="1">AVERAGE(OFFSET($R$3,0,0,'Données projet'!$E$9+1,1))-AVERAGE(OFFSET($H$3,0,0,'Données projet'!$E$9+1,1))</f>
        <v>387.50901594883317</v>
      </c>
      <c r="T11" s="59">
        <f t="shared" si="34"/>
        <v>361.3623790401972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5.8668181818181813</v>
      </c>
      <c r="AI11" s="13">
        <f>IF('Données projet'!$A$62&gt;35,AI10+AH11-AQ10,IF(A11&lt;'Données projet'!$A$62,$AF$205^A11,IF(A11='Données projet'!$A$62,'Données projet'!$B$62,AI10+AH11-AQ10)))</f>
        <v>5.8556193873498845</v>
      </c>
      <c r="AJ11" s="13">
        <f>AI11*VLOOKUP('Données projet'!$B$10,Paramètres!$A$1:$I$89,3,0)*VLOOKUP('Données projet'!$B$10,Paramètres!$A$1:$I$89,5,0)</f>
        <v>3.5016603936352309</v>
      </c>
      <c r="AK11" s="13">
        <f t="shared" si="35"/>
        <v>1.3946736396044743</v>
      </c>
      <c r="AL11" s="20">
        <f t="shared" si="4"/>
        <v>8.5277817745591538</v>
      </c>
      <c r="AM11" s="59">
        <f t="shared" si="5"/>
        <v>195.2810546407797</v>
      </c>
      <c r="AN11" s="59">
        <f ca="1">AVERAGE(OFFSET($AM$3,0,0,'Données projet'!$E$10+1,1))-AVERAGE(OFFSET($H$3,0,0,'Données projet'!$E$10+1,1))</f>
        <v>373.47758082856359</v>
      </c>
      <c r="AO11" s="59">
        <f t="shared" si="36"/>
        <v>277.24895424120166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6.7273684210526312</v>
      </c>
      <c r="BD11" s="12">
        <f>IF('Données projet'!$A$88&gt;35,BD10+BC11-BL10,IF(A11&lt;'Données projet'!$A$88,$BA$205^A11,IF(A11='Données projet'!$A$88,'Données projet'!$B$88,BD10+BC11-BL10)))</f>
        <v>7.7088389735383984</v>
      </c>
      <c r="BE11" s="13">
        <f>BD11*VLOOKUP('Données projet'!$B$11,Paramètres!$A$1:$I$89,3,0)*VLOOKUP('Données projet'!$B$11,Paramètres!$A$1:$I$89,5,0)</f>
        <v>4.6098857061759633</v>
      </c>
      <c r="BF11" s="13">
        <f t="shared" si="37"/>
        <v>1.7782330939379272</v>
      </c>
      <c r="BG11" s="20">
        <f t="shared" si="7"/>
        <v>11.125973576865023</v>
      </c>
      <c r="BH11" s="59">
        <f t="shared" si="8"/>
        <v>197.87924644308558</v>
      </c>
      <c r="BI11" s="59">
        <f ca="1">AVERAGE(OFFSET($BH$3,0,0,'Données projet'!$E$11+1,1))-AVERAGE(OFFSET($H$3,0,0,'Données projet'!$E$11+1,1))</f>
        <v>460.88622650237176</v>
      </c>
      <c r="BJ11" s="59">
        <f t="shared" si="38"/>
        <v>396.05161661639647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9.2928571428571427</v>
      </c>
      <c r="BY11" s="12">
        <f>IF('Données projet'!$A$114&gt;35,BY10+BX11-CG10,IF(A11&lt;'Données projet'!$A$114,$BV$205^A11,IF(A11='Données projet'!$A$114,'Données projet'!$B$114,BY10+BX11-CG10)))</f>
        <v>7.4562653403153227</v>
      </c>
      <c r="BZ11" s="13">
        <f>BY11*VLOOKUP('Données projet'!$B$12,Paramètres!$A$1:$I$89,3,0)*VLOOKUP('Données projet'!$B$12,Paramètres!$A$1:$I$89,5,0)</f>
        <v>3.3926007298434717</v>
      </c>
      <c r="CA11" s="13">
        <f t="shared" si="39"/>
        <v>1.3562220586776819</v>
      </c>
      <c r="CB11" s="20">
        <f t="shared" si="10"/>
        <v>8.2708663566743414</v>
      </c>
      <c r="CC11" s="59">
        <f t="shared" si="11"/>
        <v>195.02413922289489</v>
      </c>
      <c r="CD11" s="59">
        <f ca="1">AVERAGE(OFFSET($CC$3,0,0,'Données projet'!$E$12+1,1))-AVERAGE(OFFSET($H$3,0,0,'Données projet'!$E$12+1,1))</f>
        <v>341.60063595566282</v>
      </c>
      <c r="CE11" s="59">
        <f t="shared" si="40"/>
        <v>317.05609766344219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4.2309999999999999</v>
      </c>
      <c r="CT11" s="12">
        <f>IF('Données projet'!$A$140&gt;35,CT10+CS11-DB10,IF(A11&lt;'Données projet'!$A$140,$CQ$205^A11,IF(A11='Données projet'!$A$140,'Données projet'!$B$140,CT10+CS11-DB10)))</f>
        <v>5.9018641469432849</v>
      </c>
      <c r="CU11" s="17">
        <f>CT11*VLOOKUP('Données projet'!$B$13,Paramètres!$A$1:$I$89,3,0)*VLOOKUP('Données projet'!$B$13,Paramètres!$A$1:$I$89,5,0)</f>
        <v>6.168628406385122</v>
      </c>
      <c r="CV11" s="13">
        <f t="shared" si="41"/>
        <v>2.3001847520639047</v>
      </c>
      <c r="CW11" s="20">
        <f t="shared" si="13"/>
        <v>14.749849584298721</v>
      </c>
      <c r="CX11" s="59">
        <f t="shared" si="14"/>
        <v>201.50312245051927</v>
      </c>
      <c r="CY11" s="59">
        <f ca="1">AVERAGE(OFFSET($CX$3,0,0,'Données projet'!$E$13+1,1))-AVERAGE(OFFSET($H$3,0,0,'Données projet'!$E$13+1,1))</f>
        <v>287.73449456153207</v>
      </c>
      <c r="CZ11" s="59">
        <f t="shared" si="42"/>
        <v>296.74833899433281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4.3352272727272725</v>
      </c>
      <c r="DO11" s="12">
        <f>IF('Données projet'!$A$166&gt;35,DO10+DN11-DW10,IF(A11&lt;'Données projet'!$A$166,$DL$205^A11,IF(A11='Données projet'!$A$166,'Données projet'!$B$166,DO10+DN11-DW10)))</f>
        <v>34.68181818181818</v>
      </c>
      <c r="DP11" s="17">
        <f>DO11*VLOOKUP('Données projet'!$B$14,Paramètres!$A$1:$I$89,3,0)*VLOOKUP('Données projet'!$B$14,Paramètres!$A$1:$I$89,5,0)</f>
        <v>35.167363636363639</v>
      </c>
      <c r="DQ11" s="13">
        <f t="shared" si="43"/>
        <v>10.708316597459133</v>
      </c>
      <c r="DR11" s="20">
        <f t="shared" si="16"/>
        <v>79.900143073907998</v>
      </c>
      <c r="DS11" s="59">
        <f t="shared" si="17"/>
        <v>266.65341594012853</v>
      </c>
      <c r="DT11" s="59">
        <f ca="1">AVERAGE(OFFSET($DS$3,0,0,'Données projet'!$E$14+1,1))-AVERAGE(OFFSET($H$3,0,0,'Données projet'!$E$14+1,1))</f>
        <v>532.34688562681413</v>
      </c>
      <c r="DU11" s="59">
        <f t="shared" si="44"/>
        <v>345.42627129678556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9.104000000000001</v>
      </c>
      <c r="EJ11" s="12">
        <f>IF('Données projet'!$A$192&gt;35,EJ10+EI11-ER10,IF(A11&lt;'Données projet'!$A$192,$EG$205^A11,IF(A11='Données projet'!$A$192,'Données projet'!$B$192,EJ10+EI11-ER10)))</f>
        <v>45.251999999999995</v>
      </c>
      <c r="EK11" s="17">
        <f>EJ11*VLOOKUP('Données projet'!$B$15,Paramètres!$A$1:$I$89,3,0)*VLOOKUP('Données projet'!$B$15,Paramètres!$A$1:$I$89,5,0)</f>
        <v>40.944009599999994</v>
      </c>
      <c r="EL11" s="13">
        <f t="shared" si="45"/>
        <v>12.248516064582658</v>
      </c>
      <c r="EM11" s="20">
        <f t="shared" si="19"/>
        <v>92.643648865814782</v>
      </c>
      <c r="EN11" s="59">
        <f t="shared" si="20"/>
        <v>279.39692173203537</v>
      </c>
      <c r="EO11" s="59">
        <f ca="1">AVERAGE(OFFSET($EN$3,0,0,'Données projet'!$E$15+1,1))-AVERAGE(OFFSET($H$3,0,0,'Données projet'!$E$15+1,1))</f>
        <v>256.20286603823035</v>
      </c>
      <c r="EP11" s="59">
        <f t="shared" si="46"/>
        <v>364.83827155069434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4.3352272727272725</v>
      </c>
      <c r="FE11" s="12">
        <f>IF('Données projet'!$A$218&gt;35,FE10+FD11-FM10,IF(A11&lt;'Données projet'!$A$218,$FB$205^A11,IF(A11='Données projet'!$A$218,'Données projet'!$B$218,FE10+FD11-FM10)))</f>
        <v>34.68181818181818</v>
      </c>
      <c r="FF11" s="17">
        <f>FE11*VLOOKUP('Données projet'!$B$16,Paramètres!$A$1:$I$89,3,0)*VLOOKUP('Données projet'!$B$16,Paramètres!$A$1:$I$89,5,0)</f>
        <v>23.264563636363636</v>
      </c>
      <c r="FG11" s="13">
        <f t="shared" si="47"/>
        <v>7.4329923920812426</v>
      </c>
      <c r="FH11" s="20">
        <f t="shared" si="22"/>
        <v>53.46491008287483</v>
      </c>
      <c r="FI11" s="59">
        <f t="shared" si="23"/>
        <v>240.21818294909539</v>
      </c>
      <c r="FJ11" s="59">
        <f ca="1">AVERAGE(OFFSET($FI$3,0,0,'Données projet'!$E$16+1,1))-AVERAGE(OFFSET($H$3,0,0,'Données projet'!$E$16+1,1))</f>
        <v>380.73695370216979</v>
      </c>
      <c r="FK11" s="59">
        <f t="shared" si="48"/>
        <v>249.34467160415713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4.3352272727272725</v>
      </c>
      <c r="FZ11" s="12">
        <f>IF('Données projet'!$A$244&gt;35,FZ10+FY11-GH10,IF(A11&lt;'Données projet'!$A$244,$FW$205^A11,IF(A11='Données projet'!$A$244,'Données projet'!$B$244,FZ10+FY11-GH10)))</f>
        <v>34.68181818181818</v>
      </c>
      <c r="GA11" s="17">
        <f>FZ11*VLOOKUP('Données projet'!$B$17,Paramètres!$A$1:$I$89,3,0)*VLOOKUP('Données projet'!$B$17,Paramètres!$A$1:$I$89,5,0)</f>
        <v>33.544254545454542</v>
      </c>
      <c r="GB11" s="13">
        <f t="shared" si="49"/>
        <v>10.270421270364901</v>
      </c>
      <c r="GC11" s="20">
        <f t="shared" si="25"/>
        <v>76.31056037921887</v>
      </c>
      <c r="GD11" s="59">
        <f t="shared" si="26"/>
        <v>263.06383324543941</v>
      </c>
      <c r="GE11" s="59">
        <f ca="1">AVERAGE(OFFSET($GD$3,0,0,'Données projet'!$E$17+1,1))-AVERAGE(OFFSET($H$3,0,0,'Données projet'!$E$17+1,1))</f>
        <v>511.7458522930001</v>
      </c>
      <c r="GF11" s="59">
        <f t="shared" si="50"/>
        <v>332.37317679966122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2.4666666666666668</v>
      </c>
      <c r="GU11" s="12">
        <f>IF('Données projet'!$A$270&gt;35,GU10+GT11-HC10,IF(A11&lt;'Données projet'!$A$270,$GR$205^A11,IF(A11='Données projet'!$A$270,'Données projet'!$B$270,GU10+GT11-HC10)))</f>
        <v>6.8607919984549888</v>
      </c>
      <c r="GV11" s="17">
        <f>GU11*VLOOKUP('Données projet'!$B$18,Paramètres!$A$1:$I$89,3,0)*VLOOKUP('Données projet'!$B$18,Paramètres!$A$1:$I$89,5,0)</f>
        <v>5.9935878898502795</v>
      </c>
      <c r="GW11" s="13">
        <f t="shared" si="51"/>
        <v>2.2424160357272664</v>
      </c>
      <c r="GX11" s="20">
        <f t="shared" si="28"/>
        <v>14.344373503714223</v>
      </c>
      <c r="GY11" s="59">
        <f t="shared" si="29"/>
        <v>201.09764636993478</v>
      </c>
      <c r="GZ11" s="59">
        <f ca="1">AVERAGE(OFFSET($GY$3,0,0,'Données projet'!$E$18+1,1))-AVERAGE(OFFSET($H$3,0,0,'Données projet'!$E$18+1,1))</f>
        <v>348.77506423101278</v>
      </c>
      <c r="HA11" s="59">
        <f t="shared" si="52"/>
        <v>336.13747591329548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">
      <c r="A12" s="10">
        <f t="shared" si="31"/>
        <v>9</v>
      </c>
      <c r="B12" s="71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5">
        <f t="shared" si="1"/>
        <v>183.33333333333334</v>
      </c>
      <c r="I12" s="6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9.9228571428571435</v>
      </c>
      <c r="N12" s="13">
        <f>IF('Données projet'!$A$36&gt;35,N11+M12-V11,IF(A12&lt;'Données projet'!$A$36,$K$205^A12,IF(A12='Données projet'!$A$36,'Données projet'!$B$36,N11+M12-V11)))</f>
        <v>89.305714285714274</v>
      </c>
      <c r="O12" s="13">
        <f>N12*VLOOKUP('Données projet'!$B$9,Paramètres!$A$1:$I$89,3,0)*VLOOKUP('Données projet'!$B$9,Paramètres!$A$1:$I$89,5,0)</f>
        <v>41.795074285714279</v>
      </c>
      <c r="P12" s="13">
        <f t="shared" si="33"/>
        <v>12.473209147246388</v>
      </c>
      <c r="Q12" s="20">
        <f t="shared" si="2"/>
        <v>94.517260312406492</v>
      </c>
      <c r="R12" s="59">
        <f t="shared" si="0"/>
        <v>283.87521906496255</v>
      </c>
      <c r="S12" s="59">
        <f ca="1">AVERAGE(OFFSET($R$3,0,0,'Données projet'!$E$9+1,1))-AVERAGE(OFFSET($H$3,0,0,'Données projet'!$E$9+1,1))</f>
        <v>387.50901594883317</v>
      </c>
      <c r="T12" s="59">
        <f t="shared" si="34"/>
        <v>361.3623790401972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5.8668181818181813</v>
      </c>
      <c r="AI12" s="13">
        <f>IF('Données projet'!$A$62&gt;35,AI11+AH12-AQ11,IF(A12&lt;'Données projet'!$A$62,$AF$205^A12,IF(A12='Données projet'!$A$62,'Données projet'!$B$62,AI11+AH12-AQ11)))</f>
        <v>7.3033051182741131</v>
      </c>
      <c r="AJ12" s="13">
        <f>AI12*VLOOKUP('Données projet'!$B$10,Paramètres!$A$1:$I$89,3,0)*VLOOKUP('Données projet'!$B$10,Paramètres!$A$1:$I$89,5,0)</f>
        <v>4.36737646072792</v>
      </c>
      <c r="AK12" s="13">
        <f t="shared" si="35"/>
        <v>1.6953173735084623</v>
      </c>
      <c r="AL12" s="20">
        <f t="shared" si="4"/>
        <v>10.559191761295033</v>
      </c>
      <c r="AM12" s="59">
        <f t="shared" si="5"/>
        <v>199.91715051385111</v>
      </c>
      <c r="AN12" s="59">
        <f ca="1">AVERAGE(OFFSET($AM$3,0,0,'Données projet'!$E$10+1,1))-AVERAGE(OFFSET($H$3,0,0,'Données projet'!$E$10+1,1))</f>
        <v>373.47758082856359</v>
      </c>
      <c r="AO12" s="59">
        <f t="shared" si="36"/>
        <v>277.24895424120166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6.7273684210526312</v>
      </c>
      <c r="BD12" s="12">
        <f>IF('Données projet'!$A$88&gt;35,BD11+BC12-BL11,IF(A12&lt;'Données projet'!$A$88,$BA$205^A12,IF(A12='Données projet'!$A$88,'Données projet'!$B$88,BD11+BC12-BL11)))</f>
        <v>9.9509053580454729</v>
      </c>
      <c r="BE12" s="13">
        <f>BD12*VLOOKUP('Données projet'!$B$11,Paramètres!$A$1:$I$89,3,0)*VLOOKUP('Données projet'!$B$11,Paramètres!$A$1:$I$89,5,0)</f>
        <v>5.9506414041111935</v>
      </c>
      <c r="BF12" s="13">
        <f t="shared" si="37"/>
        <v>2.2282125738345351</v>
      </c>
      <c r="BG12" s="20">
        <f t="shared" si="7"/>
        <v>14.244837344922145</v>
      </c>
      <c r="BH12" s="59">
        <f t="shared" si="8"/>
        <v>203.6027960974782</v>
      </c>
      <c r="BI12" s="59">
        <f ca="1">AVERAGE(OFFSET($BH$3,0,0,'Données projet'!$E$11+1,1))-AVERAGE(OFFSET($H$3,0,0,'Données projet'!$E$11+1,1))</f>
        <v>460.88622650237176</v>
      </c>
      <c r="BJ12" s="59">
        <f t="shared" si="38"/>
        <v>396.05161661639647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9.2928571428571427</v>
      </c>
      <c r="BY12" s="12">
        <f>IF('Données projet'!$A$114&gt;35,BY11+BX12-CG11,IF(A12&lt;'Données projet'!$A$114,$BV$205^A12,IF(A12='Données projet'!$A$114,'Données projet'!$B$114,BY11+BX12-CG11)))</f>
        <v>9.5848765533844578</v>
      </c>
      <c r="BZ12" s="13">
        <f>BY12*VLOOKUP('Données projet'!$B$12,Paramètres!$A$1:$I$89,3,0)*VLOOKUP('Données projet'!$B$12,Paramètres!$A$1:$I$89,5,0)</f>
        <v>4.3611188317899279</v>
      </c>
      <c r="CA12" s="13">
        <f t="shared" si="39"/>
        <v>1.6931708673871959</v>
      </c>
      <c r="CB12" s="20">
        <f t="shared" si="10"/>
        <v>10.544554559400158</v>
      </c>
      <c r="CC12" s="59">
        <f t="shared" si="11"/>
        <v>199.90251331195623</v>
      </c>
      <c r="CD12" s="59">
        <f ca="1">AVERAGE(OFFSET($CC$3,0,0,'Données projet'!$E$12+1,1))-AVERAGE(OFFSET($H$3,0,0,'Données projet'!$E$12+1,1))</f>
        <v>341.60063595566282</v>
      </c>
      <c r="CE12" s="59">
        <f t="shared" si="40"/>
        <v>317.05609766344219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4.2309999999999999</v>
      </c>
      <c r="CT12" s="12">
        <f>IF('Données projet'!$A$140&gt;35,CT11+CS12-DB11,IF(A12&lt;'Données projet'!$A$140,$CQ$205^A12,IF(A12='Données projet'!$A$140,'Données projet'!$B$140,CT11+CS12-DB11)))</f>
        <v>7.3682246642693023</v>
      </c>
      <c r="CU12" s="17">
        <f>CT12*VLOOKUP('Données projet'!$B$13,Paramètres!$A$1:$I$89,3,0)*VLOOKUP('Données projet'!$B$13,Paramètres!$A$1:$I$89,5,0)</f>
        <v>7.7012684190942755</v>
      </c>
      <c r="CV12" s="13">
        <f t="shared" si="41"/>
        <v>2.79845597001535</v>
      </c>
      <c r="CW12" s="20">
        <f t="shared" si="13"/>
        <v>18.287019977699263</v>
      </c>
      <c r="CX12" s="59">
        <f t="shared" si="14"/>
        <v>207.64497873025533</v>
      </c>
      <c r="CY12" s="59">
        <f ca="1">AVERAGE(OFFSET($CX$3,0,0,'Données projet'!$E$13+1,1))-AVERAGE(OFFSET($H$3,0,0,'Données projet'!$E$13+1,1))</f>
        <v>287.73449456153207</v>
      </c>
      <c r="CZ12" s="59">
        <f t="shared" si="42"/>
        <v>296.74833899433281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4.3352272727272725</v>
      </c>
      <c r="DO12" s="12">
        <f>IF('Données projet'!$A$166&gt;35,DO11+DN12-DW11,IF(A12&lt;'Données projet'!$A$166,$DL$205^A12,IF(A12='Données projet'!$A$166,'Données projet'!$B$166,DO11+DN12-DW11)))</f>
        <v>39.017045454545453</v>
      </c>
      <c r="DP12" s="17">
        <f>DO12*VLOOKUP('Données projet'!$B$14,Paramètres!$A$1:$I$89,3,0)*VLOOKUP('Données projet'!$B$14,Paramètres!$A$1:$I$89,5,0)</f>
        <v>39.563284090909093</v>
      </c>
      <c r="DQ12" s="13">
        <f t="shared" si="43"/>
        <v>11.882821455237425</v>
      </c>
      <c r="DR12" s="20">
        <f t="shared" si="16"/>
        <v>89.601967159538518</v>
      </c>
      <c r="DS12" s="59">
        <f t="shared" si="17"/>
        <v>278.9599259120946</v>
      </c>
      <c r="DT12" s="59">
        <f ca="1">AVERAGE(OFFSET($DS$3,0,0,'Données projet'!$E$14+1,1))-AVERAGE(OFFSET($H$3,0,0,'Données projet'!$E$14+1,1))</f>
        <v>532.34688562681413</v>
      </c>
      <c r="DU12" s="59">
        <f t="shared" si="44"/>
        <v>345.42627129678556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9.104000000000001</v>
      </c>
      <c r="EJ12" s="12">
        <f>IF('Données projet'!$A$192&gt;35,EJ11+EI12-ER11,IF(A12&lt;'Données projet'!$A$192,$EG$205^A12,IF(A12='Données projet'!$A$192,'Données projet'!$B$192,EJ11+EI12-ER11)))</f>
        <v>54.355999999999995</v>
      </c>
      <c r="EK12" s="17">
        <f>EJ12*VLOOKUP('Données projet'!$B$15,Paramètres!$A$1:$I$89,3,0)*VLOOKUP('Données projet'!$B$15,Paramètres!$A$1:$I$89,5,0)</f>
        <v>49.181308799999996</v>
      </c>
      <c r="EL12" s="13">
        <f t="shared" si="45"/>
        <v>14.402126368339083</v>
      </c>
      <c r="EM12" s="20">
        <f t="shared" si="19"/>
        <v>110.74114958485723</v>
      </c>
      <c r="EN12" s="59">
        <f t="shared" si="20"/>
        <v>300.09910833741333</v>
      </c>
      <c r="EO12" s="59">
        <f ca="1">AVERAGE(OFFSET($EN$3,0,0,'Données projet'!$E$15+1,1))-AVERAGE(OFFSET($H$3,0,0,'Données projet'!$E$15+1,1))</f>
        <v>256.20286603823035</v>
      </c>
      <c r="EP12" s="59">
        <f t="shared" si="46"/>
        <v>364.83827155069434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4.3352272727272725</v>
      </c>
      <c r="FE12" s="12">
        <f>IF('Données projet'!$A$218&gt;35,FE11+FD12-FM11,IF(A12&lt;'Données projet'!$A$218,$FB$205^A12,IF(A12='Données projet'!$A$218,'Données projet'!$B$218,FE11+FD12-FM11)))</f>
        <v>39.017045454545453</v>
      </c>
      <c r="FF12" s="17">
        <f>FE12*VLOOKUP('Données projet'!$B$16,Paramètres!$A$1:$I$89,3,0)*VLOOKUP('Données projet'!$B$16,Paramètres!$A$1:$I$89,5,0)</f>
        <v>26.172634090909092</v>
      </c>
      <c r="FG12" s="13">
        <f t="shared" si="47"/>
        <v>8.2482545850574915</v>
      </c>
      <c r="FH12" s="20">
        <f t="shared" si="22"/>
        <v>59.949714443975118</v>
      </c>
      <c r="FI12" s="59">
        <f t="shared" si="23"/>
        <v>249.3076731965312</v>
      </c>
      <c r="FJ12" s="59">
        <f ca="1">AVERAGE(OFFSET($FI$3,0,0,'Données projet'!$E$16+1,1))-AVERAGE(OFFSET($H$3,0,0,'Données projet'!$E$16+1,1))</f>
        <v>380.73695370216979</v>
      </c>
      <c r="FK12" s="59">
        <f t="shared" si="48"/>
        <v>249.34467160415713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4.3352272727272725</v>
      </c>
      <c r="FZ12" s="12">
        <f>IF('Données projet'!$A$244&gt;35,FZ11+FY12-GH11,IF(A12&lt;'Données projet'!$A$244,$FW$205^A12,IF(A12='Données projet'!$A$244,'Données projet'!$B$244,FZ11+FY12-GH11)))</f>
        <v>39.017045454545453</v>
      </c>
      <c r="GA12" s="17">
        <f>FZ12*VLOOKUP('Données projet'!$B$17,Paramètres!$A$1:$I$89,3,0)*VLOOKUP('Données projet'!$B$17,Paramètres!$A$1:$I$89,5,0)</f>
        <v>37.737286363636365</v>
      </c>
      <c r="GB12" s="13">
        <f t="shared" si="49"/>
        <v>11.396897086025346</v>
      </c>
      <c r="GC12" s="20">
        <f t="shared" si="25"/>
        <v>85.575369508160804</v>
      </c>
      <c r="GD12" s="59">
        <f t="shared" si="26"/>
        <v>274.93332826071685</v>
      </c>
      <c r="GE12" s="59">
        <f ca="1">AVERAGE(OFFSET($GD$3,0,0,'Données projet'!$E$17+1,1))-AVERAGE(OFFSET($H$3,0,0,'Données projet'!$E$17+1,1))</f>
        <v>511.7458522930001</v>
      </c>
      <c r="GF12" s="59">
        <f t="shared" si="50"/>
        <v>332.37317679966122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2.4666666666666668</v>
      </c>
      <c r="GU12" s="12">
        <f>IF('Données projet'!$A$270&gt;35,GU11+GT12-HC11,IF(A12&lt;'Données projet'!$A$270,$GR$205^A12,IF(A12='Données projet'!$A$270,'Données projet'!$B$270,GU11+GT12-HC11)))</f>
        <v>8.7281265486761299</v>
      </c>
      <c r="GV12" s="17">
        <f>GU12*VLOOKUP('Données projet'!$B$18,Paramètres!$A$1:$I$89,3,0)*VLOOKUP('Données projet'!$B$18,Paramètres!$A$1:$I$89,5,0)</f>
        <v>7.6248913529234681</v>
      </c>
      <c r="GW12" s="13">
        <f t="shared" si="51"/>
        <v>2.7739186895259813</v>
      </c>
      <c r="GX12" s="20">
        <f t="shared" si="28"/>
        <v>18.111260823932788</v>
      </c>
      <c r="GY12" s="59">
        <f t="shared" si="29"/>
        <v>207.46921957648885</v>
      </c>
      <c r="GZ12" s="59">
        <f ca="1">AVERAGE(OFFSET($GY$3,0,0,'Données projet'!$E$18+1,1))-AVERAGE(OFFSET($H$3,0,0,'Données projet'!$E$18+1,1))</f>
        <v>348.77506423101278</v>
      </c>
      <c r="HA12" s="59">
        <f t="shared" si="52"/>
        <v>336.13747591329548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">
      <c r="A13" s="10">
        <f t="shared" si="31"/>
        <v>10</v>
      </c>
      <c r="B13" s="71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5">
        <f t="shared" si="1"/>
        <v>183.33333333333334</v>
      </c>
      <c r="I13" s="6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9.9228571428571435</v>
      </c>
      <c r="N13" s="13">
        <f>IF('Données projet'!$A$36&gt;35,N12+M13-V12,IF(A13&lt;'Données projet'!$A$36,$K$205^A13,IF(A13='Données projet'!$A$36,'Données projet'!$B$36,N12+M13-V12)))</f>
        <v>99.228571428571414</v>
      </c>
      <c r="O13" s="13">
        <f>N13*VLOOKUP('Données projet'!$B$9,Paramètres!$A$1:$I$89,3,0)*VLOOKUP('Données projet'!$B$9,Paramètres!$A$1:$I$89,5,0)</f>
        <v>46.438971428571428</v>
      </c>
      <c r="P13" s="13">
        <f t="shared" si="33"/>
        <v>13.690191501665755</v>
      </c>
      <c r="Q13" s="20">
        <f t="shared" si="2"/>
        <v>104.7249587701631</v>
      </c>
      <c r="R13" s="59">
        <f t="shared" si="0"/>
        <v>296.663620755208</v>
      </c>
      <c r="S13" s="59">
        <f ca="1">AVERAGE(OFFSET($R$3,0,0,'Données projet'!$E$9+1,1))-AVERAGE(OFFSET($H$3,0,0,'Données projet'!$E$9+1,1))</f>
        <v>387.50901594883317</v>
      </c>
      <c r="T13" s="59">
        <f t="shared" si="34"/>
        <v>361.3623790401972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5.8668181818181813</v>
      </c>
      <c r="AI13" s="13">
        <f>IF('Données projet'!$A$62&gt;35,AI12+AH13-AQ12,IF(A13&lt;'Données projet'!$A$62,$AF$205^A13,IF(A13='Données projet'!$A$62,'Données projet'!$B$62,AI12+AH13-AQ12)))</f>
        <v>9.1089024272714045</v>
      </c>
      <c r="AJ13" s="13">
        <f>AI13*VLOOKUP('Données projet'!$B$10,Paramètres!$A$1:$I$89,3,0)*VLOOKUP('Données projet'!$B$10,Paramètres!$A$1:$I$89,5,0)</f>
        <v>5.4471236515083001</v>
      </c>
      <c r="AK13" s="13">
        <f t="shared" si="35"/>
        <v>2.0607695702449207</v>
      </c>
      <c r="AL13" s="20">
        <f t="shared" si="4"/>
        <v>13.076247361220192</v>
      </c>
      <c r="AM13" s="59">
        <f t="shared" si="5"/>
        <v>205.01490934626509</v>
      </c>
      <c r="AN13" s="59">
        <f ca="1">AVERAGE(OFFSET($AM$3,0,0,'Données projet'!$E$10+1,1))-AVERAGE(OFFSET($H$3,0,0,'Données projet'!$E$10+1,1))</f>
        <v>373.47758082856359</v>
      </c>
      <c r="AO13" s="59">
        <f t="shared" si="36"/>
        <v>277.24895424120166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6.7273684210526312</v>
      </c>
      <c r="BD13" s="12">
        <f>IF('Données projet'!$A$88&gt;35,BD12+BC13-BL12,IF(A13&lt;'Données projet'!$A$88,$BA$205^A13,IF(A13='Données projet'!$A$88,'Données projet'!$B$88,BD12+BC13-BL12)))</f>
        <v>12.845062373812581</v>
      </c>
      <c r="BE13" s="13">
        <f>BD13*VLOOKUP('Données projet'!$B$11,Paramètres!$A$1:$I$89,3,0)*VLOOKUP('Données projet'!$B$11,Paramètres!$A$1:$I$89,5,0)</f>
        <v>7.6813472995399241</v>
      </c>
      <c r="BF13" s="13">
        <f t="shared" si="37"/>
        <v>2.7920587526573346</v>
      </c>
      <c r="BG13" s="20">
        <f t="shared" si="7"/>
        <v>18.241182207576891</v>
      </c>
      <c r="BH13" s="59">
        <f t="shared" si="8"/>
        <v>210.17984419262177</v>
      </c>
      <c r="BI13" s="59">
        <f ca="1">AVERAGE(OFFSET($BH$3,0,0,'Données projet'!$E$11+1,1))-AVERAGE(OFFSET($H$3,0,0,'Données projet'!$E$11+1,1))</f>
        <v>460.88622650237176</v>
      </c>
      <c r="BJ13" s="59">
        <f t="shared" si="38"/>
        <v>396.05161661639647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9.2928571428571427</v>
      </c>
      <c r="BY13" s="12">
        <f>IF('Données projet'!$A$114&gt;35,BY12+BX13-CG12,IF(A13&lt;'Données projet'!$A$114,$BV$205^A13,IF(A13='Données projet'!$A$114,'Données projet'!$B$114,BY12+BX13-CG12)))</f>
        <v>12.321162720281352</v>
      </c>
      <c r="BZ13" s="13">
        <f>BY13*VLOOKUP('Données projet'!$B$12,Paramètres!$A$1:$I$89,3,0)*VLOOKUP('Données projet'!$B$12,Paramètres!$A$1:$I$89,5,0)</f>
        <v>5.6061290377280155</v>
      </c>
      <c r="CA13" s="13">
        <f t="shared" si="39"/>
        <v>2.1138334742644358</v>
      </c>
      <c r="CB13" s="20">
        <f t="shared" si="10"/>
        <v>13.445601375053519</v>
      </c>
      <c r="CC13" s="59">
        <f t="shared" si="11"/>
        <v>205.3842633600984</v>
      </c>
      <c r="CD13" s="59">
        <f ca="1">AVERAGE(OFFSET($CC$3,0,0,'Données projet'!$E$12+1,1))-AVERAGE(OFFSET($H$3,0,0,'Données projet'!$E$12+1,1))</f>
        <v>341.60063595566282</v>
      </c>
      <c r="CE13" s="59">
        <f t="shared" si="40"/>
        <v>317.05609766344219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4.2309999999999999</v>
      </c>
      <c r="CT13" s="12">
        <f>IF('Données projet'!$A$140&gt;35,CT12+CS13-DB12,IF(A13&lt;'Données projet'!$A$140,$CQ$205^A13,IF(A13='Données projet'!$A$140,'Données projet'!$B$140,CT12+CS13-DB12)))</f>
        <v>9.1989129792601094</v>
      </c>
      <c r="CU13" s="17">
        <f>CT13*VLOOKUP('Données projet'!$B$13,Paramètres!$A$1:$I$89,3,0)*VLOOKUP('Données projet'!$B$13,Paramètres!$A$1:$I$89,5,0)</f>
        <v>9.6147038459226675</v>
      </c>
      <c r="CV13" s="13">
        <f t="shared" si="41"/>
        <v>3.4046638249765153</v>
      </c>
      <c r="CW13" s="20">
        <f t="shared" si="13"/>
        <v>22.675398693482737</v>
      </c>
      <c r="CX13" s="59">
        <f t="shared" si="14"/>
        <v>214.61406067852764</v>
      </c>
      <c r="CY13" s="59">
        <f ca="1">AVERAGE(OFFSET($CX$3,0,0,'Données projet'!$E$13+1,1))-AVERAGE(OFFSET($H$3,0,0,'Données projet'!$E$13+1,1))</f>
        <v>287.73449456153207</v>
      </c>
      <c r="CZ13" s="59">
        <f t="shared" si="42"/>
        <v>296.74833899433281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4.3352272727272725</v>
      </c>
      <c r="DO13" s="12">
        <f>IF('Données projet'!$A$166&gt;35,DO12+DN13-DW12,IF(A13&lt;'Données projet'!$A$166,$DL$205^A13,IF(A13='Données projet'!$A$166,'Données projet'!$B$166,DO12+DN13-DW12)))</f>
        <v>43.352272727272727</v>
      </c>
      <c r="DP13" s="17">
        <f>DO13*VLOOKUP('Données projet'!$B$14,Paramètres!$A$1:$I$89,3,0)*VLOOKUP('Données projet'!$B$14,Paramètres!$A$1:$I$89,5,0)</f>
        <v>43.959204545454547</v>
      </c>
      <c r="DQ13" s="13">
        <f t="shared" si="43"/>
        <v>13.042201039194156</v>
      </c>
      <c r="DR13" s="20">
        <f t="shared" si="16"/>
        <v>99.277448059929824</v>
      </c>
      <c r="DS13" s="59">
        <f t="shared" si="17"/>
        <v>291.2161100449747</v>
      </c>
      <c r="DT13" s="59">
        <f ca="1">AVERAGE(OFFSET($DS$3,0,0,'Données projet'!$E$14+1,1))-AVERAGE(OFFSET($H$3,0,0,'Données projet'!$E$14+1,1))</f>
        <v>532.34688562681413</v>
      </c>
      <c r="DU13" s="59">
        <f t="shared" si="44"/>
        <v>345.42627129678556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63.46</v>
      </c>
      <c r="EH13" s="12">
        <f>VLOOKUP(A13,'Données projet'!$A$191:$I$211,9,0)</f>
        <v>9.104000000000001</v>
      </c>
      <c r="EI13" s="12">
        <f t="array" ref="EI13">INDEX(EH:EH,MIN(IF(ISNUMBER(EH13:EH209),ROW(EH13:EH209),"")))</f>
        <v>9.104000000000001</v>
      </c>
      <c r="EJ13" s="12">
        <f>IF('Données projet'!$A$192&gt;35,EJ12+EI13-ER12,IF(A13&lt;'Données projet'!$A$192,$EG$205^A13,IF(A13='Données projet'!$A$192,'Données projet'!$B$192,EJ12+EI13-ER12)))</f>
        <v>63.459999999999994</v>
      </c>
      <c r="EK13" s="17">
        <f>EJ13*VLOOKUP('Données projet'!$B$15,Paramètres!$A$1:$I$89,3,0)*VLOOKUP('Données projet'!$B$15,Paramètres!$A$1:$I$89,5,0)</f>
        <v>57.418607999999992</v>
      </c>
      <c r="EL13" s="13">
        <f t="shared" si="45"/>
        <v>16.513951126851616</v>
      </c>
      <c r="EM13" s="20">
        <f t="shared" si="19"/>
        <v>128.76587381259986</v>
      </c>
      <c r="EN13" s="59">
        <f t="shared" si="20"/>
        <v>320.70453579764478</v>
      </c>
      <c r="EO13" s="59">
        <f ca="1">AVERAGE(OFFSET($EN$3,0,0,'Données projet'!$E$15+1,1))-AVERAGE(OFFSET($H$3,0,0,'Données projet'!$E$15+1,1))</f>
        <v>256.20286603823035</v>
      </c>
      <c r="EP13" s="59">
        <f t="shared" si="46"/>
        <v>364.83827155069434</v>
      </c>
      <c r="EQ13" s="15">
        <f>IF(ISNA(VLOOKUP(A13,'Données projet'!$A$191:$I$211,3,0)),0,VLOOKUP(A13,'Données projet'!$A$191:$I$211,3,0))</f>
        <v>2</v>
      </c>
      <c r="ER13" s="15">
        <f>IF(ISNA(VLOOKUP(A13,'Données projet'!$A$191:$I$211,4,0)),0,VLOOKUP(A13,'Données projet'!$A$191:$I$211,4,0))</f>
        <v>17.95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4.3352272727272725</v>
      </c>
      <c r="FE13" s="12">
        <f>IF('Données projet'!$A$218&gt;35,FE12+FD13-FM12,IF(A13&lt;'Données projet'!$A$218,$FB$205^A13,IF(A13='Données projet'!$A$218,'Données projet'!$B$218,FE12+FD13-FM12)))</f>
        <v>43.352272727272727</v>
      </c>
      <c r="FF13" s="17">
        <f>FE13*VLOOKUP('Données projet'!$B$16,Paramètres!$A$1:$I$89,3,0)*VLOOKUP('Données projet'!$B$16,Paramètres!$A$1:$I$89,5,0)</f>
        <v>29.080704545454545</v>
      </c>
      <c r="FG13" s="13">
        <f t="shared" si="47"/>
        <v>9.0530178313299725</v>
      </c>
      <c r="FH13" s="20">
        <f t="shared" si="22"/>
        <v>66.416233139566373</v>
      </c>
      <c r="FI13" s="59">
        <f t="shared" si="23"/>
        <v>258.35489512461129</v>
      </c>
      <c r="FJ13" s="59">
        <f ca="1">AVERAGE(OFFSET($FI$3,0,0,'Données projet'!$E$16+1,1))-AVERAGE(OFFSET($H$3,0,0,'Données projet'!$E$16+1,1))</f>
        <v>380.73695370216979</v>
      </c>
      <c r="FK13" s="59">
        <f t="shared" si="48"/>
        <v>249.34467160415713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4.3352272727272725</v>
      </c>
      <c r="FZ13" s="12">
        <f>IF('Données projet'!$A$244&gt;35,FZ12+FY13-GH12,IF(A13&lt;'Données projet'!$A$244,$FW$205^A13,IF(A13='Données projet'!$A$244,'Données projet'!$B$244,FZ12+FY13-GH12)))</f>
        <v>43.352272727272727</v>
      </c>
      <c r="GA13" s="17">
        <f>FZ13*VLOOKUP('Données projet'!$B$17,Paramètres!$A$1:$I$89,3,0)*VLOOKUP('Données projet'!$B$17,Paramètres!$A$1:$I$89,5,0)</f>
        <v>41.930318181818187</v>
      </c>
      <c r="GB13" s="13">
        <f t="shared" si="49"/>
        <v>12.508866145879384</v>
      </c>
      <c r="GC13" s="20">
        <f t="shared" si="25"/>
        <v>94.814912704073265</v>
      </c>
      <c r="GD13" s="59">
        <f t="shared" si="26"/>
        <v>286.75357468911818</v>
      </c>
      <c r="GE13" s="59">
        <f ca="1">AVERAGE(OFFSET($GD$3,0,0,'Données projet'!$E$17+1,1))-AVERAGE(OFFSET($H$3,0,0,'Données projet'!$E$17+1,1))</f>
        <v>511.7458522930001</v>
      </c>
      <c r="GF13" s="59">
        <f t="shared" si="50"/>
        <v>332.37317679966122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2.4666666666666668</v>
      </c>
      <c r="GU13" s="12">
        <f>IF('Données projet'!$A$270&gt;35,GU12+GT13-HC12,IF(A13&lt;'Données projet'!$A$270,$GR$205^A13,IF(A13='Données projet'!$A$270,'Données projet'!$B$270,GU12+GT13-HC12)))</f>
        <v>11.103702468586782</v>
      </c>
      <c r="GV13" s="17">
        <f>GU13*VLOOKUP('Données projet'!$B$18,Paramètres!$A$1:$I$89,3,0)*VLOOKUP('Données projet'!$B$18,Paramètres!$A$1:$I$89,5,0)</f>
        <v>9.7001944765574137</v>
      </c>
      <c r="GW13" s="13">
        <f t="shared" si="51"/>
        <v>3.4313993360317685</v>
      </c>
      <c r="GX13" s="20">
        <f t="shared" si="28"/>
        <v>22.870859223592827</v>
      </c>
      <c r="GY13" s="59">
        <f t="shared" si="29"/>
        <v>214.8095212086377</v>
      </c>
      <c r="GZ13" s="59">
        <f ca="1">AVERAGE(OFFSET($GY$3,0,0,'Données projet'!$E$18+1,1))-AVERAGE(OFFSET($H$3,0,0,'Données projet'!$E$18+1,1))</f>
        <v>348.77506423101278</v>
      </c>
      <c r="HA13" s="59">
        <f t="shared" si="52"/>
        <v>336.13747591329548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">
      <c r="A14" s="10">
        <f t="shared" si="31"/>
        <v>11</v>
      </c>
      <c r="B14" s="71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5">
        <f t="shared" si="1"/>
        <v>183.33333333333334</v>
      </c>
      <c r="I14" s="6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9.9228571428571435</v>
      </c>
      <c r="N14" s="13">
        <f>IF('Données projet'!$A$36&gt;35,N13+M14-V13,IF(A14&lt;'Données projet'!$A$36,$K$205^A14,IF(A14='Données projet'!$A$36,'Données projet'!$B$36,N13+M14-V13)))</f>
        <v>109.15142857142855</v>
      </c>
      <c r="O14" s="13">
        <f>N14*VLOOKUP('Données projet'!$B$9,Paramètres!$A$1:$I$89,3,0)*VLOOKUP('Données projet'!$B$9,Paramètres!$A$1:$I$89,5,0)</f>
        <v>51.082868571428563</v>
      </c>
      <c r="P14" s="13">
        <f t="shared" si="33"/>
        <v>14.893065508616067</v>
      </c>
      <c r="Q14" s="20">
        <f t="shared" si="2"/>
        <v>114.90808518941105</v>
      </c>
      <c r="R14" s="59">
        <f t="shared" si="0"/>
        <v>309.40388379852516</v>
      </c>
      <c r="S14" s="59">
        <f ca="1">AVERAGE(OFFSET($R$3,0,0,'Données projet'!$E$9+1,1))-AVERAGE(OFFSET($H$3,0,0,'Données projet'!$E$9+1,1))</f>
        <v>387.50901594883317</v>
      </c>
      <c r="T14" s="59">
        <f t="shared" si="34"/>
        <v>361.3623790401972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5.8668181818181813</v>
      </c>
      <c r="AI14" s="13">
        <f>IF('Données projet'!$A$62&gt;35,AI13+AH14-AQ13,IF(A14&lt;'Données projet'!$A$62,$AF$205^A14,IF(A14='Données projet'!$A$62,'Données projet'!$B$62,AI13+AH14-AQ13)))</f>
        <v>11.360897851842525</v>
      </c>
      <c r="AJ14" s="13">
        <f>AI14*VLOOKUP('Données projet'!$B$10,Paramètres!$A$1:$I$89,3,0)*VLOOKUP('Données projet'!$B$10,Paramètres!$A$1:$I$89,5,0)</f>
        <v>6.7938169154018313</v>
      </c>
      <c r="AK14" s="13">
        <f t="shared" si="35"/>
        <v>2.50500070842708</v>
      </c>
      <c r="AL14" s="20">
        <f t="shared" si="4"/>
        <v>16.195440694835355</v>
      </c>
      <c r="AM14" s="59">
        <f t="shared" si="5"/>
        <v>210.69123930394949</v>
      </c>
      <c r="AN14" s="59">
        <f ca="1">AVERAGE(OFFSET($AM$3,0,0,'Données projet'!$E$10+1,1))-AVERAGE(OFFSET($H$3,0,0,'Données projet'!$E$10+1,1))</f>
        <v>373.47758082856359</v>
      </c>
      <c r="AO14" s="59">
        <f t="shared" si="36"/>
        <v>277.24895424120166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6.7273684210526312</v>
      </c>
      <c r="BD14" s="12">
        <f>IF('Données projet'!$A$88&gt;35,BD13+BC14-BL13,IF(A14&lt;'Données projet'!$A$88,$BA$205^A14,IF(A14='Données projet'!$A$88,'Données projet'!$B$88,BD13+BC14-BL13)))</f>
        <v>16.580966399578308</v>
      </c>
      <c r="BE14" s="13">
        <f>BD14*VLOOKUP('Données projet'!$B$11,Paramètres!$A$1:$I$89,3,0)*VLOOKUP('Données projet'!$B$11,Paramètres!$A$1:$I$89,5,0)</f>
        <v>9.9154179069478303</v>
      </c>
      <c r="BF14" s="13">
        <f t="shared" si="37"/>
        <v>3.4985854445992031</v>
      </c>
      <c r="BG14" s="20">
        <f t="shared" si="7"/>
        <v>23.362722503944415</v>
      </c>
      <c r="BH14" s="59">
        <f t="shared" si="8"/>
        <v>217.85852111305854</v>
      </c>
      <c r="BI14" s="59">
        <f ca="1">AVERAGE(OFFSET($BH$3,0,0,'Données projet'!$E$11+1,1))-AVERAGE(OFFSET($H$3,0,0,'Données projet'!$E$11+1,1))</f>
        <v>460.88622650237176</v>
      </c>
      <c r="BJ14" s="59">
        <f t="shared" si="38"/>
        <v>396.05161661639647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9.2928571428571427</v>
      </c>
      <c r="BY14" s="12">
        <f>IF('Données projet'!$A$114&gt;35,BY13+BX14-CG13,IF(A14&lt;'Données projet'!$A$114,$BV$205^A14,IF(A14='Données projet'!$A$114,'Données projet'!$B$114,BY13+BX14-CG13)))</f>
        <v>15.838602608402494</v>
      </c>
      <c r="BZ14" s="13">
        <f>BY14*VLOOKUP('Données projet'!$B$12,Paramètres!$A$1:$I$89,3,0)*VLOOKUP('Données projet'!$B$12,Paramètres!$A$1:$I$89,5,0)</f>
        <v>7.2065641868231349</v>
      </c>
      <c r="CA14" s="13">
        <f t="shared" si="39"/>
        <v>2.6390082908856471</v>
      </c>
      <c r="CB14" s="20">
        <f t="shared" si="10"/>
        <v>17.147705398676127</v>
      </c>
      <c r="CC14" s="59">
        <f t="shared" si="11"/>
        <v>211.64350400779026</v>
      </c>
      <c r="CD14" s="59">
        <f ca="1">AVERAGE(OFFSET($CC$3,0,0,'Données projet'!$E$12+1,1))-AVERAGE(OFFSET($H$3,0,0,'Données projet'!$E$12+1,1))</f>
        <v>341.60063595566282</v>
      </c>
      <c r="CE14" s="59">
        <f t="shared" si="40"/>
        <v>317.05609766344219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4.2309999999999999</v>
      </c>
      <c r="CT14" s="12">
        <f>IF('Données projet'!$A$140&gt;35,CT13+CS14-DB13,IF(A14&lt;'Données projet'!$A$140,$CQ$205^A14,IF(A14='Données projet'!$A$140,'Données projet'!$B$140,CT13+CS14-DB13)))</f>
        <v>11.484448948787824</v>
      </c>
      <c r="CU14" s="17">
        <f>CT14*VLOOKUP('Données projet'!$B$13,Paramètres!$A$1:$I$89,3,0)*VLOOKUP('Données projet'!$B$13,Paramètres!$A$1:$I$89,5,0)</f>
        <v>12.003546041273035</v>
      </c>
      <c r="CV14" s="13">
        <f t="shared" si="41"/>
        <v>4.1421897951248212</v>
      </c>
      <c r="CW14" s="20">
        <f t="shared" si="13"/>
        <v>28.120489915059597</v>
      </c>
      <c r="CX14" s="59">
        <f t="shared" si="14"/>
        <v>222.61628852417374</v>
      </c>
      <c r="CY14" s="59">
        <f ca="1">AVERAGE(OFFSET($CX$3,0,0,'Données projet'!$E$13+1,1))-AVERAGE(OFFSET($H$3,0,0,'Données projet'!$E$13+1,1))</f>
        <v>287.73449456153207</v>
      </c>
      <c r="CZ14" s="59">
        <f t="shared" si="42"/>
        <v>296.74833899433281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4.3352272727272725</v>
      </c>
      <c r="DO14" s="12">
        <f>IF('Données projet'!$A$166&gt;35,DO13+DN14-DW13,IF(A14&lt;'Données projet'!$A$166,$DL$205^A14,IF(A14='Données projet'!$A$166,'Données projet'!$B$166,DO13+DN14-DW13)))</f>
        <v>47.6875</v>
      </c>
      <c r="DP14" s="17">
        <f>DO14*VLOOKUP('Données projet'!$B$14,Paramètres!$A$1:$I$89,3,0)*VLOOKUP('Données projet'!$B$14,Paramètres!$A$1:$I$89,5,0)</f>
        <v>48.355125000000001</v>
      </c>
      <c r="DQ14" s="13">
        <f t="shared" si="43"/>
        <v>14.188140058495547</v>
      </c>
      <c r="DR14" s="20">
        <f t="shared" si="16"/>
        <v>108.92951997687975</v>
      </c>
      <c r="DS14" s="59">
        <f t="shared" si="17"/>
        <v>303.42531858599386</v>
      </c>
      <c r="DT14" s="59">
        <f ca="1">AVERAGE(OFFSET($DS$3,0,0,'Données projet'!$E$14+1,1))-AVERAGE(OFFSET($H$3,0,0,'Données projet'!$E$14+1,1))</f>
        <v>532.34688562681413</v>
      </c>
      <c r="DU14" s="59">
        <f t="shared" si="44"/>
        <v>345.42627129678556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8.8459999999999983</v>
      </c>
      <c r="EJ14" s="12">
        <f>IF('Données projet'!$A$192&gt;35,EJ13+EI14-ER13,IF(A14&lt;'Données projet'!$A$192,$EG$205^A14,IF(A14='Données projet'!$A$192,'Données projet'!$B$192,EJ13+EI14-ER13)))</f>
        <v>54.355999999999995</v>
      </c>
      <c r="EK14" s="17">
        <f>EJ14*VLOOKUP('Données projet'!$B$15,Paramètres!$A$1:$I$89,3,0)*VLOOKUP('Données projet'!$B$15,Paramètres!$A$1:$I$89,5,0)</f>
        <v>49.181308799999996</v>
      </c>
      <c r="EL14" s="13">
        <f t="shared" si="45"/>
        <v>14.402126368339083</v>
      </c>
      <c r="EM14" s="20">
        <f t="shared" si="19"/>
        <v>110.74114958485723</v>
      </c>
      <c r="EN14" s="59">
        <f t="shared" si="20"/>
        <v>305.23694819397133</v>
      </c>
      <c r="EO14" s="59">
        <f ca="1">AVERAGE(OFFSET($EN$3,0,0,'Données projet'!$E$15+1,1))-AVERAGE(OFFSET($H$3,0,0,'Données projet'!$E$15+1,1))</f>
        <v>256.20286603823035</v>
      </c>
      <c r="EP14" s="59">
        <f t="shared" si="46"/>
        <v>364.83827155069434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4.3352272727272725</v>
      </c>
      <c r="FE14" s="12">
        <f>IF('Données projet'!$A$218&gt;35,FE13+FD14-FM13,IF(A14&lt;'Données projet'!$A$218,$FB$205^A14,IF(A14='Données projet'!$A$218,'Données projet'!$B$218,FE13+FD14-FM13)))</f>
        <v>47.6875</v>
      </c>
      <c r="FF14" s="17">
        <f>FE14*VLOOKUP('Données projet'!$B$16,Paramètres!$A$1:$I$89,3,0)*VLOOKUP('Données projet'!$B$16,Paramètres!$A$1:$I$89,5,0)</f>
        <v>31.988775</v>
      </c>
      <c r="FG14" s="13">
        <f t="shared" si="47"/>
        <v>9.8484515425705723</v>
      </c>
      <c r="FH14" s="20">
        <f t="shared" si="22"/>
        <v>72.866502894977074</v>
      </c>
      <c r="FI14" s="59">
        <f t="shared" si="23"/>
        <v>267.36230150409119</v>
      </c>
      <c r="FJ14" s="59">
        <f ca="1">AVERAGE(OFFSET($FI$3,0,0,'Données projet'!$E$16+1,1))-AVERAGE(OFFSET($H$3,0,0,'Données projet'!$E$16+1,1))</f>
        <v>380.73695370216979</v>
      </c>
      <c r="FK14" s="59">
        <f t="shared" si="48"/>
        <v>249.34467160415713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4.3352272727272725</v>
      </c>
      <c r="FZ14" s="12">
        <f>IF('Données projet'!$A$244&gt;35,FZ13+FY14-GH13,IF(A14&lt;'Données projet'!$A$244,$FW$205^A14,IF(A14='Données projet'!$A$244,'Données projet'!$B$244,FZ13+FY14-GH13)))</f>
        <v>47.6875</v>
      </c>
      <c r="GA14" s="17">
        <f>FZ14*VLOOKUP('Données projet'!$B$17,Paramètres!$A$1:$I$89,3,0)*VLOOKUP('Données projet'!$B$17,Paramètres!$A$1:$I$89,5,0)</f>
        <v>46.123350000000002</v>
      </c>
      <c r="GB14" s="13">
        <f t="shared" si="49"/>
        <v>13.607944266259821</v>
      </c>
      <c r="GC14" s="20">
        <f t="shared" si="25"/>
        <v>104.03200418040252</v>
      </c>
      <c r="GD14" s="59">
        <f t="shared" si="26"/>
        <v>298.52780278951667</v>
      </c>
      <c r="GE14" s="59">
        <f ca="1">AVERAGE(OFFSET($GD$3,0,0,'Données projet'!$E$17+1,1))-AVERAGE(OFFSET($H$3,0,0,'Données projet'!$E$17+1,1))</f>
        <v>511.7458522930001</v>
      </c>
      <c r="GF14" s="59">
        <f t="shared" si="50"/>
        <v>332.37317679966122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2.4666666666666668</v>
      </c>
      <c r="GU14" s="12">
        <f>IF('Données projet'!$A$270&gt;35,GU13+GT14-HC13,IF(A14&lt;'Données projet'!$A$270,$GR$205^A14,IF(A14='Données projet'!$A$270,'Données projet'!$B$270,GU13+GT14-HC13)))</f>
        <v>14.125850240977657</v>
      </c>
      <c r="GV14" s="17">
        <f>GU14*VLOOKUP('Données projet'!$B$18,Paramètres!$A$1:$I$89,3,0)*VLOOKUP('Données projet'!$B$18,Paramètres!$A$1:$I$89,5,0)</f>
        <v>12.340342770518083</v>
      </c>
      <c r="GW14" s="13">
        <f t="shared" si="51"/>
        <v>4.2447175714913801</v>
      </c>
      <c r="GX14" s="20">
        <f t="shared" si="28"/>
        <v>28.885646762333149</v>
      </c>
      <c r="GY14" s="59">
        <f t="shared" si="29"/>
        <v>223.38144537144728</v>
      </c>
      <c r="GZ14" s="59">
        <f ca="1">AVERAGE(OFFSET($GY$3,0,0,'Données projet'!$E$18+1,1))-AVERAGE(OFFSET($H$3,0,0,'Données projet'!$E$18+1,1))</f>
        <v>348.77506423101278</v>
      </c>
      <c r="HA14" s="59">
        <f t="shared" si="52"/>
        <v>336.13747591329548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">
      <c r="A15" s="10">
        <f t="shared" si="31"/>
        <v>12</v>
      </c>
      <c r="B15" s="71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5">
        <f t="shared" si="1"/>
        <v>183.33333333333334</v>
      </c>
      <c r="I15" s="6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9.9228571428571435</v>
      </c>
      <c r="N15" s="13">
        <f>IF('Données projet'!$A$36&gt;35,N14+M15-V14,IF(A15&lt;'Données projet'!$A$36,$K$205^A15,IF(A15='Données projet'!$A$36,'Données projet'!$B$36,N14+M15-V14)))</f>
        <v>119.07428571428569</v>
      </c>
      <c r="O15" s="13">
        <f>N15*VLOOKUP('Données projet'!$B$9,Paramètres!$A$1:$I$89,3,0)*VLOOKUP('Données projet'!$B$9,Paramètres!$A$1:$I$89,5,0)</f>
        <v>55.726765714285705</v>
      </c>
      <c r="P15" s="13">
        <f t="shared" si="33"/>
        <v>16.083259609160287</v>
      </c>
      <c r="Q15" s="20">
        <f t="shared" si="2"/>
        <v>125.0691274383351</v>
      </c>
      <c r="R15" s="59">
        <f t="shared" si="0"/>
        <v>322.09890489106795</v>
      </c>
      <c r="S15" s="59">
        <f ca="1">AVERAGE(OFFSET($R$3,0,0,'Données projet'!$E$9+1,1))-AVERAGE(OFFSET($H$3,0,0,'Données projet'!$E$9+1,1))</f>
        <v>387.50901594883317</v>
      </c>
      <c r="T15" s="59">
        <f t="shared" si="34"/>
        <v>361.3623790401972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5.8668181818181813</v>
      </c>
      <c r="AI15" s="13">
        <f>IF('Données projet'!$A$62&gt;35,AI14+AH15-AQ14,IF(A15&lt;'Données projet'!$A$62,$AF$205^A15,IF(A15='Données projet'!$A$62,'Données projet'!$B$62,AI14+AH15-AQ14)))</f>
        <v>14.169654470507195</v>
      </c>
      <c r="AJ15" s="13">
        <f>AI15*VLOOKUP('Données projet'!$B$10,Paramètres!$A$1:$I$89,3,0)*VLOOKUP('Données projet'!$B$10,Paramètres!$A$1:$I$89,5,0)</f>
        <v>8.4734533733633022</v>
      </c>
      <c r="AK15" s="13">
        <f t="shared" si="35"/>
        <v>3.044992822013763</v>
      </c>
      <c r="AL15" s="20">
        <f t="shared" si="4"/>
        <v>20.06129379028172</v>
      </c>
      <c r="AM15" s="59">
        <f t="shared" si="5"/>
        <v>217.0910712430146</v>
      </c>
      <c r="AN15" s="59">
        <f ca="1">AVERAGE(OFFSET($AM$3,0,0,'Données projet'!$E$10+1,1))-AVERAGE(OFFSET($H$3,0,0,'Données projet'!$E$10+1,1))</f>
        <v>373.47758082856359</v>
      </c>
      <c r="AO15" s="59">
        <f t="shared" si="36"/>
        <v>277.24895424120166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6.7273684210526312</v>
      </c>
      <c r="BD15" s="12">
        <f>IF('Données projet'!$A$88&gt;35,BD14+BC15-BL14,IF(A15&lt;'Données projet'!$A$88,$BA$205^A15,IF(A15='Données projet'!$A$88,'Données projet'!$B$88,BD14+BC15-BL14)))</f>
        <v>21.403434155714606</v>
      </c>
      <c r="BE15" s="13">
        <f>BD15*VLOOKUP('Données projet'!$B$11,Paramètres!$A$1:$I$89,3,0)*VLOOKUP('Données projet'!$B$11,Paramètres!$A$1:$I$89,5,0)</f>
        <v>12.799253625117336</v>
      </c>
      <c r="BF15" s="13">
        <f t="shared" si="37"/>
        <v>4.3838977605725233</v>
      </c>
      <c r="BG15" s="20">
        <f t="shared" si="7"/>
        <v>29.927321996743171</v>
      </c>
      <c r="BH15" s="59">
        <f t="shared" si="8"/>
        <v>226.95709944947603</v>
      </c>
      <c r="BI15" s="59">
        <f ca="1">AVERAGE(OFFSET($BH$3,0,0,'Données projet'!$E$11+1,1))-AVERAGE(OFFSET($H$3,0,0,'Données projet'!$E$11+1,1))</f>
        <v>460.88622650237176</v>
      </c>
      <c r="BJ15" s="59">
        <f t="shared" si="38"/>
        <v>396.05161661639647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9.2928571428571427</v>
      </c>
      <c r="BY15" s="12">
        <f>IF('Données projet'!$A$114&gt;35,BY14+BX15-CG14,IF(A15&lt;'Données projet'!$A$114,$BV$205^A15,IF(A15='Données projet'!$A$114,'Données projet'!$B$114,BY14+BX15-CG14)))</f>
        <v>20.360199624176857</v>
      </c>
      <c r="BZ15" s="13">
        <f>BY15*VLOOKUP('Données projet'!$B$12,Paramètres!$A$1:$I$89,3,0)*VLOOKUP('Données projet'!$B$12,Paramètres!$A$1:$I$89,5,0)</f>
        <v>9.26389082900047</v>
      </c>
      <c r="CA15" s="13">
        <f t="shared" si="39"/>
        <v>3.2946610242259595</v>
      </c>
      <c r="CB15" s="20">
        <f t="shared" si="10"/>
        <v>21.872811144369365</v>
      </c>
      <c r="CC15" s="59">
        <f t="shared" si="11"/>
        <v>218.90258859710224</v>
      </c>
      <c r="CD15" s="59">
        <f ca="1">AVERAGE(OFFSET($CC$3,0,0,'Données projet'!$E$12+1,1))-AVERAGE(OFFSET($H$3,0,0,'Données projet'!$E$12+1,1))</f>
        <v>341.60063595566282</v>
      </c>
      <c r="CE15" s="59">
        <f t="shared" si="40"/>
        <v>317.05609766344219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4.2309999999999999</v>
      </c>
      <c r="CT15" s="12">
        <f>IF('Données projet'!$A$140&gt;35,CT14+CS15-DB14,IF(A15&lt;'Données projet'!$A$140,$CQ$205^A15,IF(A15='Données projet'!$A$140,'Données projet'!$B$140,CT14+CS15-DB14)))</f>
        <v>14.337842738014704</v>
      </c>
      <c r="CU15" s="17">
        <f>CT15*VLOOKUP('Données projet'!$B$13,Paramètres!$A$1:$I$89,3,0)*VLOOKUP('Données projet'!$B$13,Paramètres!$A$1:$I$89,5,0)</f>
        <v>14.98591322977297</v>
      </c>
      <c r="CV15" s="13">
        <f t="shared" si="41"/>
        <v>5.0394803072678007</v>
      </c>
      <c r="CW15" s="20">
        <f t="shared" si="13"/>
        <v>34.877560410346007</v>
      </c>
      <c r="CX15" s="59">
        <f t="shared" si="14"/>
        <v>231.90733786307888</v>
      </c>
      <c r="CY15" s="59">
        <f ca="1">AVERAGE(OFFSET($CX$3,0,0,'Données projet'!$E$13+1,1))-AVERAGE(OFFSET($H$3,0,0,'Données projet'!$E$13+1,1))</f>
        <v>287.73449456153207</v>
      </c>
      <c r="CZ15" s="59">
        <f t="shared" si="42"/>
        <v>296.74833899433281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4.3352272727272725</v>
      </c>
      <c r="DO15" s="12">
        <f>IF('Données projet'!$A$166&gt;35,DO14+DN15-DW14,IF(A15&lt;'Données projet'!$A$166,$DL$205^A15,IF(A15='Données projet'!$A$166,'Données projet'!$B$166,DO14+DN15-DW14)))</f>
        <v>52.022727272727273</v>
      </c>
      <c r="DP15" s="17">
        <f>DO15*VLOOKUP('Données projet'!$B$14,Paramètres!$A$1:$I$89,3,0)*VLOOKUP('Données projet'!$B$14,Paramètres!$A$1:$I$89,5,0)</f>
        <v>52.751045454545462</v>
      </c>
      <c r="DQ15" s="13">
        <f t="shared" si="43"/>
        <v>15.321999342572898</v>
      </c>
      <c r="DR15" s="20">
        <f t="shared" si="16"/>
        <v>118.56055302164781</v>
      </c>
      <c r="DS15" s="59">
        <f t="shared" si="17"/>
        <v>315.59033047438066</v>
      </c>
      <c r="DT15" s="59">
        <f ca="1">AVERAGE(OFFSET($DS$3,0,0,'Données projet'!$E$14+1,1))-AVERAGE(OFFSET($H$3,0,0,'Données projet'!$E$14+1,1))</f>
        <v>532.34688562681413</v>
      </c>
      <c r="DU15" s="59">
        <f t="shared" si="44"/>
        <v>345.42627129678556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8.8459999999999983</v>
      </c>
      <c r="EJ15" s="12">
        <f>IF('Données projet'!$A$192&gt;35,EJ14+EI15-ER14,IF(A15&lt;'Données projet'!$A$192,$EG$205^A15,IF(A15='Données projet'!$A$192,'Données projet'!$B$192,EJ14+EI15-ER14)))</f>
        <v>63.201999999999991</v>
      </c>
      <c r="EK15" s="17">
        <f>EJ15*VLOOKUP('Données projet'!$B$15,Paramètres!$A$1:$I$89,3,0)*VLOOKUP('Données projet'!$B$15,Paramètres!$A$1:$I$89,5,0)</f>
        <v>57.185169599999988</v>
      </c>
      <c r="EL15" s="13">
        <f t="shared" si="45"/>
        <v>16.454613626862507</v>
      </c>
      <c r="EM15" s="20">
        <f t="shared" si="19"/>
        <v>128.25595578678551</v>
      </c>
      <c r="EN15" s="59">
        <f t="shared" si="20"/>
        <v>325.28573323951838</v>
      </c>
      <c r="EO15" s="59">
        <f ca="1">AVERAGE(OFFSET($EN$3,0,0,'Données projet'!$E$15+1,1))-AVERAGE(OFFSET($H$3,0,0,'Données projet'!$E$15+1,1))</f>
        <v>256.20286603823035</v>
      </c>
      <c r="EP15" s="59">
        <f t="shared" si="46"/>
        <v>364.83827155069434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4.3352272727272725</v>
      </c>
      <c r="FE15" s="12">
        <f>IF('Données projet'!$A$218&gt;35,FE14+FD15-FM14,IF(A15&lt;'Données projet'!$A$218,$FB$205^A15,IF(A15='Données projet'!$A$218,'Données projet'!$B$218,FE14+FD15-FM14)))</f>
        <v>52.022727272727273</v>
      </c>
      <c r="FF15" s="17">
        <f>FE15*VLOOKUP('Données projet'!$B$16,Paramètres!$A$1:$I$89,3,0)*VLOOKUP('Données projet'!$B$16,Paramètres!$A$1:$I$89,5,0)</f>
        <v>34.896845454545456</v>
      </c>
      <c r="FG15" s="13">
        <f t="shared" si="47"/>
        <v>10.635500314946</v>
      </c>
      <c r="FH15" s="20">
        <f t="shared" si="22"/>
        <v>79.30216888186429</v>
      </c>
      <c r="FI15" s="59">
        <f t="shared" si="23"/>
        <v>276.33194633459715</v>
      </c>
      <c r="FJ15" s="59">
        <f ca="1">AVERAGE(OFFSET($FI$3,0,0,'Données projet'!$E$16+1,1))-AVERAGE(OFFSET($H$3,0,0,'Données projet'!$E$16+1,1))</f>
        <v>380.73695370216979</v>
      </c>
      <c r="FK15" s="59">
        <f t="shared" si="48"/>
        <v>249.34467160415713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4.3352272727272725</v>
      </c>
      <c r="FZ15" s="12">
        <f>IF('Données projet'!$A$244&gt;35,FZ14+FY15-GH14,IF(A15&lt;'Données projet'!$A$244,$FW$205^A15,IF(A15='Données projet'!$A$244,'Données projet'!$B$244,FZ14+FY15-GH14)))</f>
        <v>52.022727272727273</v>
      </c>
      <c r="GA15" s="17">
        <f>FZ15*VLOOKUP('Données projet'!$B$17,Paramètres!$A$1:$I$89,3,0)*VLOOKUP('Données projet'!$B$17,Paramètres!$A$1:$I$89,5,0)</f>
        <v>50.316381818181824</v>
      </c>
      <c r="GB15" s="13">
        <f t="shared" si="49"/>
        <v>14.695436628182694</v>
      </c>
      <c r="GC15" s="20">
        <f t="shared" si="25"/>
        <v>113.22891712741819</v>
      </c>
      <c r="GD15" s="59">
        <f t="shared" si="26"/>
        <v>310.25869458015109</v>
      </c>
      <c r="GE15" s="59">
        <f ca="1">AVERAGE(OFFSET($GD$3,0,0,'Données projet'!$E$17+1,1))-AVERAGE(OFFSET($H$3,0,0,'Données projet'!$E$17+1,1))</f>
        <v>511.7458522930001</v>
      </c>
      <c r="GF15" s="59">
        <f t="shared" si="50"/>
        <v>332.37317679966122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2.4666666666666668</v>
      </c>
      <c r="GU15" s="12">
        <f>IF('Données projet'!$A$270&gt;35,GU14+GT15-HC14,IF(A15&lt;'Données projet'!$A$270,$GR$205^A15,IF(A15='Données projet'!$A$270,'Données projet'!$B$270,GU14+GT15-HC14)))</f>
        <v>17.970550417308221</v>
      </c>
      <c r="GV15" s="17">
        <f>GU15*VLOOKUP('Données projet'!$B$18,Paramètres!$A$1:$I$89,3,0)*VLOOKUP('Données projet'!$B$18,Paramètres!$A$1:$I$89,5,0)</f>
        <v>15.699072844560465</v>
      </c>
      <c r="GW15" s="13">
        <f t="shared" si="51"/>
        <v>5.250810382962916</v>
      </c>
      <c r="GX15" s="20">
        <f t="shared" si="28"/>
        <v>36.48771328793655</v>
      </c>
      <c r="GY15" s="59">
        <f t="shared" si="29"/>
        <v>233.51749074066942</v>
      </c>
      <c r="GZ15" s="59">
        <f ca="1">AVERAGE(OFFSET($GY$3,0,0,'Données projet'!$E$18+1,1))-AVERAGE(OFFSET($H$3,0,0,'Données projet'!$E$18+1,1))</f>
        <v>348.77506423101278</v>
      </c>
      <c r="HA15" s="59">
        <f t="shared" si="52"/>
        <v>336.13747591329548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">
      <c r="A16" s="10">
        <f t="shared" si="31"/>
        <v>13</v>
      </c>
      <c r="B16" s="71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5">
        <f t="shared" si="1"/>
        <v>183.33333333333334</v>
      </c>
      <c r="I16" s="6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9.9228571428571435</v>
      </c>
      <c r="N16" s="13">
        <f>IF('Données projet'!$A$36&gt;35,N15+M16-V15,IF(A16&lt;'Données projet'!$A$36,$K$205^A16,IF(A16='Données projet'!$A$36,'Données projet'!$B$36,N15+M16-V15)))</f>
        <v>128.99714285714285</v>
      </c>
      <c r="O16" s="13">
        <f>N16*VLOOKUP('Données projet'!$B$9,Paramètres!$A$1:$I$89,3,0)*VLOOKUP('Données projet'!$B$9,Paramètres!$A$1:$I$89,5,0)</f>
        <v>60.370662857142847</v>
      </c>
      <c r="P16" s="13">
        <f t="shared" si="33"/>
        <v>17.261950594894824</v>
      </c>
      <c r="Q16" s="20">
        <f t="shared" si="2"/>
        <v>135.21013509563227</v>
      </c>
      <c r="R16" s="59">
        <f t="shared" si="0"/>
        <v>334.75113534725108</v>
      </c>
      <c r="S16" s="59">
        <f ca="1">AVERAGE(OFFSET($R$3,0,0,'Données projet'!$E$9+1,1))-AVERAGE(OFFSET($H$3,0,0,'Données projet'!$E$9+1,1))</f>
        <v>387.50901594883317</v>
      </c>
      <c r="T16" s="59">
        <f t="shared" si="34"/>
        <v>361.3623790401972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5.8668181818181813</v>
      </c>
      <c r="AI16" s="13">
        <f>IF('Données projet'!$A$62&gt;35,AI15+AH16-AQ15,IF(A16&lt;'Données projet'!$A$62,$AF$205^A16,IF(A16='Données projet'!$A$62,'Données projet'!$B$62,AI15+AH16-AQ15)))</f>
        <v>17.672820443588613</v>
      </c>
      <c r="AJ16" s="13">
        <f>AI16*VLOOKUP('Données projet'!$B$10,Paramètres!$A$1:$I$89,3,0)*VLOOKUP('Données projet'!$B$10,Paramètres!$A$1:$I$89,5,0)</f>
        <v>10.56834662526599</v>
      </c>
      <c r="AK16" s="13">
        <f t="shared" si="35"/>
        <v>3.7013886882041378</v>
      </c>
      <c r="AL16" s="20">
        <f t="shared" si="4"/>
        <v>24.853122337627141</v>
      </c>
      <c r="AM16" s="59">
        <f t="shared" si="5"/>
        <v>224.39412258924597</v>
      </c>
      <c r="AN16" s="59">
        <f ca="1">AVERAGE(OFFSET($AM$3,0,0,'Données projet'!$E$10+1,1))-AVERAGE(OFFSET($H$3,0,0,'Données projet'!$E$10+1,1))</f>
        <v>373.47758082856359</v>
      </c>
      <c r="AO16" s="59">
        <f t="shared" si="36"/>
        <v>277.24895424120166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6.7273684210526312</v>
      </c>
      <c r="BD16" s="12">
        <f>IF('Données projet'!$A$88&gt;35,BD15+BC16-BL15,IF(A16&lt;'Données projet'!$A$88,$BA$205^A16,IF(A16='Données projet'!$A$88,'Données projet'!$B$88,BD15+BC16-BL15)))</f>
        <v>27.628485735889402</v>
      </c>
      <c r="BE16" s="13">
        <f>BD16*VLOOKUP('Données projet'!$B$11,Paramètres!$A$1:$I$89,3,0)*VLOOKUP('Données projet'!$B$11,Paramètres!$A$1:$I$89,5,0)</f>
        <v>16.521834470061862</v>
      </c>
      <c r="BF16" s="13">
        <f t="shared" si="37"/>
        <v>5.4932371609847763</v>
      </c>
      <c r="BG16" s="20">
        <f t="shared" si="7"/>
        <v>38.342916424072889</v>
      </c>
      <c r="BH16" s="59">
        <f t="shared" si="8"/>
        <v>237.88391667569169</v>
      </c>
      <c r="BI16" s="59">
        <f ca="1">AVERAGE(OFFSET($BH$3,0,0,'Données projet'!$E$11+1,1))-AVERAGE(OFFSET($H$3,0,0,'Données projet'!$E$11+1,1))</f>
        <v>460.88622650237176</v>
      </c>
      <c r="BJ16" s="59">
        <f t="shared" si="38"/>
        <v>396.05161661639647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9.2928571428571427</v>
      </c>
      <c r="BY16" s="12">
        <f>IF('Données projet'!$A$114&gt;35,BY15+BX16-CG15,IF(A16&lt;'Données projet'!$A$114,$BV$205^A16,IF(A16='Données projet'!$A$114,'Données projet'!$B$114,BY15+BX16-CG15)))</f>
        <v>26.172620084325885</v>
      </c>
      <c r="BZ16" s="13">
        <f>BY16*VLOOKUP('Données projet'!$B$12,Paramètres!$A$1:$I$89,3,0)*VLOOKUP('Données projet'!$B$12,Paramètres!$A$1:$I$89,5,0)</f>
        <v>11.908542138368277</v>
      </c>
      <c r="CA16" s="13">
        <f t="shared" si="39"/>
        <v>4.1132084738205963</v>
      </c>
      <c r="CB16" s="20">
        <f t="shared" si="10"/>
        <v>27.904548982895619</v>
      </c>
      <c r="CC16" s="59">
        <f t="shared" si="11"/>
        <v>227.44554923451443</v>
      </c>
      <c r="CD16" s="59">
        <f ca="1">AVERAGE(OFFSET($CC$3,0,0,'Données projet'!$E$12+1,1))-AVERAGE(OFFSET($H$3,0,0,'Données projet'!$E$12+1,1))</f>
        <v>341.60063595566282</v>
      </c>
      <c r="CE16" s="59">
        <f t="shared" si="40"/>
        <v>317.05609766344219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4.2309999999999999</v>
      </c>
      <c r="CT16" s="12">
        <f>IF('Données projet'!$A$140&gt;35,CT15+CS16-DB15,IF(A16&lt;'Données projet'!$A$140,$CQ$205^A16,IF(A16='Données projet'!$A$140,'Données projet'!$B$140,CT15+CS16-DB15)))</f>
        <v>17.900182698947791</v>
      </c>
      <c r="CU16" s="17">
        <f>CT16*VLOOKUP('Données projet'!$B$13,Paramètres!$A$1:$I$89,3,0)*VLOOKUP('Données projet'!$B$13,Paramètres!$A$1:$I$89,5,0)</f>
        <v>18.709270956940234</v>
      </c>
      <c r="CV16" s="13">
        <f t="shared" si="41"/>
        <v>6.1311439174589237</v>
      </c>
      <c r="CW16" s="20">
        <f t="shared" si="13"/>
        <v>43.263722572911867</v>
      </c>
      <c r="CX16" s="59">
        <f t="shared" si="14"/>
        <v>242.80472282453067</v>
      </c>
      <c r="CY16" s="59">
        <f ca="1">AVERAGE(OFFSET($CX$3,0,0,'Données projet'!$E$13+1,1))-AVERAGE(OFFSET($H$3,0,0,'Données projet'!$E$13+1,1))</f>
        <v>287.73449456153207</v>
      </c>
      <c r="CZ16" s="59">
        <f t="shared" si="42"/>
        <v>296.74833899433281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4.3352272727272725</v>
      </c>
      <c r="DO16" s="12">
        <f>IF('Données projet'!$A$166&gt;35,DO15+DN16-DW15,IF(A16&lt;'Données projet'!$A$166,$DL$205^A16,IF(A16='Données projet'!$A$166,'Données projet'!$B$166,DO15+DN16-DW15)))</f>
        <v>56.357954545454547</v>
      </c>
      <c r="DP16" s="17">
        <f>DO16*VLOOKUP('Données projet'!$B$14,Paramètres!$A$1:$I$89,3,0)*VLOOKUP('Données projet'!$B$14,Paramètres!$A$1:$I$89,5,0)</f>
        <v>57.146965909090909</v>
      </c>
      <c r="DQ16" s="13">
        <f t="shared" si="43"/>
        <v>16.444899982579656</v>
      </c>
      <c r="DR16" s="20">
        <f t="shared" si="16"/>
        <v>128.17249976132624</v>
      </c>
      <c r="DS16" s="59">
        <f t="shared" si="17"/>
        <v>327.71350001294502</v>
      </c>
      <c r="DT16" s="59">
        <f ca="1">AVERAGE(OFFSET($DS$3,0,0,'Données projet'!$E$14+1,1))-AVERAGE(OFFSET($H$3,0,0,'Données projet'!$E$14+1,1))</f>
        <v>532.34688562681413</v>
      </c>
      <c r="DU16" s="59">
        <f t="shared" si="44"/>
        <v>345.42627129678556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8.8459999999999983</v>
      </c>
      <c r="EJ16" s="12">
        <f>IF('Données projet'!$A$192&gt;35,EJ15+EI16-ER15,IF(A16&lt;'Données projet'!$A$192,$EG$205^A16,IF(A16='Données projet'!$A$192,'Données projet'!$B$192,EJ15+EI16-ER15)))</f>
        <v>72.047999999999988</v>
      </c>
      <c r="EK16" s="17">
        <f>EJ16*VLOOKUP('Données projet'!$B$15,Paramètres!$A$1:$I$89,3,0)*VLOOKUP('Données projet'!$B$15,Paramètres!$A$1:$I$89,5,0)</f>
        <v>65.189030399999979</v>
      </c>
      <c r="EL16" s="13">
        <f t="shared" si="45"/>
        <v>18.473818483438244</v>
      </c>
      <c r="EM16" s="20">
        <f t="shared" si="19"/>
        <v>145.71279513865488</v>
      </c>
      <c r="EN16" s="59">
        <f t="shared" si="20"/>
        <v>345.25379539027369</v>
      </c>
      <c r="EO16" s="59">
        <f ca="1">AVERAGE(OFFSET($EN$3,0,0,'Données projet'!$E$15+1,1))-AVERAGE(OFFSET($H$3,0,0,'Données projet'!$E$15+1,1))</f>
        <v>256.20286603823035</v>
      </c>
      <c r="EP16" s="59">
        <f t="shared" si="46"/>
        <v>364.83827155069434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4.3352272727272725</v>
      </c>
      <c r="FE16" s="12">
        <f>IF('Données projet'!$A$218&gt;35,FE15+FD16-FM15,IF(A16&lt;'Données projet'!$A$218,$FB$205^A16,IF(A16='Données projet'!$A$218,'Données projet'!$B$218,FE15+FD16-FM15)))</f>
        <v>56.357954545454547</v>
      </c>
      <c r="FF16" s="17">
        <f>FE16*VLOOKUP('Données projet'!$B$16,Paramètres!$A$1:$I$89,3,0)*VLOOKUP('Données projet'!$B$16,Paramètres!$A$1:$I$89,5,0)</f>
        <v>37.804915909090909</v>
      </c>
      <c r="FG16" s="13">
        <f t="shared" si="47"/>
        <v>11.41494233445203</v>
      </c>
      <c r="FH16" s="20">
        <f t="shared" si="22"/>
        <v>85.724586440837285</v>
      </c>
      <c r="FI16" s="59">
        <f t="shared" si="23"/>
        <v>285.26558669245611</v>
      </c>
      <c r="FJ16" s="59">
        <f ca="1">AVERAGE(OFFSET($FI$3,0,0,'Données projet'!$E$16+1,1))-AVERAGE(OFFSET($H$3,0,0,'Données projet'!$E$16+1,1))</f>
        <v>380.73695370216979</v>
      </c>
      <c r="FK16" s="59">
        <f t="shared" si="48"/>
        <v>249.34467160415713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4.3352272727272725</v>
      </c>
      <c r="FZ16" s="12">
        <f>IF('Données projet'!$A$244&gt;35,FZ15+FY16-GH15,IF(A16&lt;'Données projet'!$A$244,$FW$205^A16,IF(A16='Données projet'!$A$244,'Données projet'!$B$244,FZ15+FY16-GH15)))</f>
        <v>56.357954545454547</v>
      </c>
      <c r="GA16" s="17">
        <f>FZ16*VLOOKUP('Données projet'!$B$17,Paramètres!$A$1:$I$89,3,0)*VLOOKUP('Données projet'!$B$17,Paramètres!$A$1:$I$89,5,0)</f>
        <v>54.509413636363647</v>
      </c>
      <c r="GB16" s="13">
        <f t="shared" si="49"/>
        <v>15.772418478006633</v>
      </c>
      <c r="GC16" s="20">
        <f t="shared" si="25"/>
        <v>122.40752426586154</v>
      </c>
      <c r="GD16" s="59">
        <f t="shared" si="26"/>
        <v>321.94852451748034</v>
      </c>
      <c r="GE16" s="59">
        <f ca="1">AVERAGE(OFFSET($GD$3,0,0,'Données projet'!$E$17+1,1))-AVERAGE(OFFSET($H$3,0,0,'Données projet'!$E$17+1,1))</f>
        <v>511.7458522930001</v>
      </c>
      <c r="GF16" s="59">
        <f t="shared" si="50"/>
        <v>332.37317679966122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2.4666666666666668</v>
      </c>
      <c r="GU16" s="12">
        <f>IF('Données projet'!$A$270&gt;35,GU15+GT16-HC15,IF(A16&lt;'Données projet'!$A$270,$GR$205^A16,IF(A16='Données projet'!$A$270,'Données projet'!$B$270,GU15+GT16-HC15)))</f>
        <v>22.86168101684942</v>
      </c>
      <c r="GV16" s="17">
        <f>GU16*VLOOKUP('Données projet'!$B$18,Paramètres!$A$1:$I$89,3,0)*VLOOKUP('Données projet'!$B$18,Paramètres!$A$1:$I$89,5,0)</f>
        <v>19.971964536319657</v>
      </c>
      <c r="GW16" s="13">
        <f t="shared" si="51"/>
        <v>6.4953696479137237</v>
      </c>
      <c r="GX16" s="20">
        <f t="shared" si="28"/>
        <v>46.097273704206465</v>
      </c>
      <c r="GY16" s="59">
        <f t="shared" si="29"/>
        <v>245.63827395582527</v>
      </c>
      <c r="GZ16" s="59">
        <f ca="1">AVERAGE(OFFSET($GY$3,0,0,'Données projet'!$E$18+1,1))-AVERAGE(OFFSET($H$3,0,0,'Données projet'!$E$18+1,1))</f>
        <v>348.77506423101278</v>
      </c>
      <c r="HA16" s="59">
        <f t="shared" si="52"/>
        <v>336.13747591329548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">
      <c r="A17" s="10">
        <f t="shared" si="31"/>
        <v>14</v>
      </c>
      <c r="B17" s="71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5">
        <f t="shared" si="1"/>
        <v>183.33333333333334</v>
      </c>
      <c r="I17" s="6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9.9228571428571435</v>
      </c>
      <c r="N17" s="13">
        <f>IF('Données projet'!$A$36&gt;35,N16+M17-V16,IF(A17&lt;'Données projet'!$A$36,$K$205^A17,IF(A17='Données projet'!$A$36,'Données projet'!$B$36,N16+M17-V16)))</f>
        <v>138.91999999999999</v>
      </c>
      <c r="O17" s="13">
        <f>N17*VLOOKUP('Données projet'!$B$9,Paramètres!$A$1:$I$89,3,0)*VLOOKUP('Données projet'!$B$9,Paramètres!$A$1:$I$89,5,0)</f>
        <v>65.014560000000003</v>
      </c>
      <c r="P17" s="13">
        <f t="shared" si="33"/>
        <v>18.430123928042022</v>
      </c>
      <c r="Q17" s="20">
        <f t="shared" si="2"/>
        <v>145.33282450800652</v>
      </c>
      <c r="R17" s="59">
        <f t="shared" si="0"/>
        <v>347.36268628027972</v>
      </c>
      <c r="S17" s="59">
        <f ca="1">AVERAGE(OFFSET($R$3,0,0,'Données projet'!$E$9+1,1))-AVERAGE(OFFSET($H$3,0,0,'Données projet'!$E$9+1,1))</f>
        <v>387.50901594883317</v>
      </c>
      <c r="T17" s="59">
        <f t="shared" si="34"/>
        <v>361.3623790401972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5.8668181818181813</v>
      </c>
      <c r="AI17" s="13">
        <f>IF('Données projet'!$A$62&gt;35,AI16+AH17-AQ16,IF(A17&lt;'Données projet'!$A$62,$AF$205^A17,IF(A17='Données projet'!$A$62,'Données projet'!$B$62,AI16+AH17-AQ16)))</f>
        <v>22.042074708413409</v>
      </c>
      <c r="AJ17" s="13">
        <f>AI17*VLOOKUP('Données projet'!$B$10,Paramètres!$A$1:$I$89,3,0)*VLOOKUP('Données projet'!$B$10,Paramètres!$A$1:$I$89,5,0)</f>
        <v>13.181160675631221</v>
      </c>
      <c r="AK17" s="13">
        <f t="shared" si="35"/>
        <v>4.4992809579449391</v>
      </c>
      <c r="AL17" s="20">
        <f t="shared" si="4"/>
        <v>30.793435845145144</v>
      </c>
      <c r="AM17" s="59">
        <f t="shared" si="5"/>
        <v>232.82329761741835</v>
      </c>
      <c r="AN17" s="59">
        <f ca="1">AVERAGE(OFFSET($AM$3,0,0,'Données projet'!$E$10+1,1))-AVERAGE(OFFSET($H$3,0,0,'Données projet'!$E$10+1,1))</f>
        <v>373.47758082856359</v>
      </c>
      <c r="AO17" s="59">
        <f t="shared" si="36"/>
        <v>277.24895424120166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6.7273684210526312</v>
      </c>
      <c r="BD17" s="12">
        <f>IF('Données projet'!$A$88&gt;35,BD16+BC17-BL16,IF(A17&lt;'Données projet'!$A$88,$BA$205^A17,IF(A17='Données projet'!$A$88,'Données projet'!$B$88,BD16+BC17-BL16)))</f>
        <v>35.664053651616371</v>
      </c>
      <c r="BE17" s="13">
        <f>BD17*VLOOKUP('Données projet'!$B$11,Paramètres!$A$1:$I$89,3,0)*VLOOKUP('Données projet'!$B$11,Paramètres!$A$1:$I$89,5,0)</f>
        <v>21.32710408366659</v>
      </c>
      <c r="BF17" s="13">
        <f t="shared" si="37"/>
        <v>6.8832933966241132</v>
      </c>
      <c r="BG17" s="20">
        <f t="shared" si="7"/>
        <v>49.133108944839641</v>
      </c>
      <c r="BH17" s="59">
        <f t="shared" si="8"/>
        <v>251.16297071711284</v>
      </c>
      <c r="BI17" s="59">
        <f ca="1">AVERAGE(OFFSET($BH$3,0,0,'Données projet'!$E$11+1,1))-AVERAGE(OFFSET($H$3,0,0,'Données projet'!$E$11+1,1))</f>
        <v>460.88622650237176</v>
      </c>
      <c r="BJ17" s="59">
        <f t="shared" si="38"/>
        <v>396.05161661639647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9.2928571428571427</v>
      </c>
      <c r="BY17" s="12">
        <f>IF('Données projet'!$A$114&gt;35,BY16+BX17-CG16,IF(A17&lt;'Données projet'!$A$114,$BV$205^A17,IF(A17='Données projet'!$A$114,'Données projet'!$B$114,BY16+BX17-CG16)))</f>
        <v>33.64436767432494</v>
      </c>
      <c r="BZ17" s="13">
        <f>BY17*VLOOKUP('Données projet'!$B$12,Paramètres!$A$1:$I$89,3,0)*VLOOKUP('Données projet'!$B$12,Paramètres!$A$1:$I$89,5,0)</f>
        <v>15.308187291817848</v>
      </c>
      <c r="CA17" s="13">
        <f t="shared" si="39"/>
        <v>5.1351212840126239</v>
      </c>
      <c r="CB17" s="20">
        <f t="shared" si="10"/>
        <v>35.605429102904736</v>
      </c>
      <c r="CC17" s="59">
        <f t="shared" si="11"/>
        <v>237.63529087517793</v>
      </c>
      <c r="CD17" s="59">
        <f ca="1">AVERAGE(OFFSET($CC$3,0,0,'Données projet'!$E$12+1,1))-AVERAGE(OFFSET($H$3,0,0,'Données projet'!$E$12+1,1))</f>
        <v>341.60063595566282</v>
      </c>
      <c r="CE17" s="59">
        <f t="shared" si="40"/>
        <v>317.05609766344219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4.2309999999999999</v>
      </c>
      <c r="CT17" s="12">
        <f>IF('Données projet'!$A$140&gt;35,CT16+CS17-DB16,IF(A17&lt;'Données projet'!$A$140,$CQ$205^A17,IF(A17='Données projet'!$A$140,'Données projet'!$B$140,CT16+CS17-DB16)))</f>
        <v>22.347611597536357</v>
      </c>
      <c r="CU17" s="17">
        <f>CT17*VLOOKUP('Données projet'!$B$13,Paramètres!$A$1:$I$89,3,0)*VLOOKUP('Données projet'!$B$13,Paramètres!$A$1:$I$89,5,0)</f>
        <v>23.357723641745</v>
      </c>
      <c r="CV17" s="13">
        <f t="shared" si="41"/>
        <v>7.4592861653573497</v>
      </c>
      <c r="CW17" s="20">
        <f t="shared" si="13"/>
        <v>53.672958747369925</v>
      </c>
      <c r="CX17" s="59">
        <f t="shared" si="14"/>
        <v>255.70282051964313</v>
      </c>
      <c r="CY17" s="59">
        <f ca="1">AVERAGE(OFFSET($CX$3,0,0,'Données projet'!$E$13+1,1))-AVERAGE(OFFSET($H$3,0,0,'Données projet'!$E$13+1,1))</f>
        <v>287.73449456153207</v>
      </c>
      <c r="CZ17" s="59">
        <f t="shared" si="42"/>
        <v>296.74833899433281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4.3352272727272725</v>
      </c>
      <c r="DO17" s="12">
        <f>IF('Données projet'!$A$166&gt;35,DO16+DN17-DW16,IF(A17&lt;'Données projet'!$A$166,$DL$205^A17,IF(A17='Données projet'!$A$166,'Données projet'!$B$166,DO16+DN17-DW16)))</f>
        <v>60.69318181818182</v>
      </c>
      <c r="DP17" s="17">
        <f>DO17*VLOOKUP('Données projet'!$B$14,Paramètres!$A$1:$I$89,3,0)*VLOOKUP('Données projet'!$B$14,Paramètres!$A$1:$I$89,5,0)</f>
        <v>61.54288636363637</v>
      </c>
      <c r="DQ17" s="13">
        <f t="shared" si="43"/>
        <v>17.557780796385483</v>
      </c>
      <c r="DR17" s="20">
        <f t="shared" si="16"/>
        <v>137.7669953037047</v>
      </c>
      <c r="DS17" s="59">
        <f t="shared" si="17"/>
        <v>339.79685707597787</v>
      </c>
      <c r="DT17" s="59">
        <f ca="1">AVERAGE(OFFSET($DS$3,0,0,'Données projet'!$E$14+1,1))-AVERAGE(OFFSET($H$3,0,0,'Données projet'!$E$14+1,1))</f>
        <v>532.34688562681413</v>
      </c>
      <c r="DU17" s="59">
        <f t="shared" si="44"/>
        <v>345.42627129678556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8.8459999999999983</v>
      </c>
      <c r="EJ17" s="12">
        <f>IF('Données projet'!$A$192&gt;35,EJ16+EI17-ER16,IF(A17&lt;'Données projet'!$A$192,$EG$205^A17,IF(A17='Données projet'!$A$192,'Données projet'!$B$192,EJ16+EI17-ER16)))</f>
        <v>80.893999999999991</v>
      </c>
      <c r="EK17" s="17">
        <f>EJ17*VLOOKUP('Données projet'!$B$15,Paramètres!$A$1:$I$89,3,0)*VLOOKUP('Données projet'!$B$15,Paramètres!$A$1:$I$89,5,0)</f>
        <v>73.192891199999991</v>
      </c>
      <c r="EL17" s="13">
        <f t="shared" si="45"/>
        <v>20.464294977721199</v>
      </c>
      <c r="EM17" s="20">
        <f t="shared" si="19"/>
        <v>163.11959925953104</v>
      </c>
      <c r="EN17" s="59">
        <f t="shared" si="20"/>
        <v>365.14946103180421</v>
      </c>
      <c r="EO17" s="59">
        <f ca="1">AVERAGE(OFFSET($EN$3,0,0,'Données projet'!$E$15+1,1))-AVERAGE(OFFSET($H$3,0,0,'Données projet'!$E$15+1,1))</f>
        <v>256.20286603823035</v>
      </c>
      <c r="EP17" s="59">
        <f t="shared" si="46"/>
        <v>364.83827155069434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4.3352272727272725</v>
      </c>
      <c r="FE17" s="12">
        <f>IF('Données projet'!$A$218&gt;35,FE16+FD17-FM16,IF(A17&lt;'Données projet'!$A$218,$FB$205^A17,IF(A17='Données projet'!$A$218,'Données projet'!$B$218,FE16+FD17-FM16)))</f>
        <v>60.69318181818182</v>
      </c>
      <c r="FF17" s="17">
        <f>FE17*VLOOKUP('Données projet'!$B$16,Paramètres!$A$1:$I$89,3,0)*VLOOKUP('Données projet'!$B$16,Paramètres!$A$1:$I$89,5,0)</f>
        <v>40.712986363636361</v>
      </c>
      <c r="FG17" s="13">
        <f t="shared" si="47"/>
        <v>12.187429265243242</v>
      </c>
      <c r="FH17" s="20">
        <f t="shared" si="22"/>
        <v>92.134890553631962</v>
      </c>
      <c r="FI17" s="59">
        <f t="shared" si="23"/>
        <v>294.16475232590517</v>
      </c>
      <c r="FJ17" s="59">
        <f ca="1">AVERAGE(OFFSET($FI$3,0,0,'Données projet'!$E$16+1,1))-AVERAGE(OFFSET($H$3,0,0,'Données projet'!$E$16+1,1))</f>
        <v>380.73695370216979</v>
      </c>
      <c r="FK17" s="59">
        <f t="shared" si="48"/>
        <v>249.34467160415713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4.3352272727272725</v>
      </c>
      <c r="FZ17" s="12">
        <f>IF('Données projet'!$A$244&gt;35,FZ16+FY17-GH16,IF(A17&lt;'Données projet'!$A$244,$FW$205^A17,IF(A17='Données projet'!$A$244,'Données projet'!$B$244,FZ16+FY17-GH16)))</f>
        <v>60.69318181818182</v>
      </c>
      <c r="GA17" s="17">
        <f>FZ17*VLOOKUP('Données projet'!$B$17,Paramètres!$A$1:$I$89,3,0)*VLOOKUP('Données projet'!$B$17,Paramètres!$A$1:$I$89,5,0)</f>
        <v>58.702445454545462</v>
      </c>
      <c r="GB17" s="13">
        <f t="shared" si="49"/>
        <v>16.839790242510148</v>
      </c>
      <c r="GC17" s="20">
        <f t="shared" si="25"/>
        <v>131.56939383903855</v>
      </c>
      <c r="GD17" s="59">
        <f t="shared" si="26"/>
        <v>333.59925561131172</v>
      </c>
      <c r="GE17" s="59">
        <f ca="1">AVERAGE(OFFSET($GD$3,0,0,'Données projet'!$E$17+1,1))-AVERAGE(OFFSET($H$3,0,0,'Données projet'!$E$17+1,1))</f>
        <v>511.7458522930001</v>
      </c>
      <c r="GF17" s="59">
        <f t="shared" si="50"/>
        <v>332.37317679966122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2.4666666666666668</v>
      </c>
      <c r="GU17" s="12">
        <f>IF('Données projet'!$A$270&gt;35,GU16+GT17-HC16,IF(A17&lt;'Données projet'!$A$270,$GR$205^A17,IF(A17='Données projet'!$A$270,'Données projet'!$B$270,GU16+GT17-HC16)))</f>
        <v>29.084054009429774</v>
      </c>
      <c r="GV17" s="17">
        <f>GU17*VLOOKUP('Données projet'!$B$18,Paramètres!$A$1:$I$89,3,0)*VLOOKUP('Données projet'!$B$18,Paramètres!$A$1:$I$89,5,0)</f>
        <v>25.407829582637852</v>
      </c>
      <c r="GW17" s="13">
        <f t="shared" si="51"/>
        <v>8.0349172386667025</v>
      </c>
      <c r="GX17" s="20">
        <f t="shared" si="28"/>
        <v>58.246117380438761</v>
      </c>
      <c r="GY17" s="59">
        <f t="shared" si="29"/>
        <v>260.27597915271195</v>
      </c>
      <c r="GZ17" s="59">
        <f ca="1">AVERAGE(OFFSET($GY$3,0,0,'Données projet'!$E$18+1,1))-AVERAGE(OFFSET($H$3,0,0,'Données projet'!$E$18+1,1))</f>
        <v>348.77506423101278</v>
      </c>
      <c r="HA17" s="59">
        <f t="shared" si="52"/>
        <v>336.13747591329548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">
      <c r="A18" s="10">
        <f t="shared" si="31"/>
        <v>15</v>
      </c>
      <c r="B18" s="71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5">
        <f t="shared" si="1"/>
        <v>183.33333333333334</v>
      </c>
      <c r="I18" s="6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9.9228571428571435</v>
      </c>
      <c r="N18" s="13">
        <f>IF('Données projet'!$A$36&gt;35,N17+M18-V17,IF(A18&lt;'Données projet'!$A$36,$K$205^A18,IF(A18='Données projet'!$A$36,'Données projet'!$B$36,N17+M18-V17)))</f>
        <v>148.84285714285713</v>
      </c>
      <c r="O18" s="13">
        <f>N18*VLOOKUP('Données projet'!$B$9,Paramètres!$A$1:$I$89,3,0)*VLOOKUP('Données projet'!$B$9,Paramètres!$A$1:$I$89,5,0)</f>
        <v>69.658457142857131</v>
      </c>
      <c r="P18" s="13">
        <f t="shared" si="33"/>
        <v>19.588616313230013</v>
      </c>
      <c r="Q18" s="20">
        <f t="shared" si="2"/>
        <v>155.43865293601846</v>
      </c>
      <c r="R18" s="59">
        <f t="shared" si="0"/>
        <v>359.93540286889947</v>
      </c>
      <c r="S18" s="59">
        <f ca="1">AVERAGE(OFFSET($R$3,0,0,'Données projet'!$E$9+1,1))-AVERAGE(OFFSET($H$3,0,0,'Données projet'!$E$9+1,1))</f>
        <v>387.50901594883317</v>
      </c>
      <c r="T18" s="59">
        <f t="shared" si="34"/>
        <v>361.3623790401972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5.8668181818181813</v>
      </c>
      <c r="AI18" s="13">
        <f>IF('Données projet'!$A$62&gt;35,AI17+AH18-AQ17,IF(A18&lt;'Données projet'!$A$62,$AF$205^A18,IF(A18='Données projet'!$A$62,'Données projet'!$B$62,AI17+AH18-AQ17)))</f>
        <v>27.491540413830034</v>
      </c>
      <c r="AJ18" s="13">
        <f>AI18*VLOOKUP('Données projet'!$B$10,Paramètres!$A$1:$I$89,3,0)*VLOOKUP('Données projet'!$B$10,Paramètres!$A$1:$I$89,5,0)</f>
        <v>16.439941167470362</v>
      </c>
      <c r="AK18" s="13">
        <f t="shared" si="35"/>
        <v>5.4691713958708279</v>
      </c>
      <c r="AL18" s="20">
        <f t="shared" si="4"/>
        <v>38.158371047819237</v>
      </c>
      <c r="AM18" s="59">
        <f t="shared" si="5"/>
        <v>242.65512098070027</v>
      </c>
      <c r="AN18" s="59">
        <f ca="1">AVERAGE(OFFSET($AM$3,0,0,'Données projet'!$E$10+1,1))-AVERAGE(OFFSET($H$3,0,0,'Données projet'!$E$10+1,1))</f>
        <v>373.47758082856359</v>
      </c>
      <c r="AO18" s="59">
        <f t="shared" si="36"/>
        <v>277.24895424120166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6.7273684210526312</v>
      </c>
      <c r="BD18" s="12">
        <f>IF('Données projet'!$A$88&gt;35,BD17+BC18-BL17,IF(A18&lt;'Données projet'!$A$88,$BA$205^A18,IF(A18='Données projet'!$A$88,'Données projet'!$B$88,BD17+BC18-BL17)))</f>
        <v>46.036714969620697</v>
      </c>
      <c r="BE18" s="13">
        <f>BD18*VLOOKUP('Données projet'!$B$11,Paramètres!$A$1:$I$89,3,0)*VLOOKUP('Données projet'!$B$11,Paramètres!$A$1:$I$89,5,0)</f>
        <v>27.529955551833176</v>
      </c>
      <c r="BF18" s="13">
        <f t="shared" si="37"/>
        <v>8.6251014830598223</v>
      </c>
      <c r="BG18" s="20">
        <f t="shared" si="7"/>
        <v>62.970057669105302</v>
      </c>
      <c r="BH18" s="59">
        <f t="shared" si="8"/>
        <v>267.46680760198637</v>
      </c>
      <c r="BI18" s="59">
        <f ca="1">AVERAGE(OFFSET($BH$3,0,0,'Données projet'!$E$11+1,1))-AVERAGE(OFFSET($H$3,0,0,'Données projet'!$E$11+1,1))</f>
        <v>460.88622650237176</v>
      </c>
      <c r="BJ18" s="59">
        <f t="shared" si="38"/>
        <v>396.05161661639647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9.2928571428571427</v>
      </c>
      <c r="BY18" s="12">
        <f>IF('Données projet'!$A$114&gt;35,BY17+BX18-CG17,IF(A18&lt;'Données projet'!$A$114,$BV$205^A18,IF(A18='Données projet'!$A$114,'Données projet'!$B$114,BY17+BX18-CG17)))</f>
        <v>43.249146342939241</v>
      </c>
      <c r="BZ18" s="13">
        <f>BY18*VLOOKUP('Données projet'!$B$12,Paramètres!$A$1:$I$89,3,0)*VLOOKUP('Données projet'!$B$12,Paramètres!$A$1:$I$89,5,0)</f>
        <v>19.678361586037354</v>
      </c>
      <c r="CA18" s="13">
        <f t="shared" si="39"/>
        <v>6.4109248946056683</v>
      </c>
      <c r="CB18" s="20">
        <f t="shared" si="10"/>
        <v>45.438840620453256</v>
      </c>
      <c r="CC18" s="59">
        <f t="shared" si="11"/>
        <v>249.93559055333429</v>
      </c>
      <c r="CD18" s="59">
        <f ca="1">AVERAGE(OFFSET($CC$3,0,0,'Données projet'!$E$12+1,1))-AVERAGE(OFFSET($H$3,0,0,'Données projet'!$E$12+1,1))</f>
        <v>341.60063595566282</v>
      </c>
      <c r="CE18" s="59">
        <f t="shared" si="40"/>
        <v>317.05609766344219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4.2309999999999999</v>
      </c>
      <c r="CT18" s="12">
        <f>IF('Données projet'!$A$140&gt;35,CT17+CS18-DB17,IF(A18&lt;'Données projet'!$A$140,$CQ$205^A18,IF(A18='Données projet'!$A$140,'Données projet'!$B$140,CT17+CS18-DB17)))</f>
        <v>27.900036134474657</v>
      </c>
      <c r="CU18" s="17">
        <f>CT18*VLOOKUP('Données projet'!$B$13,Paramètres!$A$1:$I$89,3,0)*VLOOKUP('Données projet'!$B$13,Paramètres!$A$1:$I$89,5,0)</f>
        <v>29.161117767752913</v>
      </c>
      <c r="CV18" s="13">
        <f t="shared" si="41"/>
        <v>9.0751335877550563</v>
      </c>
      <c r="CW18" s="20">
        <f t="shared" si="13"/>
        <v>66.594804444176376</v>
      </c>
      <c r="CX18" s="59">
        <f t="shared" si="14"/>
        <v>271.09155437705743</v>
      </c>
      <c r="CY18" s="59">
        <f ca="1">AVERAGE(OFFSET($CX$3,0,0,'Données projet'!$E$13+1,1))-AVERAGE(OFFSET($H$3,0,0,'Données projet'!$E$13+1,1))</f>
        <v>287.73449456153207</v>
      </c>
      <c r="CZ18" s="59">
        <f t="shared" si="42"/>
        <v>296.74833899433281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4.3352272727272725</v>
      </c>
      <c r="DO18" s="12">
        <f>IF('Données projet'!$A$166&gt;35,DO17+DN18-DW17,IF(A18&lt;'Données projet'!$A$166,$DL$205^A18,IF(A18='Données projet'!$A$166,'Données projet'!$B$166,DO17+DN18-DW17)))</f>
        <v>65.028409090909093</v>
      </c>
      <c r="DP18" s="17">
        <f>DO18*VLOOKUP('Données projet'!$B$14,Paramètres!$A$1:$I$89,3,0)*VLOOKUP('Données projet'!$B$14,Paramètres!$A$1:$I$89,5,0)</f>
        <v>65.938806818181831</v>
      </c>
      <c r="DQ18" s="13">
        <f t="shared" si="43"/>
        <v>18.66143888532887</v>
      </c>
      <c r="DR18" s="20">
        <f t="shared" si="16"/>
        <v>147.34542793361445</v>
      </c>
      <c r="DS18" s="59">
        <f t="shared" si="17"/>
        <v>351.84217786649549</v>
      </c>
      <c r="DT18" s="59">
        <f ca="1">AVERAGE(OFFSET($DS$3,0,0,'Données projet'!$E$14+1,1))-AVERAGE(OFFSET($H$3,0,0,'Données projet'!$E$14+1,1))</f>
        <v>532.34688562681413</v>
      </c>
      <c r="DU18" s="59">
        <f t="shared" si="44"/>
        <v>345.42627129678556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89.74</v>
      </c>
      <c r="EH18" s="12">
        <f>VLOOKUP(A18,'Données projet'!$A$191:$I$211,9,0)</f>
        <v>8.8459999999999983</v>
      </c>
      <c r="EI18" s="12">
        <f t="array" ref="EI18">INDEX(EH:EH,MIN(IF(ISNUMBER(EH18:EH214),ROW(EH18:EH214),"")))</f>
        <v>8.8459999999999983</v>
      </c>
      <c r="EJ18" s="12">
        <f>IF('Données projet'!$A$192&gt;35,EJ17+EI18-ER17,IF(A18&lt;'Données projet'!$A$192,$EG$205^A18,IF(A18='Données projet'!$A$192,'Données projet'!$B$192,EJ17+EI18-ER17)))</f>
        <v>89.74</v>
      </c>
      <c r="EK18" s="17">
        <f>EJ18*VLOOKUP('Données projet'!$B$15,Paramètres!$A$1:$I$89,3,0)*VLOOKUP('Données projet'!$B$15,Paramètres!$A$1:$I$89,5,0)</f>
        <v>81.196751999999989</v>
      </c>
      <c r="EL18" s="13">
        <f t="shared" si="45"/>
        <v>22.42954286237919</v>
      </c>
      <c r="EM18" s="20">
        <f t="shared" si="19"/>
        <v>180.48246355197708</v>
      </c>
      <c r="EN18" s="59">
        <f t="shared" si="20"/>
        <v>384.97921348485812</v>
      </c>
      <c r="EO18" s="59">
        <f ca="1">AVERAGE(OFFSET($EN$3,0,0,'Données projet'!$E$15+1,1))-AVERAGE(OFFSET($H$3,0,0,'Données projet'!$E$15+1,1))</f>
        <v>256.20286603823035</v>
      </c>
      <c r="EP18" s="59">
        <f t="shared" si="46"/>
        <v>364.83827155069434</v>
      </c>
      <c r="EQ18" s="15">
        <f>IF(ISNA(VLOOKUP(A18,'Données projet'!$A$191:$I$211,3,0)),0,VLOOKUP(A18,'Données projet'!$A$191:$I$211,3,0))</f>
        <v>3</v>
      </c>
      <c r="ER18" s="15">
        <f>IF(ISNA(VLOOKUP(A18,'Données projet'!$A$191:$I$211,4,0)),0,VLOOKUP(A18,'Données projet'!$A$191:$I$211,4,0))</f>
        <v>14.74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4.3352272727272725</v>
      </c>
      <c r="FE18" s="12">
        <f>IF('Données projet'!$A$218&gt;35,FE17+FD18-FM17,IF(A18&lt;'Données projet'!$A$218,$FB$205^A18,IF(A18='Données projet'!$A$218,'Données projet'!$B$218,FE17+FD18-FM17)))</f>
        <v>65.028409090909093</v>
      </c>
      <c r="FF18" s="17">
        <f>FE18*VLOOKUP('Données projet'!$B$16,Paramètres!$A$1:$I$89,3,0)*VLOOKUP('Données projet'!$B$16,Paramètres!$A$1:$I$89,5,0)</f>
        <v>43.62105681818182</v>
      </c>
      <c r="FG18" s="13">
        <f t="shared" si="47"/>
        <v>12.95351440140009</v>
      </c>
      <c r="FH18" s="20">
        <f t="shared" si="22"/>
        <v>98.534044874105163</v>
      </c>
      <c r="FI18" s="59">
        <f t="shared" si="23"/>
        <v>303.03079480698619</v>
      </c>
      <c r="FJ18" s="59">
        <f ca="1">AVERAGE(OFFSET($FI$3,0,0,'Données projet'!$E$16+1,1))-AVERAGE(OFFSET($H$3,0,0,'Données projet'!$E$16+1,1))</f>
        <v>380.73695370216979</v>
      </c>
      <c r="FK18" s="59">
        <f t="shared" si="48"/>
        <v>249.34467160415713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4.3352272727272725</v>
      </c>
      <c r="FZ18" s="12">
        <f>IF('Données projet'!$A$244&gt;35,FZ17+FY18-GH17,IF(A18&lt;'Données projet'!$A$244,$FW$205^A18,IF(A18='Données projet'!$A$244,'Données projet'!$B$244,FZ17+FY18-GH17)))</f>
        <v>65.028409090909093</v>
      </c>
      <c r="GA18" s="17">
        <f>FZ18*VLOOKUP('Données projet'!$B$17,Paramètres!$A$1:$I$89,3,0)*VLOOKUP('Données projet'!$B$17,Paramètres!$A$1:$I$89,5,0)</f>
        <v>62.895477272727277</v>
      </c>
      <c r="GB18" s="13">
        <f t="shared" si="49"/>
        <v>17.898316427156576</v>
      </c>
      <c r="GC18" s="20">
        <f t="shared" si="25"/>
        <v>140.71585736063102</v>
      </c>
      <c r="GD18" s="59">
        <f t="shared" si="26"/>
        <v>345.21260729351206</v>
      </c>
      <c r="GE18" s="59">
        <f ca="1">AVERAGE(OFFSET($GD$3,0,0,'Données projet'!$E$17+1,1))-AVERAGE(OFFSET($H$3,0,0,'Données projet'!$E$17+1,1))</f>
        <v>511.7458522930001</v>
      </c>
      <c r="GF18" s="59">
        <f t="shared" si="50"/>
        <v>332.37317679966122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37</v>
      </c>
      <c r="GS18" s="12">
        <f>VLOOKUP(A18,'Données projet'!$A$269:$I$289,9,0)</f>
        <v>2.4666666666666668</v>
      </c>
      <c r="GT18" s="12">
        <f t="array" ref="GT18">INDEX(GS:GS,MIN(IF(ISNUMBER(GS18:GS214),ROW(GS18:GS214),"")))</f>
        <v>2.4666666666666668</v>
      </c>
      <c r="GU18" s="12">
        <f>IF('Données projet'!$A$270&gt;35,GU17+GT18-HC17,IF(A18&lt;'Données projet'!$A$270,$GR$205^A18,IF(A18='Données projet'!$A$270,'Données projet'!$B$270,GU17+GT18-HC17)))</f>
        <v>37</v>
      </c>
      <c r="GV18" s="17">
        <f>GU18*VLOOKUP('Données projet'!$B$18,Paramètres!$A$1:$I$89,3,0)*VLOOKUP('Données projet'!$B$18,Paramètres!$A$1:$I$89,5,0)</f>
        <v>32.323200000000007</v>
      </c>
      <c r="GW18" s="13">
        <f t="shared" si="51"/>
        <v>9.9393719729191545</v>
      </c>
      <c r="GX18" s="20">
        <f t="shared" si="28"/>
        <v>73.607312852834198</v>
      </c>
      <c r="GY18" s="59">
        <f t="shared" si="29"/>
        <v>278.10406278571526</v>
      </c>
      <c r="GZ18" s="59">
        <f ca="1">AVERAGE(OFFSET($GY$3,0,0,'Données projet'!$E$18+1,1))-AVERAGE(OFFSET($H$3,0,0,'Données projet'!$E$18+1,1))</f>
        <v>348.77506423101278</v>
      </c>
      <c r="HA18" s="59">
        <f t="shared" si="52"/>
        <v>336.13747591329548</v>
      </c>
      <c r="HB18" s="15">
        <f>IF(ISNA(VLOOKUP(A18,'Données projet'!$A$269:$I$289,3,0)),0,VLOOKUP(A18,'Données projet'!$A$269:$I$289,3,0))</f>
        <v>1</v>
      </c>
      <c r="HC18" s="15">
        <f>IF(ISNA(VLOOKUP(A18,'Données projet'!$A$269:$I$289,4,0)),0,VLOOKUP(A18,'Données projet'!$A$269:$I$289,4,0))</f>
        <v>15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">
      <c r="A19" s="10">
        <f t="shared" si="31"/>
        <v>16</v>
      </c>
      <c r="B19" s="71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5">
        <f t="shared" si="1"/>
        <v>183.33333333333334</v>
      </c>
      <c r="I19" s="6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9.9228571428571435</v>
      </c>
      <c r="N19" s="13">
        <f>IF('Données projet'!$A$36&gt;35,N18+M19-V18,IF(A19&lt;'Données projet'!$A$36,$K$205^A19,IF(A19='Données projet'!$A$36,'Données projet'!$B$36,N18+M19-V18)))</f>
        <v>158.76571428571427</v>
      </c>
      <c r="O19" s="13">
        <f>N19*VLOOKUP('Données projet'!$B$9,Paramètres!$A$1:$I$89,3,0)*VLOOKUP('Données projet'!$B$9,Paramètres!$A$1:$I$89,5,0)</f>
        <v>74.302354285714287</v>
      </c>
      <c r="P19" s="13">
        <f t="shared" si="33"/>
        <v>20.738146582970735</v>
      </c>
      <c r="Q19" s="20">
        <f t="shared" si="2"/>
        <v>165.52887234629307</v>
      </c>
      <c r="R19" s="59">
        <f t="shared" si="0"/>
        <v>372.4709182684071</v>
      </c>
      <c r="S19" s="59">
        <f ca="1">AVERAGE(OFFSET($R$3,0,0,'Données projet'!$E$9+1,1))-AVERAGE(OFFSET($H$3,0,0,'Données projet'!$E$9+1,1))</f>
        <v>387.50901594883317</v>
      </c>
      <c r="T19" s="59">
        <f t="shared" si="34"/>
        <v>361.3623790401972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5.8668181818181813</v>
      </c>
      <c r="AI19" s="13">
        <f>IF('Données projet'!$A$62&gt;35,AI18+AH19-AQ18,IF(A19&lt;'Données projet'!$A$62,$AF$205^A19,IF(A19='Données projet'!$A$62,'Données projet'!$B$62,AI18+AH19-AQ18)))</f>
        <v>34.288278409507839</v>
      </c>
      <c r="AJ19" s="13">
        <f>AI19*VLOOKUP('Données projet'!$B$10,Paramètres!$A$1:$I$89,3,0)*VLOOKUP('Données projet'!$B$10,Paramètres!$A$1:$I$89,5,0)</f>
        <v>20.50439048888569</v>
      </c>
      <c r="AK19" s="13">
        <f t="shared" si="35"/>
        <v>6.6481368994289252</v>
      </c>
      <c r="AL19" s="20">
        <f t="shared" si="4"/>
        <v>47.290651867981289</v>
      </c>
      <c r="AM19" s="59">
        <f t="shared" si="5"/>
        <v>254.23269779009536</v>
      </c>
      <c r="AN19" s="59">
        <f ca="1">AVERAGE(OFFSET($AM$3,0,0,'Données projet'!$E$10+1,1))-AVERAGE(OFFSET($H$3,0,0,'Données projet'!$E$10+1,1))</f>
        <v>373.47758082856359</v>
      </c>
      <c r="AO19" s="59">
        <f t="shared" si="36"/>
        <v>277.24895424120166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6.7273684210526312</v>
      </c>
      <c r="BD19" s="12">
        <f>IF('Données projet'!$A$88&gt;35,BD18+BC19-BL18,IF(A19&lt;'Données projet'!$A$88,$BA$205^A19,IF(A19='Données projet'!$A$88,'Données projet'!$B$88,BD18+BC19-BL18)))</f>
        <v>59.426198319944547</v>
      </c>
      <c r="BE19" s="13">
        <f>BD19*VLOOKUP('Données projet'!$B$11,Paramètres!$A$1:$I$89,3,0)*VLOOKUP('Données projet'!$B$11,Paramètres!$A$1:$I$89,5,0)</f>
        <v>35.536866595326842</v>
      </c>
      <c r="BF19" s="13">
        <f t="shared" si="37"/>
        <v>10.807671750497542</v>
      </c>
      <c r="BG19" s="20">
        <f t="shared" si="7"/>
        <v>80.716737618977461</v>
      </c>
      <c r="BH19" s="59">
        <f t="shared" si="8"/>
        <v>287.65878354109151</v>
      </c>
      <c r="BI19" s="59">
        <f ca="1">AVERAGE(OFFSET($BH$3,0,0,'Données projet'!$E$11+1,1))-AVERAGE(OFFSET($H$3,0,0,'Données projet'!$E$11+1,1))</f>
        <v>460.88622650237176</v>
      </c>
      <c r="BJ19" s="59">
        <f t="shared" si="38"/>
        <v>396.05161661639647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9.2928571428571427</v>
      </c>
      <c r="BY19" s="12">
        <f>IF('Données projet'!$A$114&gt;35,BY18+BX19-CG18,IF(A19&lt;'Données projet'!$A$114,$BV$205^A19,IF(A19='Données projet'!$A$114,'Données projet'!$B$114,BY18+BX19-CG18)))</f>
        <v>55.595892825187576</v>
      </c>
      <c r="BZ19" s="13">
        <f>BY19*VLOOKUP('Données projet'!$B$12,Paramètres!$A$1:$I$89,3,0)*VLOOKUP('Données projet'!$B$12,Paramètres!$A$1:$I$89,5,0)</f>
        <v>25.296131235460347</v>
      </c>
      <c r="CA19" s="13">
        <f t="shared" si="39"/>
        <v>8.0036976209759363</v>
      </c>
      <c r="CB19" s="20">
        <f t="shared" si="10"/>
        <v>57.99720192495986</v>
      </c>
      <c r="CC19" s="59">
        <f t="shared" si="11"/>
        <v>264.93924784707394</v>
      </c>
      <c r="CD19" s="59">
        <f ca="1">AVERAGE(OFFSET($CC$3,0,0,'Données projet'!$E$12+1,1))-AVERAGE(OFFSET($H$3,0,0,'Données projet'!$E$12+1,1))</f>
        <v>341.60063595566282</v>
      </c>
      <c r="CE19" s="59">
        <f t="shared" si="40"/>
        <v>317.05609766344219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4.2309999999999999</v>
      </c>
      <c r="CT19" s="12">
        <f>IF('Données projet'!$A$140&gt;35,CT18+CS19-DB18,IF(A19&lt;'Données projet'!$A$140,$CQ$205^A19,IF(A19='Données projet'!$A$140,'Données projet'!$B$140,CT18+CS19-DB18)))</f>
        <v>34.832000408974586</v>
      </c>
      <c r="CU19" s="17">
        <f>CT19*VLOOKUP('Données projet'!$B$13,Paramètres!$A$1:$I$89,3,0)*VLOOKUP('Données projet'!$B$13,Paramètres!$A$1:$I$89,5,0)</f>
        <v>36.406406827460238</v>
      </c>
      <c r="CV19" s="13">
        <f t="shared" si="41"/>
        <v>11.041009529583379</v>
      </c>
      <c r="CW19" s="20">
        <f t="shared" si="13"/>
        <v>82.63758348851762</v>
      </c>
      <c r="CX19" s="59">
        <f t="shared" si="14"/>
        <v>289.5796294106317</v>
      </c>
      <c r="CY19" s="59">
        <f ca="1">AVERAGE(OFFSET($CX$3,0,0,'Données projet'!$E$13+1,1))-AVERAGE(OFFSET($H$3,0,0,'Données projet'!$E$13+1,1))</f>
        <v>287.73449456153207</v>
      </c>
      <c r="CZ19" s="59">
        <f t="shared" si="42"/>
        <v>296.74833899433281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4.3352272727272725</v>
      </c>
      <c r="DO19" s="12">
        <f>IF('Données projet'!$A$166&gt;35,DO18+DN19-DW18,IF(A19&lt;'Données projet'!$A$166,$DL$205^A19,IF(A19='Données projet'!$A$166,'Données projet'!$B$166,DO18+DN19-DW18)))</f>
        <v>69.36363636363636</v>
      </c>
      <c r="DP19" s="17">
        <f>DO19*VLOOKUP('Données projet'!$B$14,Paramètres!$A$1:$I$89,3,0)*VLOOKUP('Données projet'!$B$14,Paramètres!$A$1:$I$89,5,0)</f>
        <v>70.334727272727278</v>
      </c>
      <c r="DQ19" s="13">
        <f t="shared" si="43"/>
        <v>19.756559057809525</v>
      </c>
      <c r="DR19" s="20">
        <f t="shared" si="16"/>
        <v>156.90899035901828</v>
      </c>
      <c r="DS19" s="59">
        <f t="shared" si="17"/>
        <v>363.85103628113234</v>
      </c>
      <c r="DT19" s="59">
        <f ca="1">AVERAGE(OFFSET($DS$3,0,0,'Données projet'!$E$14+1,1))-AVERAGE(OFFSET($H$3,0,0,'Données projet'!$E$14+1,1))</f>
        <v>532.34688562681413</v>
      </c>
      <c r="DU19" s="59">
        <f t="shared" si="44"/>
        <v>345.42627129678556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8.0759999999999987</v>
      </c>
      <c r="EJ19" s="12">
        <f>IF('Données projet'!$A$192&gt;35,EJ18+EI19-ER18,IF(A19&lt;'Données projet'!$A$192,$EG$205^A19,IF(A19='Données projet'!$A$192,'Données projet'!$B$192,EJ18+EI19-ER18)))</f>
        <v>83.075999999999993</v>
      </c>
      <c r="EK19" s="17">
        <f>EJ19*VLOOKUP('Données projet'!$B$15,Paramètres!$A$1:$I$89,3,0)*VLOOKUP('Données projet'!$B$15,Paramètres!$A$1:$I$89,5,0)</f>
        <v>75.167164799999995</v>
      </c>
      <c r="EL19" s="13">
        <f t="shared" si="45"/>
        <v>20.951279737349282</v>
      </c>
      <c r="EM19" s="20">
        <f t="shared" si="19"/>
        <v>167.40629090254998</v>
      </c>
      <c r="EN19" s="59">
        <f t="shared" si="20"/>
        <v>374.34833682466405</v>
      </c>
      <c r="EO19" s="59">
        <f ca="1">AVERAGE(OFFSET($EN$3,0,0,'Données projet'!$E$15+1,1))-AVERAGE(OFFSET($H$3,0,0,'Données projet'!$E$15+1,1))</f>
        <v>256.20286603823035</v>
      </c>
      <c r="EP19" s="59">
        <f t="shared" si="46"/>
        <v>364.83827155069434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4.3352272727272725</v>
      </c>
      <c r="FE19" s="12">
        <f>IF('Données projet'!$A$218&gt;35,FE18+FD19-FM18,IF(A19&lt;'Données projet'!$A$218,$FB$205^A19,IF(A19='Données projet'!$A$218,'Données projet'!$B$218,FE18+FD19-FM18)))</f>
        <v>69.36363636363636</v>
      </c>
      <c r="FF19" s="17">
        <f>FE19*VLOOKUP('Données projet'!$B$16,Paramètres!$A$1:$I$89,3,0)*VLOOKUP('Données projet'!$B$16,Paramètres!$A$1:$I$89,5,0)</f>
        <v>46.529127272727273</v>
      </c>
      <c r="FG19" s="13">
        <f t="shared" si="47"/>
        <v>13.713673090805562</v>
      </c>
      <c r="FH19" s="20">
        <f t="shared" si="22"/>
        <v>104.92287729981969</v>
      </c>
      <c r="FI19" s="59">
        <f t="shared" si="23"/>
        <v>311.86492322193374</v>
      </c>
      <c r="FJ19" s="59">
        <f ca="1">AVERAGE(OFFSET($FI$3,0,0,'Données projet'!$E$16+1,1))-AVERAGE(OFFSET($H$3,0,0,'Données projet'!$E$16+1,1))</f>
        <v>380.73695370216979</v>
      </c>
      <c r="FK19" s="59">
        <f t="shared" si="48"/>
        <v>249.34467160415713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4.3352272727272725</v>
      </c>
      <c r="FZ19" s="12">
        <f>IF('Données projet'!$A$244&gt;35,FZ18+FY19-GH18,IF(A19&lt;'Données projet'!$A$244,$FW$205^A19,IF(A19='Données projet'!$A$244,'Données projet'!$B$244,FZ18+FY19-GH18)))</f>
        <v>69.36363636363636</v>
      </c>
      <c r="GA19" s="17">
        <f>FZ19*VLOOKUP('Données projet'!$B$17,Paramètres!$A$1:$I$89,3,0)*VLOOKUP('Données projet'!$B$17,Paramètres!$A$1:$I$89,5,0)</f>
        <v>67.088509090909085</v>
      </c>
      <c r="GB19" s="13">
        <f t="shared" si="49"/>
        <v>18.948653836466992</v>
      </c>
      <c r="GC19" s="20">
        <f t="shared" si="25"/>
        <v>149.84805876518001</v>
      </c>
      <c r="GD19" s="59">
        <f t="shared" si="26"/>
        <v>356.79010468729405</v>
      </c>
      <c r="GE19" s="59">
        <f ca="1">AVERAGE(OFFSET($GD$3,0,0,'Données projet'!$E$17+1,1))-AVERAGE(OFFSET($H$3,0,0,'Données projet'!$E$17+1,1))</f>
        <v>511.7458522930001</v>
      </c>
      <c r="GF19" s="59">
        <f t="shared" si="50"/>
        <v>332.37317679966122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11.6</v>
      </c>
      <c r="GU19" s="12">
        <f>IF('Données projet'!$A$270&gt;35,GU18+GT19-HC18,IF(A19&lt;'Données projet'!$A$270,$GR$205^A19,IF(A19='Données projet'!$A$270,'Données projet'!$B$270,GU18+GT19-HC18)))</f>
        <v>33.6</v>
      </c>
      <c r="GV19" s="17">
        <f>GU19*VLOOKUP('Données projet'!$B$18,Paramètres!$A$1:$I$89,3,0)*VLOOKUP('Données projet'!$B$18,Paramètres!$A$1:$I$89,5,0)</f>
        <v>29.352960000000007</v>
      </c>
      <c r="GW19" s="13">
        <f t="shared" si="51"/>
        <v>9.1278666361046881</v>
      </c>
      <c r="GX19" s="20">
        <f t="shared" si="28"/>
        <v>67.020773057882352</v>
      </c>
      <c r="GY19" s="59">
        <f t="shared" si="29"/>
        <v>273.96281897999643</v>
      </c>
      <c r="GZ19" s="59">
        <f ca="1">AVERAGE(OFFSET($GY$3,0,0,'Données projet'!$E$18+1,1))-AVERAGE(OFFSET($H$3,0,0,'Données projet'!$E$18+1,1))</f>
        <v>348.77506423101278</v>
      </c>
      <c r="HA19" s="59">
        <f t="shared" si="52"/>
        <v>336.13747591329548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">
      <c r="A20" s="10">
        <f t="shared" si="31"/>
        <v>17</v>
      </c>
      <c r="B20" s="71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5">
        <f t="shared" si="1"/>
        <v>183.33333333333334</v>
      </c>
      <c r="I20" s="6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9.9228571428571435</v>
      </c>
      <c r="N20" s="13">
        <f>IF('Données projet'!$A$36&gt;35,N19+M20-V19,IF(A20&lt;'Données projet'!$A$36,$K$205^A20,IF(A20='Données projet'!$A$36,'Données projet'!$B$36,N19+M20-V19)))</f>
        <v>168.68857142857141</v>
      </c>
      <c r="O20" s="13">
        <f>N20*VLOOKUP('Données projet'!$B$9,Paramètres!$A$1:$I$89,3,0)*VLOOKUP('Données projet'!$B$9,Paramètres!$A$1:$I$89,5,0)</f>
        <v>78.946251428571415</v>
      </c>
      <c r="P20" s="13">
        <f t="shared" si="33"/>
        <v>21.879338637143992</v>
      </c>
      <c r="Q20" s="20">
        <f t="shared" si="2"/>
        <v>175.60456936445431</v>
      </c>
      <c r="R20" s="59">
        <f t="shared" si="0"/>
        <v>384.97069368032703</v>
      </c>
      <c r="S20" s="59">
        <f ca="1">AVERAGE(OFFSET($R$3,0,0,'Données projet'!$E$9+1,1))-AVERAGE(OFFSET($H$3,0,0,'Données projet'!$E$9+1,1))</f>
        <v>387.50901594883317</v>
      </c>
      <c r="T20" s="59">
        <f t="shared" si="34"/>
        <v>361.3623790401972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5.8668181818181813</v>
      </c>
      <c r="AI20" s="13">
        <f>IF('Données projet'!$A$62&gt;35,AI19+AH20-AQ19,IF(A20&lt;'Données projet'!$A$62,$AF$205^A20,IF(A20='Données projet'!$A$62,'Données projet'!$B$62,AI19+AH20-AQ19)))</f>
        <v>42.765375042297542</v>
      </c>
      <c r="AJ20" s="13">
        <f>AI20*VLOOKUP('Données projet'!$B$10,Paramètres!$A$1:$I$89,3,0)*VLOOKUP('Données projet'!$B$10,Paramètres!$A$1:$I$89,5,0)</f>
        <v>25.573694275293931</v>
      </c>
      <c r="AK20" s="13">
        <f t="shared" si="35"/>
        <v>8.0812468716773616</v>
      </c>
      <c r="AL20" s="20">
        <f t="shared" si="4"/>
        <v>58.615689164308343</v>
      </c>
      <c r="AM20" s="59">
        <f t="shared" si="5"/>
        <v>267.98181348018107</v>
      </c>
      <c r="AN20" s="59">
        <f ca="1">AVERAGE(OFFSET($AM$3,0,0,'Données projet'!$E$10+1,1))-AVERAGE(OFFSET($H$3,0,0,'Données projet'!$E$10+1,1))</f>
        <v>373.47758082856359</v>
      </c>
      <c r="AO20" s="59">
        <f t="shared" si="36"/>
        <v>277.24895424120166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6.7273684210526312</v>
      </c>
      <c r="BD20" s="12">
        <f>IF('Données projet'!$A$88&gt;35,BD19+BC20-BL19,IF(A20&lt;'Données projet'!$A$88,$BA$205^A20,IF(A20='Données projet'!$A$88,'Données projet'!$B$88,BD19+BC20-BL19)))</f>
        <v>76.709927046093</v>
      </c>
      <c r="BE20" s="13">
        <f>BD20*VLOOKUP('Données projet'!$B$11,Paramètres!$A$1:$I$89,3,0)*VLOOKUP('Données projet'!$B$11,Paramètres!$A$1:$I$89,5,0)</f>
        <v>45.872536373563612</v>
      </c>
      <c r="BF20" s="13">
        <f t="shared" si="37"/>
        <v>13.542538472841819</v>
      </c>
      <c r="BG20" s="20">
        <f t="shared" si="7"/>
        <v>103.48125535748945</v>
      </c>
      <c r="BH20" s="59">
        <f t="shared" si="8"/>
        <v>312.84737967336218</v>
      </c>
      <c r="BI20" s="59">
        <f ca="1">AVERAGE(OFFSET($BH$3,0,0,'Données projet'!$E$11+1,1))-AVERAGE(OFFSET($H$3,0,0,'Données projet'!$E$11+1,1))</f>
        <v>460.88622650237176</v>
      </c>
      <c r="BJ20" s="59">
        <f t="shared" si="38"/>
        <v>396.05161661639647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9.2928571428571427</v>
      </c>
      <c r="BY20" s="12">
        <f>IF('Données projet'!$A$114&gt;35,BY19+BX20-CG19,IF(A20&lt;'Données projet'!$A$114,$BV$205^A20,IF(A20='Données projet'!$A$114,'Données projet'!$B$114,BY19+BX20-CG19)))</f>
        <v>71.467382836201523</v>
      </c>
      <c r="BZ20" s="13">
        <f>BY20*VLOOKUP('Données projet'!$B$12,Paramètres!$A$1:$I$89,3,0)*VLOOKUP('Données projet'!$B$12,Paramètres!$A$1:$I$89,5,0)</f>
        <v>32.517659190471697</v>
      </c>
      <c r="CA20" s="13">
        <f t="shared" si="39"/>
        <v>9.9921893737855232</v>
      </c>
      <c r="CB20" s="20">
        <f t="shared" si="10"/>
        <v>74.037986249414644</v>
      </c>
      <c r="CC20" s="59">
        <f t="shared" si="11"/>
        <v>283.4041105652874</v>
      </c>
      <c r="CD20" s="59">
        <f ca="1">AVERAGE(OFFSET($CC$3,0,0,'Données projet'!$E$12+1,1))-AVERAGE(OFFSET($H$3,0,0,'Données projet'!$E$12+1,1))</f>
        <v>341.60063595566282</v>
      </c>
      <c r="CE20" s="59">
        <f t="shared" si="40"/>
        <v>317.05609766344219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4.2309999999999999</v>
      </c>
      <c r="CT20" s="12">
        <f>IF('Données projet'!$A$140&gt;35,CT19+CS20-DB19,IF(A20&lt;'Données projet'!$A$140,$CQ$205^A20,IF(A20='Données projet'!$A$140,'Données projet'!$B$140,CT19+CS20-DB19)))</f>
        <v>43.486260972674216</v>
      </c>
      <c r="CU20" s="17">
        <f>CT20*VLOOKUP('Données projet'!$B$13,Paramètres!$A$1:$I$89,3,0)*VLOOKUP('Données projet'!$B$13,Paramètres!$A$1:$I$89,5,0)</f>
        <v>45.451839968639099</v>
      </c>
      <c r="CV20" s="13">
        <f t="shared" si="41"/>
        <v>13.432737959563942</v>
      </c>
      <c r="CW20" s="20">
        <f t="shared" si="13"/>
        <v>102.55730655828695</v>
      </c>
      <c r="CX20" s="59">
        <f t="shared" si="14"/>
        <v>311.92343087415969</v>
      </c>
      <c r="CY20" s="59">
        <f ca="1">AVERAGE(OFFSET($CX$3,0,0,'Données projet'!$E$13+1,1))-AVERAGE(OFFSET($H$3,0,0,'Données projet'!$E$13+1,1))</f>
        <v>287.73449456153207</v>
      </c>
      <c r="CZ20" s="59">
        <f t="shared" si="42"/>
        <v>296.74833899433281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4.3352272727272725</v>
      </c>
      <c r="DO20" s="12">
        <f>IF('Données projet'!$A$166&gt;35,DO19+DN20-DW19,IF(A20&lt;'Données projet'!$A$166,$DL$205^A20,IF(A20='Données projet'!$A$166,'Données projet'!$B$166,DO19+DN20-DW19)))</f>
        <v>73.698863636363626</v>
      </c>
      <c r="DP20" s="17">
        <f>DO20*VLOOKUP('Données projet'!$B$14,Paramètres!$A$1:$I$89,3,0)*VLOOKUP('Données projet'!$B$14,Paramètres!$A$1:$I$89,5,0)</f>
        <v>74.730647727272725</v>
      </c>
      <c r="DQ20" s="13">
        <f t="shared" si="43"/>
        <v>20.843735682990228</v>
      </c>
      <c r="DR20" s="20">
        <f t="shared" si="16"/>
        <v>166.45871777287462</v>
      </c>
      <c r="DS20" s="59">
        <f t="shared" si="17"/>
        <v>375.82484208874735</v>
      </c>
      <c r="DT20" s="59">
        <f ca="1">AVERAGE(OFFSET($DS$3,0,0,'Données projet'!$E$14+1,1))-AVERAGE(OFFSET($H$3,0,0,'Données projet'!$E$14+1,1))</f>
        <v>532.34688562681413</v>
      </c>
      <c r="DU20" s="59">
        <f t="shared" si="44"/>
        <v>345.42627129678556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8.0759999999999987</v>
      </c>
      <c r="EJ20" s="12">
        <f>IF('Données projet'!$A$192&gt;35,EJ19+EI20-ER19,IF(A20&lt;'Données projet'!$A$192,$EG$205^A20,IF(A20='Données projet'!$A$192,'Données projet'!$B$192,EJ19+EI20-ER19)))</f>
        <v>91.151999999999987</v>
      </c>
      <c r="EK20" s="17">
        <f>EJ20*VLOOKUP('Données projet'!$B$15,Paramètres!$A$1:$I$89,3,0)*VLOOKUP('Données projet'!$B$15,Paramètres!$A$1:$I$89,5,0)</f>
        <v>82.47432959999999</v>
      </c>
      <c r="EL20" s="13">
        <f t="shared" si="45"/>
        <v>22.741093891424249</v>
      </c>
      <c r="EM20" s="20">
        <f t="shared" si="19"/>
        <v>183.25019591423055</v>
      </c>
      <c r="EN20" s="59">
        <f t="shared" si="20"/>
        <v>392.61632023010327</v>
      </c>
      <c r="EO20" s="59">
        <f ca="1">AVERAGE(OFFSET($EN$3,0,0,'Données projet'!$E$15+1,1))-AVERAGE(OFFSET($H$3,0,0,'Données projet'!$E$15+1,1))</f>
        <v>256.20286603823035</v>
      </c>
      <c r="EP20" s="59">
        <f t="shared" si="46"/>
        <v>364.83827155069434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4.3352272727272725</v>
      </c>
      <c r="FE20" s="12">
        <f>IF('Données projet'!$A$218&gt;35,FE19+FD20-FM19,IF(A20&lt;'Données projet'!$A$218,$FB$205^A20,IF(A20='Données projet'!$A$218,'Données projet'!$B$218,FE19+FD20-FM19)))</f>
        <v>73.698863636363626</v>
      </c>
      <c r="FF20" s="17">
        <f>FE20*VLOOKUP('Données projet'!$B$16,Paramètres!$A$1:$I$89,3,0)*VLOOKUP('Données projet'!$B$16,Paramètres!$A$1:$I$89,5,0)</f>
        <v>49.437197727272718</v>
      </c>
      <c r="FG20" s="13">
        <f t="shared" si="47"/>
        <v>14.468317904513652</v>
      </c>
      <c r="FH20" s="20">
        <f t="shared" si="22"/>
        <v>111.30210639202791</v>
      </c>
      <c r="FI20" s="59">
        <f t="shared" si="23"/>
        <v>320.66823070790065</v>
      </c>
      <c r="FJ20" s="59">
        <f ca="1">AVERAGE(OFFSET($FI$3,0,0,'Données projet'!$E$16+1,1))-AVERAGE(OFFSET($H$3,0,0,'Données projet'!$E$16+1,1))</f>
        <v>380.73695370216979</v>
      </c>
      <c r="FK20" s="59">
        <f t="shared" si="48"/>
        <v>249.34467160415713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4.3352272727272725</v>
      </c>
      <c r="FZ20" s="12">
        <f>IF('Données projet'!$A$244&gt;35,FZ19+FY20-GH19,IF(A20&lt;'Données projet'!$A$244,$FW$205^A20,IF(A20='Données projet'!$A$244,'Données projet'!$B$244,FZ19+FY20-GH19)))</f>
        <v>73.698863636363626</v>
      </c>
      <c r="GA20" s="17">
        <f>FZ20*VLOOKUP('Données projet'!$B$17,Paramètres!$A$1:$I$89,3,0)*VLOOKUP('Données projet'!$B$17,Paramètres!$A$1:$I$89,5,0)</f>
        <v>71.281540909090907</v>
      </c>
      <c r="GB20" s="13">
        <f t="shared" si="49"/>
        <v>19.991372534058439</v>
      </c>
      <c r="GC20" s="20">
        <f t="shared" si="25"/>
        <v>158.96699091348509</v>
      </c>
      <c r="GD20" s="59">
        <f t="shared" si="26"/>
        <v>368.33311522935782</v>
      </c>
      <c r="GE20" s="59">
        <f ca="1">AVERAGE(OFFSET($GD$3,0,0,'Données projet'!$E$17+1,1))-AVERAGE(OFFSET($H$3,0,0,'Données projet'!$E$17+1,1))</f>
        <v>511.7458522930001</v>
      </c>
      <c r="GF20" s="59">
        <f t="shared" si="50"/>
        <v>332.37317679966122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11.6</v>
      </c>
      <c r="GU20" s="12">
        <f>IF('Données projet'!$A$270&gt;35,GU19+GT20-HC19,IF(A20&lt;'Données projet'!$A$270,$GR$205^A20,IF(A20='Données projet'!$A$270,'Données projet'!$B$270,GU19+GT20-HC19)))</f>
        <v>45.2</v>
      </c>
      <c r="GV20" s="17">
        <f>GU20*VLOOKUP('Données projet'!$B$18,Paramètres!$A$1:$I$89,3,0)*VLOOKUP('Données projet'!$B$18,Paramètres!$A$1:$I$89,5,0)</f>
        <v>39.486720000000005</v>
      </c>
      <c r="GW20" s="13">
        <f t="shared" si="51"/>
        <v>11.862499896265861</v>
      </c>
      <c r="GX20" s="20">
        <f t="shared" si="28"/>
        <v>89.433224652663043</v>
      </c>
      <c r="GY20" s="59">
        <f t="shared" si="29"/>
        <v>298.79934896853575</v>
      </c>
      <c r="GZ20" s="59">
        <f ca="1">AVERAGE(OFFSET($GY$3,0,0,'Données projet'!$E$18+1,1))-AVERAGE(OFFSET($H$3,0,0,'Données projet'!$E$18+1,1))</f>
        <v>348.77506423101278</v>
      </c>
      <c r="HA20" s="59">
        <f t="shared" si="52"/>
        <v>336.13747591329548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">
      <c r="A21" s="10">
        <f t="shared" si="31"/>
        <v>18</v>
      </c>
      <c r="B21" s="71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5">
        <f t="shared" si="1"/>
        <v>183.33333333333334</v>
      </c>
      <c r="I21" s="6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9.9228571428571435</v>
      </c>
      <c r="N21" s="13">
        <f>IF('Données projet'!$A$36&gt;35,N20+M21-V20,IF(A21&lt;'Données projet'!$A$36,$K$205^A21,IF(A21='Données projet'!$A$36,'Données projet'!$B$36,N20+M21-V20)))</f>
        <v>178.61142857142855</v>
      </c>
      <c r="O21" s="13">
        <f>N21*VLOOKUP('Données projet'!$B$9,Paramètres!$A$1:$I$89,3,0)*VLOOKUP('Données projet'!$B$9,Paramètres!$A$1:$I$89,5,0)</f>
        <v>83.590148571428557</v>
      </c>
      <c r="P21" s="13">
        <f t="shared" si="33"/>
        <v>23.012738829225075</v>
      </c>
      <c r="Q21" s="20">
        <f t="shared" si="2"/>
        <v>185.66669555613839</v>
      </c>
      <c r="R21" s="59">
        <f t="shared" si="0"/>
        <v>397.4360487481415</v>
      </c>
      <c r="S21" s="59">
        <f ca="1">AVERAGE(OFFSET($R$3,0,0,'Données projet'!$E$9+1,1))-AVERAGE(OFFSET($H$3,0,0,'Données projet'!$E$9+1,1))</f>
        <v>387.50901594883317</v>
      </c>
      <c r="T21" s="59">
        <f t="shared" si="34"/>
        <v>361.3623790401972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5.8668181818181813</v>
      </c>
      <c r="AI21" s="13">
        <f>IF('Données projet'!$A$62&gt;35,AI20+AH21-AQ20,IF(A21&lt;'Données projet'!$A$62,$AF$205^A21,IF(A21='Données projet'!$A$62,'Données projet'!$B$62,AI20+AH21-AQ20)))</f>
        <v>53.338265650608868</v>
      </c>
      <c r="AJ21" s="13">
        <f>AI21*VLOOKUP('Données projet'!$B$10,Paramètres!$A$1:$I$89,3,0)*VLOOKUP('Données projet'!$B$10,Paramètres!$A$1:$I$89,5,0)</f>
        <v>31.896282859064108</v>
      </c>
      <c r="AK21" s="13">
        <f t="shared" si="35"/>
        <v>9.8232861309767845</v>
      </c>
      <c r="AL21" s="20">
        <f t="shared" si="4"/>
        <v>72.661582657654549</v>
      </c>
      <c r="AM21" s="59">
        <f t="shared" si="5"/>
        <v>284.43093584965766</v>
      </c>
      <c r="AN21" s="59">
        <f ca="1">AVERAGE(OFFSET($AM$3,0,0,'Données projet'!$E$10+1,1))-AVERAGE(OFFSET($H$3,0,0,'Données projet'!$E$10+1,1))</f>
        <v>373.47758082856359</v>
      </c>
      <c r="AO21" s="59">
        <f t="shared" si="36"/>
        <v>277.24895424120166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6.7273684210526312</v>
      </c>
      <c r="BD21" s="12">
        <f>IF('Données projet'!$A$88&gt;35,BD20+BC21-BL20,IF(A21&lt;'Données projet'!$A$88,$BA$205^A21,IF(A21='Données projet'!$A$88,'Données projet'!$B$88,BD20+BC21-BL20)))</f>
        <v>99.020517444778079</v>
      </c>
      <c r="BE21" s="13">
        <f>BD21*VLOOKUP('Données projet'!$B$11,Paramètres!$A$1:$I$89,3,0)*VLOOKUP('Données projet'!$B$11,Paramètres!$A$1:$I$89,5,0)</f>
        <v>59.214269431977293</v>
      </c>
      <c r="BF21" s="13">
        <f t="shared" si="37"/>
        <v>16.969459521192238</v>
      </c>
      <c r="BG21" s="20">
        <f t="shared" si="7"/>
        <v>132.68666126010359</v>
      </c>
      <c r="BH21" s="59">
        <f t="shared" si="8"/>
        <v>344.45601445210673</v>
      </c>
      <c r="BI21" s="59">
        <f ca="1">AVERAGE(OFFSET($BH$3,0,0,'Données projet'!$E$11+1,1))-AVERAGE(OFFSET($H$3,0,0,'Données projet'!$E$11+1,1))</f>
        <v>460.88622650237176</v>
      </c>
      <c r="BJ21" s="59">
        <f t="shared" si="38"/>
        <v>396.05161661639647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9.2928571428571427</v>
      </c>
      <c r="BY21" s="12">
        <f>IF('Données projet'!$A$114&gt;35,BY20+BX21-CG20,IF(A21&lt;'Données projet'!$A$114,$BV$205^A21,IF(A21='Données projet'!$A$114,'Données projet'!$B$114,BY20+BX21-CG20)))</f>
        <v>91.869858543619102</v>
      </c>
      <c r="BZ21" s="13">
        <f>BY21*VLOOKUP('Données projet'!$B$12,Paramètres!$A$1:$I$89,3,0)*VLOOKUP('Données projet'!$B$12,Paramètres!$A$1:$I$89,5,0)</f>
        <v>41.800785637346692</v>
      </c>
      <c r="CA21" s="13">
        <f t="shared" si="39"/>
        <v>12.474715214118467</v>
      </c>
      <c r="CB21" s="20">
        <f t="shared" si="10"/>
        <v>94.529830649635144</v>
      </c>
      <c r="CC21" s="59">
        <f t="shared" si="11"/>
        <v>306.29918384163824</v>
      </c>
      <c r="CD21" s="59">
        <f ca="1">AVERAGE(OFFSET($CC$3,0,0,'Données projet'!$E$12+1,1))-AVERAGE(OFFSET($H$3,0,0,'Données projet'!$E$12+1,1))</f>
        <v>341.60063595566282</v>
      </c>
      <c r="CE21" s="59">
        <f t="shared" si="40"/>
        <v>317.05609766344219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4.2309999999999999</v>
      </c>
      <c r="CT21" s="12">
        <f>IF('Données projet'!$A$140&gt;35,CT20+CS21-DB20,IF(A21&lt;'Données projet'!$A$140,$CQ$205^A21,IF(A21='Données projet'!$A$140,'Données projet'!$B$140,CT20+CS21-DB20)))</f>
        <v>54.290734703146477</v>
      </c>
      <c r="CU21" s="17">
        <f>CT21*VLOOKUP('Données projet'!$B$13,Paramètres!$A$1:$I$89,3,0)*VLOOKUP('Données projet'!$B$13,Paramètres!$A$1:$I$89,5,0)</f>
        <v>56.744675911728699</v>
      </c>
      <c r="CV21" s="13">
        <f t="shared" si="41"/>
        <v>16.342568005836927</v>
      </c>
      <c r="CW21" s="20">
        <f t="shared" si="13"/>
        <v>127.29361648976014</v>
      </c>
      <c r="CX21" s="59">
        <f t="shared" si="14"/>
        <v>339.06296968176326</v>
      </c>
      <c r="CY21" s="59">
        <f ca="1">AVERAGE(OFFSET($CX$3,0,0,'Données projet'!$E$13+1,1))-AVERAGE(OFFSET($H$3,0,0,'Données projet'!$E$13+1,1))</f>
        <v>287.73449456153207</v>
      </c>
      <c r="CZ21" s="59">
        <f t="shared" si="42"/>
        <v>296.74833899433281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4.3352272727272725</v>
      </c>
      <c r="DO21" s="12">
        <f>IF('Données projet'!$A$166&gt;35,DO20+DN21-DW20,IF(A21&lt;'Données projet'!$A$166,$DL$205^A21,IF(A21='Données projet'!$A$166,'Données projet'!$B$166,DO20+DN21-DW20)))</f>
        <v>78.034090909090892</v>
      </c>
      <c r="DP21" s="17">
        <f>DO21*VLOOKUP('Données projet'!$B$14,Paramètres!$A$1:$I$89,3,0)*VLOOKUP('Données projet'!$B$14,Paramètres!$A$1:$I$89,5,0)</f>
        <v>79.126568181818172</v>
      </c>
      <c r="DQ21" s="13">
        <f t="shared" si="43"/>
        <v>21.923489254091429</v>
      </c>
      <c r="DR21" s="20">
        <f t="shared" si="16"/>
        <v>175.99551670087587</v>
      </c>
      <c r="DS21" s="59">
        <f t="shared" si="17"/>
        <v>387.76486989287901</v>
      </c>
      <c r="DT21" s="59">
        <f ca="1">AVERAGE(OFFSET($DS$3,0,0,'Données projet'!$E$14+1,1))-AVERAGE(OFFSET($H$3,0,0,'Données projet'!$E$14+1,1))</f>
        <v>532.34688562681413</v>
      </c>
      <c r="DU21" s="59">
        <f t="shared" si="44"/>
        <v>345.42627129678556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8.0759999999999987</v>
      </c>
      <c r="EJ21" s="12">
        <f>IF('Données projet'!$A$192&gt;35,EJ20+EI21-ER20,IF(A21&lt;'Données projet'!$A$192,$EG$205^A21,IF(A21='Données projet'!$A$192,'Données projet'!$B$192,EJ20+EI21-ER20)))</f>
        <v>99.22799999999998</v>
      </c>
      <c r="EK21" s="17">
        <f>EJ21*VLOOKUP('Données projet'!$B$15,Paramètres!$A$1:$I$89,3,0)*VLOOKUP('Données projet'!$B$15,Paramètres!$A$1:$I$89,5,0)</f>
        <v>89.781494399999971</v>
      </c>
      <c r="EL21" s="13">
        <f t="shared" si="45"/>
        <v>24.512519251773423</v>
      </c>
      <c r="EM21" s="20">
        <f t="shared" si="19"/>
        <v>199.06207377683867</v>
      </c>
      <c r="EN21" s="59">
        <f t="shared" si="20"/>
        <v>410.83142696884181</v>
      </c>
      <c r="EO21" s="59">
        <f ca="1">AVERAGE(OFFSET($EN$3,0,0,'Données projet'!$E$15+1,1))-AVERAGE(OFFSET($H$3,0,0,'Données projet'!$E$15+1,1))</f>
        <v>256.20286603823035</v>
      </c>
      <c r="EP21" s="59">
        <f t="shared" si="46"/>
        <v>364.83827155069434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4.3352272727272725</v>
      </c>
      <c r="FE21" s="12">
        <f>IF('Données projet'!$A$218&gt;35,FE20+FD21-FM20,IF(A21&lt;'Données projet'!$A$218,$FB$205^A21,IF(A21='Données projet'!$A$218,'Données projet'!$B$218,FE20+FD21-FM20)))</f>
        <v>78.034090909090892</v>
      </c>
      <c r="FF21" s="17">
        <f>FE21*VLOOKUP('Données projet'!$B$16,Paramètres!$A$1:$I$89,3,0)*VLOOKUP('Données projet'!$B$16,Paramètres!$A$1:$I$89,5,0)</f>
        <v>52.34526818181817</v>
      </c>
      <c r="FG21" s="13">
        <f t="shared" si="47"/>
        <v>15.217810133873218</v>
      </c>
      <c r="FH21" s="20">
        <f t="shared" si="22"/>
        <v>117.67236139982917</v>
      </c>
      <c r="FI21" s="59">
        <f t="shared" si="23"/>
        <v>329.44171459183229</v>
      </c>
      <c r="FJ21" s="59">
        <f ca="1">AVERAGE(OFFSET($FI$3,0,0,'Données projet'!$E$16+1,1))-AVERAGE(OFFSET($H$3,0,0,'Données projet'!$E$16+1,1))</f>
        <v>380.73695370216979</v>
      </c>
      <c r="FK21" s="59">
        <f t="shared" si="48"/>
        <v>249.34467160415713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4.3352272727272725</v>
      </c>
      <c r="FZ21" s="12">
        <f>IF('Données projet'!$A$244&gt;35,FZ20+FY21-GH20,IF(A21&lt;'Données projet'!$A$244,$FW$205^A21,IF(A21='Données projet'!$A$244,'Données projet'!$B$244,FZ20+FY21-GH20)))</f>
        <v>78.034090909090892</v>
      </c>
      <c r="GA21" s="17">
        <f>FZ21*VLOOKUP('Données projet'!$B$17,Paramètres!$A$1:$I$89,3,0)*VLOOKUP('Données projet'!$B$17,Paramètres!$A$1:$I$89,5,0)</f>
        <v>75.474572727272715</v>
      </c>
      <c r="GB21" s="13">
        <f t="shared" si="49"/>
        <v>21.026971728615443</v>
      </c>
      <c r="GC21" s="20">
        <f t="shared" si="25"/>
        <v>168.07352326067186</v>
      </c>
      <c r="GD21" s="59">
        <f t="shared" si="26"/>
        <v>379.842876452675</v>
      </c>
      <c r="GE21" s="59">
        <f ca="1">AVERAGE(OFFSET($GD$3,0,0,'Données projet'!$E$17+1,1))-AVERAGE(OFFSET($H$3,0,0,'Données projet'!$E$17+1,1))</f>
        <v>511.7458522930001</v>
      </c>
      <c r="GF21" s="59">
        <f t="shared" si="50"/>
        <v>332.37317679966122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11.6</v>
      </c>
      <c r="GU21" s="12">
        <f>IF('Données projet'!$A$270&gt;35,GU20+GT21-HC20,IF(A21&lt;'Données projet'!$A$270,$GR$205^A21,IF(A21='Données projet'!$A$270,'Données projet'!$B$270,GU20+GT21-HC20)))</f>
        <v>56.800000000000004</v>
      </c>
      <c r="GV21" s="17">
        <f>GU21*VLOOKUP('Données projet'!$B$18,Paramètres!$A$1:$I$89,3,0)*VLOOKUP('Données projet'!$B$18,Paramètres!$A$1:$I$89,5,0)</f>
        <v>49.620480000000015</v>
      </c>
      <c r="GW21" s="13">
        <f t="shared" si="51"/>
        <v>14.515703547444382</v>
      </c>
      <c r="GX21" s="20">
        <f t="shared" si="28"/>
        <v>111.70385301179901</v>
      </c>
      <c r="GY21" s="59">
        <f t="shared" si="29"/>
        <v>323.47320620380214</v>
      </c>
      <c r="GZ21" s="59">
        <f ca="1">AVERAGE(OFFSET($GY$3,0,0,'Données projet'!$E$18+1,1))-AVERAGE(OFFSET($H$3,0,0,'Données projet'!$E$18+1,1))</f>
        <v>348.77506423101278</v>
      </c>
      <c r="HA21" s="59">
        <f t="shared" si="52"/>
        <v>336.13747591329548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">
      <c r="A22" s="10">
        <f t="shared" si="31"/>
        <v>19</v>
      </c>
      <c r="B22" s="71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5">
        <f t="shared" si="1"/>
        <v>183.33333333333334</v>
      </c>
      <c r="I22" s="6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9.9228571428571435</v>
      </c>
      <c r="N22" s="13">
        <f>IF('Données projet'!$A$36&gt;35,N21+M22-V21,IF(A22&lt;'Données projet'!$A$36,$K$205^A22,IF(A22='Données projet'!$A$36,'Données projet'!$B$36,N21+M22-V21)))</f>
        <v>188.53428571428569</v>
      </c>
      <c r="O22" s="13">
        <f>N22*VLOOKUP('Données projet'!$B$9,Paramètres!$A$1:$I$89,3,0)*VLOOKUP('Données projet'!$B$9,Paramètres!$A$1:$I$89,5,0)</f>
        <v>88.234045714285699</v>
      </c>
      <c r="P22" s="13">
        <f t="shared" si="33"/>
        <v>24.138829378139974</v>
      </c>
      <c r="Q22" s="20">
        <f t="shared" si="2"/>
        <v>195.71609078597473</v>
      </c>
      <c r="R22" s="59">
        <f t="shared" si="0"/>
        <v>409.86818502899825</v>
      </c>
      <c r="S22" s="59">
        <f ca="1">AVERAGE(OFFSET($R$3,0,0,'Données projet'!$E$9+1,1))-AVERAGE(OFFSET($H$3,0,0,'Données projet'!$E$9+1,1))</f>
        <v>387.50901594883317</v>
      </c>
      <c r="T22" s="59">
        <f t="shared" si="34"/>
        <v>361.3623790401972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5.8668181818181813</v>
      </c>
      <c r="AI22" s="13">
        <f>IF('Données projet'!$A$62&gt;35,AI21+AH22-AQ21,IF(A22&lt;'Données projet'!$A$62,$AF$205^A22,IF(A22='Données projet'!$A$62,'Données projet'!$B$62,AI21+AH22-AQ21)))</f>
        <v>66.525093718950743</v>
      </c>
      <c r="AJ22" s="13">
        <f>AI22*VLOOKUP('Données projet'!$B$10,Paramètres!$A$1:$I$89,3,0)*VLOOKUP('Données projet'!$B$10,Paramètres!$A$1:$I$89,5,0)</f>
        <v>39.782006043932547</v>
      </c>
      <c r="AK22" s="13">
        <f t="shared" si="35"/>
        <v>11.940849220834615</v>
      </c>
      <c r="AL22" s="20">
        <f t="shared" si="4"/>
        <v>90.083972919469474</v>
      </c>
      <c r="AM22" s="59">
        <f t="shared" si="5"/>
        <v>304.23606716249299</v>
      </c>
      <c r="AN22" s="59">
        <f ca="1">AVERAGE(OFFSET($AM$3,0,0,'Données projet'!$E$10+1,1))-AVERAGE(OFFSET($H$3,0,0,'Données projet'!$E$10+1,1))</f>
        <v>373.47758082856359</v>
      </c>
      <c r="AO22" s="59">
        <f t="shared" si="36"/>
        <v>277.24895424120166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127.82</v>
      </c>
      <c r="BB22" s="12">
        <f>VLOOKUP(A22,'Données projet'!$A$87:$I$107,9,0)</f>
        <v>6.7273684210526312</v>
      </c>
      <c r="BC22" s="12">
        <f t="array" ref="BC22">INDEX(BB:BB,MIN(IF(ISNUMBER(BB22:BB218),ROW(BB22:BB218),"")))</f>
        <v>6.7273684210526312</v>
      </c>
      <c r="BD22" s="12">
        <f>IF('Données projet'!$A$88&gt;35,BD21+BC22-BL21,IF(A22&lt;'Données projet'!$A$88,$BA$205^A22,IF(A22='Données projet'!$A$88,'Données projet'!$B$88,BD21+BC22-BL21)))</f>
        <v>127.82</v>
      </c>
      <c r="BE22" s="13">
        <f>BD22*VLOOKUP('Données projet'!$B$11,Paramètres!$A$1:$I$89,3,0)*VLOOKUP('Données projet'!$B$11,Paramètres!$A$1:$I$89,5,0)</f>
        <v>76.436359999999993</v>
      </c>
      <c r="BF22" s="13">
        <f t="shared" si="37"/>
        <v>21.263558306949722</v>
      </c>
      <c r="BG22" s="20">
        <f t="shared" si="7"/>
        <v>170.16069105127073</v>
      </c>
      <c r="BH22" s="59">
        <f t="shared" si="8"/>
        <v>384.31278529429426</v>
      </c>
      <c r="BI22" s="59">
        <f ca="1">AVERAGE(OFFSET($BH$3,0,0,'Données projet'!$E$11+1,1))-AVERAGE(OFFSET($H$3,0,0,'Données projet'!$E$11+1,1))</f>
        <v>460.88622650237176</v>
      </c>
      <c r="BJ22" s="59">
        <f t="shared" si="38"/>
        <v>396.05161661639647</v>
      </c>
      <c r="BK22" s="15">
        <f>IF(ISNA(VLOOKUP(A22,'Données projet'!$A$87:$I$107,3,0)),0,VLOOKUP(A22,'Données projet'!$A$87:$I$107,3,0))</f>
        <v>1</v>
      </c>
      <c r="BL22" s="15">
        <f>IF(ISNA(VLOOKUP(A22,'Données projet'!$A$87:$I$107,4,0)),0,VLOOKUP(A22,'Données projet'!$A$87:$I$107,4,0))</f>
        <v>46.3</v>
      </c>
      <c r="BM22" s="16">
        <f>IF(ISNA(VLOOKUP(A22,'Données projet'!$A$87:$I$107,5,0)),0%,VLOOKUP(A22,'Données projet'!$A$87:$I$107,5,0)*VLOOKUP('Données projet'!$B$11,Paramètres!$A$1:$I$89,7,0))</f>
        <v>9.0000000000000011E-2</v>
      </c>
      <c r="BN22" s="16">
        <f>IF(ISNA(VLOOKUP(A22,'Données projet'!$A$87:$I$107,6,0)),0%,VLOOKUP(A22,'Données projet'!$A$87:$I$107,6,0)*VLOOKUP('Données projet'!$B$11,Paramètres!$A$1:$I$89,7,0))</f>
        <v>0.20250000000000001</v>
      </c>
      <c r="BO22" s="16">
        <f>IF(ISNA(VLOOKUP(A22,'Données projet'!$A$87:$I$107,7,0)),0%,VLOOKUP(A22,'Données projet'!$A$87:$I$107,7,0))</f>
        <v>0.35</v>
      </c>
      <c r="BP22" s="21">
        <f>EXP(-LN(2)/35)*BP21+(1-EXP(-LN(2)/35))/(LN(2)/35)*BL22*BM22*VLOOKUP('Données projet'!$B$11,Paramètres!$A$1:$I$89,3,0)*0.475*44/12</f>
        <v>3.3056208633183055</v>
      </c>
      <c r="BQ22" s="21">
        <f>EXP(-LN(2)/25)*BQ21+(1-EXP(-LN(2)/25))/(LN(2)/25)*Calculateur!BL22*Calculateur!BN22*VLOOKUP('Données projet'!$B$11,Paramètres!$A$1:$I$89,3,0)*0.475*44/12</f>
        <v>7.4083620924880345</v>
      </c>
      <c r="BR22" s="21">
        <f>EXP(-LN(2)/2)*BR21+(1-EXP(-LN(2)/2))/(LN(2)/2)*BL22*BO22*VLOOKUP('Données projet'!$B$11,Paramètres!$A$1:$I$89,3,0)*0.475*44/12</f>
        <v>10.971998980086994</v>
      </c>
      <c r="BS22" s="22">
        <f t="shared" si="9"/>
        <v>21.685981935893334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9.2928571428571427</v>
      </c>
      <c r="BY22" s="12">
        <f>IF('Données projet'!$A$114&gt;35,BY21+BX22-CG21,IF(A22&lt;'Données projet'!$A$114,$BV$205^A22,IF(A22='Données projet'!$A$114,'Données projet'!$B$114,BY21+BX22-CG21)))</f>
        <v>118.09682366805939</v>
      </c>
      <c r="BZ22" s="13">
        <f>BY22*VLOOKUP('Données projet'!$B$12,Paramètres!$A$1:$I$89,3,0)*VLOOKUP('Données projet'!$B$12,Paramètres!$A$1:$I$89,5,0)</f>
        <v>53.73405476896702</v>
      </c>
      <c r="CA22" s="13">
        <f t="shared" si="39"/>
        <v>15.574016249294024</v>
      </c>
      <c r="CB22" s="20">
        <f t="shared" si="10"/>
        <v>120.71155702347131</v>
      </c>
      <c r="CC22" s="59">
        <f t="shared" si="11"/>
        <v>334.86365126649486</v>
      </c>
      <c r="CD22" s="59">
        <f ca="1">AVERAGE(OFFSET($CC$3,0,0,'Données projet'!$E$12+1,1))-AVERAGE(OFFSET($H$3,0,0,'Données projet'!$E$12+1,1))</f>
        <v>341.60063595566282</v>
      </c>
      <c r="CE22" s="59">
        <f t="shared" si="40"/>
        <v>317.05609766344219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4.2309999999999999</v>
      </c>
      <c r="CT22" s="12">
        <f>IF('Données projet'!$A$140&gt;35,CT21+CS22-DB21,IF(A22&lt;'Données projet'!$A$140,$CQ$205^A22,IF(A22='Données projet'!$A$140,'Données projet'!$B$140,CT21+CS22-DB21)))</f>
        <v>67.779657498251353</v>
      </c>
      <c r="CU22" s="17">
        <f>CT22*VLOOKUP('Données projet'!$B$13,Paramètres!$A$1:$I$89,3,0)*VLOOKUP('Données projet'!$B$13,Paramètres!$A$1:$I$89,5,0)</f>
        <v>70.843298017172316</v>
      </c>
      <c r="CV22" s="13">
        <f t="shared" si="41"/>
        <v>19.882732011104817</v>
      </c>
      <c r="CW22" s="20">
        <f t="shared" si="13"/>
        <v>158.01450229924936</v>
      </c>
      <c r="CX22" s="59">
        <f t="shared" si="14"/>
        <v>372.16659654227288</v>
      </c>
      <c r="CY22" s="59">
        <f ca="1">AVERAGE(OFFSET($CX$3,0,0,'Données projet'!$E$13+1,1))-AVERAGE(OFFSET($H$3,0,0,'Données projet'!$E$13+1,1))</f>
        <v>287.73449456153207</v>
      </c>
      <c r="CZ22" s="59">
        <f t="shared" si="42"/>
        <v>296.74833899433281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4.3352272727272725</v>
      </c>
      <c r="DO22" s="12">
        <f>IF('Données projet'!$A$166&gt;35,DO21+DN22-DW21,IF(A22&lt;'Données projet'!$A$166,$DL$205^A22,IF(A22='Données projet'!$A$166,'Données projet'!$B$166,DO21+DN22-DW21)))</f>
        <v>82.369318181818159</v>
      </c>
      <c r="DP22" s="17">
        <f>DO22*VLOOKUP('Données projet'!$B$14,Paramètres!$A$1:$I$89,3,0)*VLOOKUP('Données projet'!$B$14,Paramètres!$A$1:$I$89,5,0)</f>
        <v>83.522488636363619</v>
      </c>
      <c r="DQ22" s="13">
        <f t="shared" si="43"/>
        <v>22.99627916543033</v>
      </c>
      <c r="DR22" s="20">
        <f t="shared" si="16"/>
        <v>185.52018725479113</v>
      </c>
      <c r="DS22" s="59">
        <f t="shared" si="17"/>
        <v>399.67228149781465</v>
      </c>
      <c r="DT22" s="59">
        <f ca="1">AVERAGE(OFFSET($DS$3,0,0,'Données projet'!$E$14+1,1))-AVERAGE(OFFSET($H$3,0,0,'Données projet'!$E$14+1,1))</f>
        <v>532.34688562681413</v>
      </c>
      <c r="DU22" s="59">
        <f t="shared" si="44"/>
        <v>345.42627129678556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8.0759999999999987</v>
      </c>
      <c r="EJ22" s="12">
        <f>IF('Données projet'!$A$192&gt;35,EJ21+EI22-ER21,IF(A22&lt;'Données projet'!$A$192,$EG$205^A22,IF(A22='Données projet'!$A$192,'Données projet'!$B$192,EJ21+EI22-ER21)))</f>
        <v>107.30399999999997</v>
      </c>
      <c r="EK22" s="17">
        <f>EJ22*VLOOKUP('Données projet'!$B$15,Paramètres!$A$1:$I$89,3,0)*VLOOKUP('Données projet'!$B$15,Paramètres!$A$1:$I$89,5,0)</f>
        <v>97.088659199999967</v>
      </c>
      <c r="EL22" s="13">
        <f t="shared" si="45"/>
        <v>26.267222603340077</v>
      </c>
      <c r="EM22" s="20">
        <f t="shared" si="19"/>
        <v>214.84482747415055</v>
      </c>
      <c r="EN22" s="59">
        <f t="shared" si="20"/>
        <v>428.99692171717408</v>
      </c>
      <c r="EO22" s="59">
        <f ca="1">AVERAGE(OFFSET($EN$3,0,0,'Données projet'!$E$15+1,1))-AVERAGE(OFFSET($H$3,0,0,'Données projet'!$E$15+1,1))</f>
        <v>256.20286603823035</v>
      </c>
      <c r="EP22" s="59">
        <f t="shared" si="46"/>
        <v>364.83827155069434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4.3352272727272725</v>
      </c>
      <c r="FE22" s="12">
        <f>IF('Données projet'!$A$218&gt;35,FE21+FD22-FM21,IF(A22&lt;'Données projet'!$A$218,$FB$205^A22,IF(A22='Données projet'!$A$218,'Données projet'!$B$218,FE21+FD22-FM21)))</f>
        <v>82.369318181818159</v>
      </c>
      <c r="FF22" s="17">
        <f>FE22*VLOOKUP('Données projet'!$B$16,Paramètres!$A$1:$I$89,3,0)*VLOOKUP('Données projet'!$B$16,Paramètres!$A$1:$I$89,5,0)</f>
        <v>55.253338636363623</v>
      </c>
      <c r="FG22" s="13">
        <f t="shared" si="47"/>
        <v>15.962468659488314</v>
      </c>
      <c r="FH22" s="20">
        <f t="shared" si="22"/>
        <v>124.03419770694211</v>
      </c>
      <c r="FI22" s="59">
        <f t="shared" si="23"/>
        <v>338.18629194996561</v>
      </c>
      <c r="FJ22" s="59">
        <f ca="1">AVERAGE(OFFSET($FI$3,0,0,'Données projet'!$E$16+1,1))-AVERAGE(OFFSET($H$3,0,0,'Données projet'!$E$16+1,1))</f>
        <v>380.73695370216979</v>
      </c>
      <c r="FK22" s="59">
        <f t="shared" si="48"/>
        <v>249.34467160415713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4.3352272727272725</v>
      </c>
      <c r="FZ22" s="12">
        <f>IF('Données projet'!$A$244&gt;35,FZ21+FY22-GH21,IF(A22&lt;'Données projet'!$A$244,$FW$205^A22,IF(A22='Données projet'!$A$244,'Données projet'!$B$244,FZ21+FY22-GH21)))</f>
        <v>82.369318181818159</v>
      </c>
      <c r="GA22" s="17">
        <f>FZ22*VLOOKUP('Données projet'!$B$17,Paramètres!$A$1:$I$89,3,0)*VLOOKUP('Données projet'!$B$17,Paramètres!$A$1:$I$89,5,0)</f>
        <v>79.667604545454523</v>
      </c>
      <c r="GB22" s="13">
        <f t="shared" si="49"/>
        <v>22.055892028437572</v>
      </c>
      <c r="GC22" s="20">
        <f t="shared" si="25"/>
        <v>177.16842319952875</v>
      </c>
      <c r="GD22" s="59">
        <f t="shared" si="26"/>
        <v>391.32051744255227</v>
      </c>
      <c r="GE22" s="59">
        <f ca="1">AVERAGE(OFFSET($GD$3,0,0,'Données projet'!$E$17+1,1))-AVERAGE(OFFSET($H$3,0,0,'Données projet'!$E$17+1,1))</f>
        <v>511.7458522930001</v>
      </c>
      <c r="GF22" s="59">
        <f t="shared" si="50"/>
        <v>332.37317679966122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11.6</v>
      </c>
      <c r="GU22" s="12">
        <f>IF('Données projet'!$A$270&gt;35,GU21+GT22-HC21,IF(A22&lt;'Données projet'!$A$270,$GR$205^A22,IF(A22='Données projet'!$A$270,'Données projet'!$B$270,GU21+GT22-HC21)))</f>
        <v>68.400000000000006</v>
      </c>
      <c r="GV22" s="17">
        <f>GU22*VLOOKUP('Données projet'!$B$18,Paramètres!$A$1:$I$89,3,0)*VLOOKUP('Données projet'!$B$18,Paramètres!$A$1:$I$89,5,0)</f>
        <v>59.754240000000017</v>
      </c>
      <c r="GW22" s="13">
        <f t="shared" si="51"/>
        <v>17.106118338764027</v>
      </c>
      <c r="GX22" s="20">
        <f t="shared" si="28"/>
        <v>133.8651241066807</v>
      </c>
      <c r="GY22" s="59">
        <f t="shared" si="29"/>
        <v>348.01721834970419</v>
      </c>
      <c r="GZ22" s="59">
        <f ca="1">AVERAGE(OFFSET($GY$3,0,0,'Données projet'!$E$18+1,1))-AVERAGE(OFFSET($H$3,0,0,'Données projet'!$E$18+1,1))</f>
        <v>348.77506423101278</v>
      </c>
      <c r="HA22" s="59">
        <f t="shared" si="52"/>
        <v>336.13747591329548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">
      <c r="A23" s="10">
        <f t="shared" si="31"/>
        <v>20</v>
      </c>
      <c r="B23" s="71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5">
        <f t="shared" si="1"/>
        <v>183.33333333333334</v>
      </c>
      <c r="I23" s="6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9.9228571428571435</v>
      </c>
      <c r="N23" s="13">
        <f>IF('Données projet'!$A$36&gt;35,N22+M23-V22,IF(A23&lt;'Données projet'!$A$36,$K$205^A23,IF(A23='Données projet'!$A$36,'Données projet'!$B$36,N22+M23-V22)))</f>
        <v>198.45714285714283</v>
      </c>
      <c r="O23" s="13">
        <f>N23*VLOOKUP('Données projet'!$B$9,Paramètres!$A$1:$I$89,3,0)*VLOOKUP('Données projet'!$B$9,Paramètres!$A$1:$I$89,5,0)</f>
        <v>92.877942857142855</v>
      </c>
      <c r="P23" s="13">
        <f t="shared" si="33"/>
        <v>25.258038876022667</v>
      </c>
      <c r="Q23" s="20">
        <f t="shared" si="2"/>
        <v>205.75350151859661</v>
      </c>
      <c r="R23" s="59">
        <f t="shared" si="0"/>
        <v>422.26820440549233</v>
      </c>
      <c r="S23" s="59">
        <f ca="1">AVERAGE(OFFSET($R$3,0,0,'Données projet'!$E$9+1,1))-AVERAGE(OFFSET($H$3,0,0,'Données projet'!$E$9+1,1))</f>
        <v>387.50901594883317</v>
      </c>
      <c r="T23" s="59">
        <f t="shared" si="34"/>
        <v>361.3623790401972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5.8668181818181813</v>
      </c>
      <c r="AI23" s="13">
        <f>IF('Données projet'!$A$62&gt;35,AI22+AH23-AQ22,IF(A23&lt;'Données projet'!$A$62,$AF$205^A23,IF(A23='Données projet'!$A$62,'Données projet'!$B$62,AI22+AH23-AQ22)))</f>
        <v>82.972103429550899</v>
      </c>
      <c r="AJ23" s="13">
        <f>AI23*VLOOKUP('Données projet'!$B$10,Paramètres!$A$1:$I$89,3,0)*VLOOKUP('Données projet'!$B$10,Paramètres!$A$1:$I$89,5,0)</f>
        <v>49.617317850871444</v>
      </c>
      <c r="AK23" s="13">
        <f t="shared" si="35"/>
        <v>14.514886181018609</v>
      </c>
      <c r="AL23" s="20">
        <f t="shared" si="4"/>
        <v>111.69692202220851</v>
      </c>
      <c r="AM23" s="59">
        <f t="shared" si="5"/>
        <v>328.21162490910422</v>
      </c>
      <c r="AN23" s="59">
        <f ca="1">AVERAGE(OFFSET($AM$3,0,0,'Données projet'!$E$10+1,1))-AVERAGE(OFFSET($H$3,0,0,'Données projet'!$E$10+1,1))</f>
        <v>373.47758082856359</v>
      </c>
      <c r="AO23" s="59">
        <f t="shared" si="36"/>
        <v>277.24895424120166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19.68</v>
      </c>
      <c r="BD23" s="12">
        <f>IF('Données projet'!$A$88&gt;35,BD22+BC23-BL22,IF(A23&lt;'Données projet'!$A$88,$BA$205^A23,IF(A23='Données projet'!$A$88,'Données projet'!$B$88,BD22+BC23-BL22)))</f>
        <v>101.2</v>
      </c>
      <c r="BE23" s="13">
        <f>BD23*VLOOKUP('Données projet'!$B$11,Paramètres!$A$1:$I$89,3,0)*VLOOKUP('Données projet'!$B$11,Paramètres!$A$1:$I$89,5,0)</f>
        <v>60.517600000000009</v>
      </c>
      <c r="BF23" s="13">
        <f t="shared" si="37"/>
        <v>17.299069038249009</v>
      </c>
      <c r="BG23" s="20">
        <f t="shared" si="7"/>
        <v>135.53069857495038</v>
      </c>
      <c r="BH23" s="59">
        <f t="shared" si="8"/>
        <v>352.0454014618461</v>
      </c>
      <c r="BI23" s="59">
        <f ca="1">AVERAGE(OFFSET($BH$3,0,0,'Données projet'!$E$11+1,1))-AVERAGE(OFFSET($H$3,0,0,'Données projet'!$E$11+1,1))</f>
        <v>460.88622650237176</v>
      </c>
      <c r="BJ23" s="59">
        <f t="shared" si="38"/>
        <v>396.05161661639647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3.2407996544182742</v>
      </c>
      <c r="BQ23" s="21">
        <f>EXP(-LN(2)/25)*BQ22+(1-EXP(-LN(2)/25))/(LN(2)/25)*Calculateur!BL23*Calculateur!BN23*VLOOKUP('Données projet'!$B$11,Paramètres!$A$1:$I$89,3,0)*0.475*44/12</f>
        <v>7.2057800414801187</v>
      </c>
      <c r="BR23" s="21">
        <f>EXP(-LN(2)/2)*BR22+(1-EXP(-LN(2)/2))/(LN(2)/2)*BL23*BO23*VLOOKUP('Données projet'!$B$11,Paramètres!$A$1:$I$89,3,0)*0.475*44/12</f>
        <v>7.7583748819913971</v>
      </c>
      <c r="BS23" s="22">
        <f t="shared" si="9"/>
        <v>18.20495457788979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9.2928571428571427</v>
      </c>
      <c r="BY23" s="12">
        <f>IF('Données projet'!$A$114&gt;35,BY22+BX23-CG22,IF(A23&lt;'Données projet'!$A$114,$BV$205^A23,IF(A23='Données projet'!$A$114,'Données projet'!$B$114,BY22+BX23-CG22)))</f>
        <v>151.81105077965097</v>
      </c>
      <c r="BZ23" s="13">
        <f>BY23*VLOOKUP('Données projet'!$B$12,Paramètres!$A$1:$I$89,3,0)*VLOOKUP('Données projet'!$B$12,Paramètres!$A$1:$I$89,5,0)</f>
        <v>69.074028104741188</v>
      </c>
      <c r="CA23" s="13">
        <f t="shared" si="39"/>
        <v>19.443328201894687</v>
      </c>
      <c r="CB23" s="20">
        <f t="shared" si="10"/>
        <v>154.16772890072414</v>
      </c>
      <c r="CC23" s="59">
        <f t="shared" si="11"/>
        <v>370.68243178761986</v>
      </c>
      <c r="CD23" s="59">
        <f ca="1">AVERAGE(OFFSET($CC$3,0,0,'Données projet'!$E$12+1,1))-AVERAGE(OFFSET($H$3,0,0,'Données projet'!$E$12+1,1))</f>
        <v>341.60063595566282</v>
      </c>
      <c r="CE23" s="59">
        <f t="shared" si="40"/>
        <v>317.05609766344219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84.62</v>
      </c>
      <c r="CR23" s="12">
        <f>VLOOKUP(A23,'Données projet'!$A$139:$I$159,9,0)</f>
        <v>4.2309999999999999</v>
      </c>
      <c r="CS23" s="12">
        <f t="array" ref="CS23">INDEX(CR:CR,MIN(IF(ISNUMBER(CR23:CR219),ROW(CR23:CR219),"")))</f>
        <v>4.2309999999999999</v>
      </c>
      <c r="CT23" s="12">
        <f>IF('Données projet'!$A$140&gt;35,CT22+CS23-DB22,IF(A23&lt;'Données projet'!$A$140,$CQ$205^A23,IF(A23='Données projet'!$A$140,'Données projet'!$B$140,CT22+CS23-DB22)))</f>
        <v>84.62</v>
      </c>
      <c r="CU23" s="17">
        <f>CT23*VLOOKUP('Données projet'!$B$13,Paramètres!$A$1:$I$89,3,0)*VLOOKUP('Données projet'!$B$13,Paramètres!$A$1:$I$89,5,0)</f>
        <v>88.444824000000011</v>
      </c>
      <c r="CV23" s="13">
        <f t="shared" si="41"/>
        <v>24.189774341720216</v>
      </c>
      <c r="CW23" s="20">
        <f t="shared" si="13"/>
        <v>196.17192544516271</v>
      </c>
      <c r="CX23" s="59">
        <f t="shared" si="14"/>
        <v>412.68662833205843</v>
      </c>
      <c r="CY23" s="59">
        <f ca="1">AVERAGE(OFFSET($CX$3,0,0,'Données projet'!$E$13+1,1))-AVERAGE(OFFSET($H$3,0,0,'Données projet'!$E$13+1,1))</f>
        <v>287.73449456153207</v>
      </c>
      <c r="CZ23" s="59">
        <f t="shared" si="42"/>
        <v>296.74833899433281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32.049999999999997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4.3352272727272725</v>
      </c>
      <c r="DO23" s="12">
        <f>IF('Données projet'!$A$166&gt;35,DO22+DN23-DW22,IF(A23&lt;'Données projet'!$A$166,$DL$205^A23,IF(A23='Données projet'!$A$166,'Données projet'!$B$166,DO22+DN23-DW22)))</f>
        <v>86.704545454545425</v>
      </c>
      <c r="DP23" s="17">
        <f>DO23*VLOOKUP('Données projet'!$B$14,Paramètres!$A$1:$I$89,3,0)*VLOOKUP('Données projet'!$B$14,Paramètres!$A$1:$I$89,5,0)</f>
        <v>87.918409090909066</v>
      </c>
      <c r="DQ23" s="13">
        <f t="shared" si="43"/>
        <v>24.062513722820214</v>
      </c>
      <c r="DR23" s="20">
        <f t="shared" si="16"/>
        <v>195.03344056724515</v>
      </c>
      <c r="DS23" s="59">
        <f t="shared" si="17"/>
        <v>411.54814345414087</v>
      </c>
      <c r="DT23" s="59">
        <f ca="1">AVERAGE(OFFSET($DS$3,0,0,'Données projet'!$E$14+1,1))-AVERAGE(OFFSET($H$3,0,0,'Données projet'!$E$14+1,1))</f>
        <v>532.34688562681413</v>
      </c>
      <c r="DU23" s="59">
        <f t="shared" si="44"/>
        <v>345.42627129678556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115.38</v>
      </c>
      <c r="EH23" s="12">
        <f>VLOOKUP(A23,'Données projet'!$A$191:$I$211,9,0)</f>
        <v>8.0759999999999987</v>
      </c>
      <c r="EI23" s="12">
        <f t="array" ref="EI23">INDEX(EH:EH,MIN(IF(ISNUMBER(EH23:EH219),ROW(EH23:EH219),"")))</f>
        <v>8.0759999999999987</v>
      </c>
      <c r="EJ23" s="12">
        <f>IF('Données projet'!$A$192&gt;35,EJ22+EI23-ER22,IF(A23&lt;'Données projet'!$A$192,$EG$205^A23,IF(A23='Données projet'!$A$192,'Données projet'!$B$192,EJ22+EI23-ER22)))</f>
        <v>115.37999999999997</v>
      </c>
      <c r="EK23" s="17">
        <f>EJ23*VLOOKUP('Données projet'!$B$15,Paramètres!$A$1:$I$89,3,0)*VLOOKUP('Données projet'!$B$15,Paramètres!$A$1:$I$89,5,0)</f>
        <v>104.39582399999996</v>
      </c>
      <c r="EL23" s="13">
        <f t="shared" si="45"/>
        <v>28.006605596692722</v>
      </c>
      <c r="EM23" s="20">
        <f t="shared" si="19"/>
        <v>230.60089821423978</v>
      </c>
      <c r="EN23" s="59">
        <f t="shared" si="20"/>
        <v>447.1156011011355</v>
      </c>
      <c r="EO23" s="59">
        <f ca="1">AVERAGE(OFFSET($EN$3,0,0,'Données projet'!$E$15+1,1))-AVERAGE(OFFSET($H$3,0,0,'Données projet'!$E$15+1,1))</f>
        <v>256.20286603823035</v>
      </c>
      <c r="EP23" s="59">
        <f t="shared" si="46"/>
        <v>364.83827155069434</v>
      </c>
      <c r="EQ23" s="15">
        <f>IF(ISNA(VLOOKUP(A23,'Données projet'!$A$191:$I$211,3,0)),0,VLOOKUP(A23,'Données projet'!$A$191:$I$211,3,0))</f>
        <v>4</v>
      </c>
      <c r="ER23" s="15">
        <f>IF(ISNA(VLOOKUP(A23,'Données projet'!$A$191:$I$211,4,0)),0,VLOOKUP(A23,'Données projet'!$A$191:$I$211,4,0))</f>
        <v>11.54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4.3352272727272725</v>
      </c>
      <c r="FE23" s="12">
        <f>IF('Données projet'!$A$218&gt;35,FE22+FD23-FM22,IF(A23&lt;'Données projet'!$A$218,$FB$205^A23,IF(A23='Données projet'!$A$218,'Données projet'!$B$218,FE22+FD23-FM22)))</f>
        <v>86.704545454545425</v>
      </c>
      <c r="FF23" s="17">
        <f>FE23*VLOOKUP('Données projet'!$B$16,Paramètres!$A$1:$I$89,3,0)*VLOOKUP('Données projet'!$B$16,Paramètres!$A$1:$I$89,5,0)</f>
        <v>58.161409090909068</v>
      </c>
      <c r="FG23" s="13">
        <f t="shared" si="47"/>
        <v>16.702576899763319</v>
      </c>
      <c r="FH23" s="20">
        <f t="shared" si="22"/>
        <v>130.38810893375441</v>
      </c>
      <c r="FI23" s="59">
        <f t="shared" si="23"/>
        <v>346.90281182065013</v>
      </c>
      <c r="FJ23" s="59">
        <f ca="1">AVERAGE(OFFSET($FI$3,0,0,'Données projet'!$E$16+1,1))-AVERAGE(OFFSET($H$3,0,0,'Données projet'!$E$16+1,1))</f>
        <v>380.73695370216979</v>
      </c>
      <c r="FK23" s="59">
        <f t="shared" si="48"/>
        <v>249.34467160415713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4.3352272727272725</v>
      </c>
      <c r="FZ23" s="12">
        <f>IF('Données projet'!$A$244&gt;35,FZ22+FY23-GH22,IF(A23&lt;'Données projet'!$A$244,$FW$205^A23,IF(A23='Données projet'!$A$244,'Données projet'!$B$244,FZ22+FY23-GH22)))</f>
        <v>86.704545454545425</v>
      </c>
      <c r="GA23" s="17">
        <f>FZ23*VLOOKUP('Données projet'!$B$17,Paramètres!$A$1:$I$89,3,0)*VLOOKUP('Données projet'!$B$17,Paramètres!$A$1:$I$89,5,0)</f>
        <v>83.860636363636331</v>
      </c>
      <c r="GB23" s="13">
        <f t="shared" si="49"/>
        <v>23.078525042483289</v>
      </c>
      <c r="GC23" s="20">
        <f t="shared" si="25"/>
        <v>186.25237278232498</v>
      </c>
      <c r="GD23" s="59">
        <f t="shared" si="26"/>
        <v>402.76707566922073</v>
      </c>
      <c r="GE23" s="59">
        <f ca="1">AVERAGE(OFFSET($GD$3,0,0,'Données projet'!$E$17+1,1))-AVERAGE(OFFSET($H$3,0,0,'Données projet'!$E$17+1,1))</f>
        <v>511.7458522930001</v>
      </c>
      <c r="GF23" s="59">
        <f t="shared" si="50"/>
        <v>332.37317679966122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80</v>
      </c>
      <c r="GS23" s="12">
        <f>VLOOKUP(A23,'Données projet'!$A$269:$I$289,9,0)</f>
        <v>11.6</v>
      </c>
      <c r="GT23" s="12">
        <f t="array" ref="GT23">INDEX(GS:GS,MIN(IF(ISNUMBER(GS23:GS219),ROW(GS23:GS219),"")))</f>
        <v>11.6</v>
      </c>
      <c r="GU23" s="12">
        <f>IF('Données projet'!$A$270&gt;35,GU22+GT23-HC22,IF(A23&lt;'Données projet'!$A$270,$GR$205^A23,IF(A23='Données projet'!$A$270,'Données projet'!$B$270,GU22+GT23-HC22)))</f>
        <v>80</v>
      </c>
      <c r="GV23" s="17">
        <f>GU23*VLOOKUP('Données projet'!$B$18,Paramètres!$A$1:$I$89,3,0)*VLOOKUP('Données projet'!$B$18,Paramètres!$A$1:$I$89,5,0)</f>
        <v>69.888000000000005</v>
      </c>
      <c r="GW23" s="13">
        <f t="shared" si="51"/>
        <v>19.645641432461961</v>
      </c>
      <c r="GX23" s="20">
        <f t="shared" si="28"/>
        <v>155.93775882820458</v>
      </c>
      <c r="GY23" s="59">
        <f t="shared" si="29"/>
        <v>372.4524617151003</v>
      </c>
      <c r="GZ23" s="59">
        <f ca="1">AVERAGE(OFFSET($GY$3,0,0,'Données projet'!$E$18+1,1))-AVERAGE(OFFSET($H$3,0,0,'Données projet'!$E$18+1,1))</f>
        <v>348.77506423101278</v>
      </c>
      <c r="HA23" s="59">
        <f t="shared" si="52"/>
        <v>336.13747591329548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28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">
      <c r="A24" s="10">
        <f t="shared" si="31"/>
        <v>21</v>
      </c>
      <c r="B24" s="71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5">
        <f t="shared" si="1"/>
        <v>183.33333333333334</v>
      </c>
      <c r="I24" s="6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9.9228571428571435</v>
      </c>
      <c r="N24" s="13">
        <f>IF('Données projet'!$A$36&gt;35,N23+M24-V23,IF(A24&lt;'Données projet'!$A$36,$K$205^A24,IF(A24='Données projet'!$A$36,'Données projet'!$B$36,N23+M24-V23)))</f>
        <v>208.37999999999997</v>
      </c>
      <c r="O24" s="13">
        <f>N24*VLOOKUP('Données projet'!$B$9,Paramètres!$A$1:$I$89,3,0)*VLOOKUP('Données projet'!$B$9,Paramètres!$A$1:$I$89,5,0)</f>
        <v>97.521839999999983</v>
      </c>
      <c r="P24" s="13">
        <f t="shared" si="33"/>
        <v>26.370750634698393</v>
      </c>
      <c r="Q24" s="20">
        <f t="shared" si="2"/>
        <v>215.779595355433</v>
      </c>
      <c r="R24" s="59">
        <f t="shared" si="0"/>
        <v>434.63712373130738</v>
      </c>
      <c r="S24" s="59">
        <f ca="1">AVERAGE(OFFSET($R$3,0,0,'Données projet'!$E$9+1,1))-AVERAGE(OFFSET($H$3,0,0,'Données projet'!$E$9+1,1))</f>
        <v>387.50901594883317</v>
      </c>
      <c r="T24" s="59">
        <f t="shared" si="34"/>
        <v>361.3623790401972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5.8668181818181813</v>
      </c>
      <c r="AI24" s="13">
        <f>IF('Données projet'!$A$62&gt;35,AI23+AH24-AQ23,IF(A24&lt;'Données projet'!$A$62,$AF$205^A24,IF(A24='Données projet'!$A$62,'Données projet'!$B$62,AI23+AH24-AQ23)))</f>
        <v>103.48531001863087</v>
      </c>
      <c r="AJ24" s="13">
        <f>AI24*VLOOKUP('Données projet'!$B$10,Paramètres!$A$1:$I$89,3,0)*VLOOKUP('Données projet'!$B$10,Paramètres!$A$1:$I$89,5,0)</f>
        <v>61.884215391141261</v>
      </c>
      <c r="AK24" s="13">
        <f t="shared" si="35"/>
        <v>17.643797099482939</v>
      </c>
      <c r="AL24" s="20">
        <f t="shared" si="4"/>
        <v>138.51128842117049</v>
      </c>
      <c r="AM24" s="59">
        <f t="shared" si="5"/>
        <v>357.36881679704487</v>
      </c>
      <c r="AN24" s="59">
        <f ca="1">AVERAGE(OFFSET($AM$3,0,0,'Données projet'!$E$10+1,1))-AVERAGE(OFFSET($H$3,0,0,'Données projet'!$E$10+1,1))</f>
        <v>373.47758082856359</v>
      </c>
      <c r="AO24" s="59">
        <f t="shared" si="36"/>
        <v>277.24895424120166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19.68</v>
      </c>
      <c r="BD24" s="12">
        <f>IF('Données projet'!$A$88&gt;35,BD23+BC24-BL23,IF(A24&lt;'Données projet'!$A$88,$BA$205^A24,IF(A24='Données projet'!$A$88,'Données projet'!$B$88,BD23+BC24-BL23)))</f>
        <v>120.88</v>
      </c>
      <c r="BE24" s="13">
        <f>BD24*VLOOKUP('Données projet'!$B$11,Paramètres!$A$1:$I$89,3,0)*VLOOKUP('Données projet'!$B$11,Paramètres!$A$1:$I$89,5,0)</f>
        <v>72.286239999999992</v>
      </c>
      <c r="BF24" s="13">
        <f t="shared" si="37"/>
        <v>20.240145222851208</v>
      </c>
      <c r="BG24" s="20">
        <f t="shared" si="7"/>
        <v>161.15012092979916</v>
      </c>
      <c r="BH24" s="59">
        <f t="shared" si="8"/>
        <v>380.00764930567357</v>
      </c>
      <c r="BI24" s="59">
        <f ca="1">AVERAGE(OFFSET($BH$3,0,0,'Données projet'!$E$11+1,1))-AVERAGE(OFFSET($H$3,0,0,'Données projet'!$E$11+1,1))</f>
        <v>460.88622650237176</v>
      </c>
      <c r="BJ24" s="59">
        <f t="shared" si="38"/>
        <v>396.05161661639647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3.1772495498877387</v>
      </c>
      <c r="BQ24" s="21">
        <f>EXP(-LN(2)/25)*BQ23+(1-EXP(-LN(2)/25))/(LN(2)/25)*Calculateur!BL24*Calculateur!BN24*VLOOKUP('Données projet'!$B$11,Paramètres!$A$1:$I$89,3,0)*0.475*44/12</f>
        <v>7.0087376073103416</v>
      </c>
      <c r="BR24" s="21">
        <f>EXP(-LN(2)/2)*BR23+(1-EXP(-LN(2)/2))/(LN(2)/2)*BL24*BO24*VLOOKUP('Données projet'!$B$11,Paramètres!$A$1:$I$89,3,0)*0.475*44/12</f>
        <v>5.4859994900434979</v>
      </c>
      <c r="BS24" s="22">
        <f t="shared" si="9"/>
        <v>15.671986647241578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>
        <f>VLOOKUP(A24,'Données projet'!$A$113:$I$133,2,0)</f>
        <v>195.15</v>
      </c>
      <c r="BW24" s="12">
        <f>VLOOKUP(A24,'Données projet'!$A$113:$I$133,9,0)</f>
        <v>9.2928571428571427</v>
      </c>
      <c r="BX24" s="12">
        <f t="array" ref="BX24">INDEX(BW:BW,MIN(IF(ISNUMBER(BW24:BW220),ROW(BW24:BW220),"")))</f>
        <v>9.2928571428571427</v>
      </c>
      <c r="BY24" s="12">
        <f>IF('Données projet'!$A$114&gt;35,BY23+BX24-CG23,IF(A24&lt;'Données projet'!$A$114,$BV$205^A24,IF(A24='Données projet'!$A$114,'Données projet'!$B$114,BY23+BX24-CG23)))</f>
        <v>195.15</v>
      </c>
      <c r="BZ24" s="13">
        <f>BY24*VLOOKUP('Données projet'!$B$12,Paramètres!$A$1:$I$89,3,0)*VLOOKUP('Données projet'!$B$12,Paramètres!$A$1:$I$89,5,0)</f>
        <v>88.79325</v>
      </c>
      <c r="CA24" s="13">
        <f t="shared" si="39"/>
        <v>24.273957694357119</v>
      </c>
      <c r="CB24" s="20">
        <f t="shared" si="10"/>
        <v>196.92538673433864</v>
      </c>
      <c r="CC24" s="59">
        <f t="shared" si="11"/>
        <v>415.78291511021303</v>
      </c>
      <c r="CD24" s="59">
        <f ca="1">AVERAGE(OFFSET($CC$3,0,0,'Données projet'!$E$12+1,1))-AVERAGE(OFFSET($H$3,0,0,'Données projet'!$E$12+1,1))</f>
        <v>341.60063595566282</v>
      </c>
      <c r="CE24" s="59">
        <f t="shared" si="40"/>
        <v>317.05609766344219</v>
      </c>
      <c r="CF24" s="15">
        <f>IF(ISNA(VLOOKUP(A24,'Données projet'!$A$113:$I$133,3,0)),0,VLOOKUP(A24,'Données projet'!$A$113:$I$133,3,0))</f>
        <v>1</v>
      </c>
      <c r="CG24" s="15">
        <f>IF(ISNA(VLOOKUP(A24,'Données projet'!$A$113:$I$133,4,0)),0,VLOOKUP(A24,'Données projet'!$A$113:$I$133,4,0))</f>
        <v>64.58</v>
      </c>
      <c r="CH24" s="16">
        <f>IF(ISNA(VLOOKUP(A24,'Données projet'!$A$113:$I$133,5,0)),0%,VLOOKUP(A24,'Données projet'!$A$113:$I$133,5,0)*VLOOKUP('Données projet'!$B$12,Paramètres!$A$1:$I$89,7,0))</f>
        <v>0.11000000000000001</v>
      </c>
      <c r="CI24" s="16">
        <f>IF(ISNA(VLOOKUP(A24,'Données projet'!$A$113:$I$133,6,0)),0%,VLOOKUP(A24,'Données projet'!$A$113:$I$133,6,0)*VLOOKUP('Données projet'!$B$12,Paramètres!$A$1:$I$89,7,0))</f>
        <v>0.24750000000000003</v>
      </c>
      <c r="CJ24" s="16">
        <f>IF(ISNA(VLOOKUP(A24,'Données projet'!$A$113:$I$133,7,0)),0%,VLOOKUP(A24,'Données projet'!$A$113:$I$133,7,0))</f>
        <v>0.35</v>
      </c>
      <c r="CK24" s="21">
        <f>EXP(-LN(2)/35)*CK23+(1-EXP(-LN(2)/35))/(LN(2)/35)*CG24*CH24*VLOOKUP('Données projet'!$B$12,Paramètres!$A$1:$I$89,3,0)*0.475*44/12</f>
        <v>4.2877601032408892</v>
      </c>
      <c r="CL24" s="21">
        <f>EXP(-LN(2)/25)*CL23+(1-EXP(-LN(2)/25))/(LN(2)/25)*Calculateur!CG24*Calculateur!CI24*VLOOKUP('Données projet'!$B$12,Paramètres!$A$1:$I$89,3,0)*0.475*44/12</f>
        <v>9.6094745053869293</v>
      </c>
      <c r="CM24" s="21">
        <f>EXP(-LN(2)/2)*CM23+(1-EXP(-LN(2)/2))/(LN(2)/2)*CG24*CJ24*VLOOKUP('Données projet'!$B$12,Paramètres!$A$1:$I$89,3,0)*0.475*44/12</f>
        <v>11.64429021255077</v>
      </c>
      <c r="CN24" s="22">
        <f t="shared" si="12"/>
        <v>25.541524821178591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7.8199999999999985</v>
      </c>
      <c r="CT24" s="12">
        <f>IF('Données projet'!$A$140&gt;35,CT23+CS24-DB23,IF(A24&lt;'Données projet'!$A$140,$CQ$205^A24,IF(A24='Données projet'!$A$140,'Données projet'!$B$140,CT23+CS24-DB23)))</f>
        <v>60.39</v>
      </c>
      <c r="CU24" s="17">
        <f>CT24*VLOOKUP('Données projet'!$B$13,Paramètres!$A$1:$I$89,3,0)*VLOOKUP('Données projet'!$B$13,Paramètres!$A$1:$I$89,5,0)</f>
        <v>63.119628000000006</v>
      </c>
      <c r="CV24" s="13">
        <f t="shared" si="41"/>
        <v>17.954667041378904</v>
      </c>
      <c r="CW24" s="20">
        <f t="shared" si="13"/>
        <v>141.20439719706826</v>
      </c>
      <c r="CX24" s="59">
        <f t="shared" si="14"/>
        <v>360.06192557294264</v>
      </c>
      <c r="CY24" s="59">
        <f ca="1">AVERAGE(OFFSET($CX$3,0,0,'Données projet'!$E$13+1,1))-AVERAGE(OFFSET($H$3,0,0,'Données projet'!$E$13+1,1))</f>
        <v>287.73449456153207</v>
      </c>
      <c r="CZ24" s="59">
        <f t="shared" si="42"/>
        <v>296.74833899433281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4.3352272727272725</v>
      </c>
      <c r="DO24" s="12">
        <f>IF('Données projet'!$A$166&gt;35,DO23+DN24-DW23,IF(A24&lt;'Données projet'!$A$166,$DL$205^A24,IF(A24='Données projet'!$A$166,'Données projet'!$B$166,DO23+DN24-DW23)))</f>
        <v>91.039772727272691</v>
      </c>
      <c r="DP24" s="17">
        <f>DO24*VLOOKUP('Données projet'!$B$14,Paramètres!$A$1:$I$89,3,0)*VLOOKUP('Données projet'!$B$14,Paramètres!$A$1:$I$89,5,0)</f>
        <v>92.314329545454513</v>
      </c>
      <c r="DQ24" s="13">
        <f t="shared" si="43"/>
        <v>25.122558094994151</v>
      </c>
      <c r="DR24" s="20">
        <f t="shared" si="16"/>
        <v>204.53591264044806</v>
      </c>
      <c r="DS24" s="59">
        <f t="shared" si="17"/>
        <v>423.39344101632241</v>
      </c>
      <c r="DT24" s="59">
        <f ca="1">AVERAGE(OFFSET($DS$3,0,0,'Données projet'!$E$14+1,1))-AVERAGE(OFFSET($H$3,0,0,'Données projet'!$E$14+1,1))</f>
        <v>532.34688562681413</v>
      </c>
      <c r="DU24" s="59">
        <f t="shared" si="44"/>
        <v>345.42627129678556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6.668000000000001</v>
      </c>
      <c r="EJ24" s="12">
        <f>IF('Données projet'!$A$192&gt;35,EJ23+EI24-ER23,IF(A24&lt;'Données projet'!$A$192,$EG$205^A24,IF(A24='Données projet'!$A$192,'Données projet'!$B$192,EJ23+EI24-ER23)))</f>
        <v>110.50799999999998</v>
      </c>
      <c r="EK24" s="17">
        <f>EJ24*VLOOKUP('Données projet'!$B$15,Paramètres!$A$1:$I$89,3,0)*VLOOKUP('Données projet'!$B$15,Paramètres!$A$1:$I$89,5,0)</f>
        <v>99.98763839999998</v>
      </c>
      <c r="EL24" s="13">
        <f t="shared" si="45"/>
        <v>26.959052546424783</v>
      </c>
      <c r="EM24" s="20">
        <f t="shared" si="19"/>
        <v>221.09882006502312</v>
      </c>
      <c r="EN24" s="59">
        <f t="shared" si="20"/>
        <v>439.9563484408975</v>
      </c>
      <c r="EO24" s="59">
        <f ca="1">AVERAGE(OFFSET($EN$3,0,0,'Données projet'!$E$15+1,1))-AVERAGE(OFFSET($H$3,0,0,'Données projet'!$E$15+1,1))</f>
        <v>256.20286603823035</v>
      </c>
      <c r="EP24" s="59">
        <f t="shared" si="46"/>
        <v>364.83827155069434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4.3352272727272725</v>
      </c>
      <c r="FE24" s="12">
        <f>IF('Données projet'!$A$218&gt;35,FE23+FD24-FM23,IF(A24&lt;'Données projet'!$A$218,$FB$205^A24,IF(A24='Données projet'!$A$218,'Données projet'!$B$218,FE23+FD24-FM23)))</f>
        <v>91.039772727272691</v>
      </c>
      <c r="FF24" s="17">
        <f>FE24*VLOOKUP('Données projet'!$B$16,Paramètres!$A$1:$I$89,3,0)*VLOOKUP('Données projet'!$B$16,Paramètres!$A$1:$I$89,5,0)</f>
        <v>61.069479545454527</v>
      </c>
      <c r="FG24" s="13">
        <f t="shared" si="47"/>
        <v>17.43838833024596</v>
      </c>
      <c r="FH24" s="20">
        <f t="shared" si="22"/>
        <v>136.73453655017832</v>
      </c>
      <c r="FI24" s="59">
        <f t="shared" si="23"/>
        <v>355.59206492605267</v>
      </c>
      <c r="FJ24" s="59">
        <f ca="1">AVERAGE(OFFSET($FI$3,0,0,'Données projet'!$E$16+1,1))-AVERAGE(OFFSET($H$3,0,0,'Données projet'!$E$16+1,1))</f>
        <v>380.73695370216979</v>
      </c>
      <c r="FK24" s="59">
        <f t="shared" si="48"/>
        <v>249.34467160415713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4.3352272727272725</v>
      </c>
      <c r="FZ24" s="12">
        <f>IF('Données projet'!$A$244&gt;35,FZ23+FY24-GH23,IF(A24&lt;'Données projet'!$A$244,$FW$205^A24,IF(A24='Données projet'!$A$244,'Données projet'!$B$244,FZ23+FY24-GH23)))</f>
        <v>91.039772727272691</v>
      </c>
      <c r="GA24" s="17">
        <f>FZ24*VLOOKUP('Données projet'!$B$17,Paramètres!$A$1:$I$89,3,0)*VLOOKUP('Données projet'!$B$17,Paramètres!$A$1:$I$89,5,0)</f>
        <v>88.053668181818153</v>
      </c>
      <c r="GB24" s="13">
        <f t="shared" si="49"/>
        <v>24.095221006635963</v>
      </c>
      <c r="GC24" s="20">
        <f t="shared" si="25"/>
        <v>195.32598200322425</v>
      </c>
      <c r="GD24" s="59">
        <f t="shared" si="26"/>
        <v>414.18351037909861</v>
      </c>
      <c r="GE24" s="59">
        <f ca="1">AVERAGE(OFFSET($GD$3,0,0,'Données projet'!$E$17+1,1))-AVERAGE(OFFSET($H$3,0,0,'Données projet'!$E$17+1,1))</f>
        <v>511.7458522930001</v>
      </c>
      <c r="GF24" s="59">
        <f t="shared" si="50"/>
        <v>332.37317679966122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12.6</v>
      </c>
      <c r="GU24" s="12">
        <f>IF('Données projet'!$A$270&gt;35,GU23+GT24-HC23,IF(A24&lt;'Données projet'!$A$270,$GR$205^A24,IF(A24='Données projet'!$A$270,'Données projet'!$B$270,GU23+GT24-HC23)))</f>
        <v>64.599999999999994</v>
      </c>
      <c r="GV24" s="17">
        <f>GU24*VLOOKUP('Données projet'!$B$18,Paramètres!$A$1:$I$89,3,0)*VLOOKUP('Données projet'!$B$18,Paramètres!$A$1:$I$89,5,0)</f>
        <v>56.434560000000005</v>
      </c>
      <c r="GW24" s="13">
        <f t="shared" si="51"/>
        <v>16.26362505907256</v>
      </c>
      <c r="GX24" s="20">
        <f t="shared" si="28"/>
        <v>126.61600564455136</v>
      </c>
      <c r="GY24" s="59">
        <f t="shared" si="29"/>
        <v>345.47353402042575</v>
      </c>
      <c r="GZ24" s="59">
        <f ca="1">AVERAGE(OFFSET($GY$3,0,0,'Données projet'!$E$18+1,1))-AVERAGE(OFFSET($H$3,0,0,'Données projet'!$E$18+1,1))</f>
        <v>348.77506423101278</v>
      </c>
      <c r="HA24" s="59">
        <f t="shared" si="52"/>
        <v>336.13747591329548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">
      <c r="A25" s="10">
        <f t="shared" si="31"/>
        <v>22</v>
      </c>
      <c r="B25" s="71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5">
        <f t="shared" si="1"/>
        <v>183.33333333333334</v>
      </c>
      <c r="I25" s="6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9.9228571428571435</v>
      </c>
      <c r="N25" s="13">
        <f>IF('Données projet'!$A$36&gt;35,N24+M25-V24,IF(A25&lt;'Données projet'!$A$36,$K$205^A25,IF(A25='Données projet'!$A$36,'Données projet'!$B$36,N24+M25-V24)))</f>
        <v>218.30285714285711</v>
      </c>
      <c r="O25" s="13">
        <f>N25*VLOOKUP('Données projet'!$B$9,Paramètres!$A$1:$I$89,3,0)*VLOOKUP('Données projet'!$B$9,Paramètres!$A$1:$I$89,5,0)</f>
        <v>102.16573714285713</v>
      </c>
      <c r="P25" s="13">
        <f t="shared" si="33"/>
        <v>27.477309397316059</v>
      </c>
      <c r="Q25" s="20">
        <f t="shared" si="2"/>
        <v>225.79497272413494</v>
      </c>
      <c r="R25" s="59">
        <f t="shared" si="0"/>
        <v>446.97588662760336</v>
      </c>
      <c r="S25" s="59">
        <f ca="1">AVERAGE(OFFSET($R$3,0,0,'Données projet'!$E$9+1,1))-AVERAGE(OFFSET($H$3,0,0,'Données projet'!$E$9+1,1))</f>
        <v>387.50901594883317</v>
      </c>
      <c r="T25" s="59">
        <f t="shared" si="34"/>
        <v>361.3623790401972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129.07</v>
      </c>
      <c r="AG25" s="12">
        <f>VLOOKUP(A25,'Données projet'!$A$61:$I$81,9,0)</f>
        <v>5.8668181818181813</v>
      </c>
      <c r="AH25" s="12">
        <f t="array" ref="AH25">INDEX(AG:AG,MIN(IF(ISNUMBER(AG25:AG221),ROW(AG25:AG221),"")))</f>
        <v>5.8668181818181813</v>
      </c>
      <c r="AI25" s="13">
        <f>IF('Données projet'!$A$62&gt;35,AI24+AH25-AQ24,IF(A25&lt;'Données projet'!$A$62,$AF$205^A25,IF(A25='Données projet'!$A$62,'Données projet'!$B$62,AI24+AH25-AQ24)))</f>
        <v>129.07</v>
      </c>
      <c r="AJ25" s="13">
        <f>AI25*VLOOKUP('Données projet'!$B$10,Paramètres!$A$1:$I$89,3,0)*VLOOKUP('Données projet'!$B$10,Paramètres!$A$1:$I$89,5,0)</f>
        <v>77.183859999999996</v>
      </c>
      <c r="AK25" s="13">
        <f t="shared" si="35"/>
        <v>21.447193743401183</v>
      </c>
      <c r="AL25" s="20">
        <f t="shared" si="4"/>
        <v>171.78241860309038</v>
      </c>
      <c r="AM25" s="59">
        <f t="shared" si="5"/>
        <v>392.9633325065588</v>
      </c>
      <c r="AN25" s="59">
        <f ca="1">AVERAGE(OFFSET($AM$3,0,0,'Données projet'!$E$10+1,1))-AVERAGE(OFFSET($H$3,0,0,'Données projet'!$E$10+1,1))</f>
        <v>373.47758082856359</v>
      </c>
      <c r="AO25" s="59">
        <f t="shared" si="36"/>
        <v>277.24895424120166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52.41</v>
      </c>
      <c r="AR25" s="16">
        <f>IF(ISNA(VLOOKUP(A25,'Données projet'!$A$61:$I$81,5,0)),0%,VLOOKUP(A25,'Données projet'!$A$61:$I$81,5,0)*VLOOKUP('Données projet'!$B$10,Paramètres!$A$1:$I$89,7,0))</f>
        <v>9.0000000000000011E-2</v>
      </c>
      <c r="AS25" s="16">
        <f>IF(ISNA(VLOOKUP(A25,'Données projet'!$A$61:$I$81,6,0)),0%,VLOOKUP(A25,'Données projet'!$A$61:$I$81,6,0)*VLOOKUP('Données projet'!$B$10,Paramètres!$A$1:$I$89,7,0))</f>
        <v>0.20250000000000001</v>
      </c>
      <c r="AT25" s="16">
        <f>IF(ISNA(VLOOKUP(A25,'Données projet'!$A$61:$I$81,7,0)),0%,VLOOKUP(A25,'Données projet'!$A$61:$I$81,7,0))</f>
        <v>0.35</v>
      </c>
      <c r="AU25" s="21">
        <f>EXP(-LN(2)/35)*AU24+(1-EXP(-LN(2)/35))/(LN(2)/35)*AQ25*AR25*VLOOKUP('Données projet'!$B$10,Paramètres!$A$1:$I$89,3,0)*0.475*44/12</f>
        <v>3.741848584157935</v>
      </c>
      <c r="AV25" s="21">
        <f>EXP(-LN(2)/25)*AV24+(1-EXP(-LN(2)/25))/(LN(2)/25)*Calculateur!AQ25*Calculateur!AS25*VLOOKUP('Données projet'!$B$10,Paramètres!$A$1:$I$89,3,0)*0.475*44/12</f>
        <v>8.3860098761835395</v>
      </c>
      <c r="AW25" s="21">
        <f>EXP(-LN(2)/2)*AW24+(1-EXP(-LN(2)/2))/(LN(2)/2)*AQ25*AT25*VLOOKUP('Données projet'!$B$10,Paramètres!$A$1:$I$89,3,0)*0.475*44/12</f>
        <v>12.419923683506681</v>
      </c>
      <c r="AX25" s="21">
        <f t="shared" si="6"/>
        <v>24.547782143848156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19.68</v>
      </c>
      <c r="BD25" s="12">
        <f>IF('Données projet'!$A$88&gt;35,BD24+BC25-BL24,IF(A25&lt;'Données projet'!$A$88,$BA$205^A25,IF(A25='Données projet'!$A$88,'Données projet'!$B$88,BD24+BC25-BL24)))</f>
        <v>140.56</v>
      </c>
      <c r="BE25" s="13">
        <f>BD25*VLOOKUP('Données projet'!$B$11,Paramètres!$A$1:$I$89,3,0)*VLOOKUP('Données projet'!$B$11,Paramètres!$A$1:$I$89,5,0)</f>
        <v>84.054880000000011</v>
      </c>
      <c r="BF25" s="13">
        <f t="shared" si="37"/>
        <v>23.12575242793806</v>
      </c>
      <c r="BG25" s="20">
        <f t="shared" si="7"/>
        <v>186.67293481199212</v>
      </c>
      <c r="BH25" s="59">
        <f t="shared" si="8"/>
        <v>407.85384871546051</v>
      </c>
      <c r="BI25" s="59">
        <f ca="1">AVERAGE(OFFSET($BH$3,0,0,'Données projet'!$E$11+1,1))-AVERAGE(OFFSET($H$3,0,0,'Données projet'!$E$11+1,1))</f>
        <v>460.88622650237176</v>
      </c>
      <c r="BJ25" s="59">
        <f t="shared" si="38"/>
        <v>396.05161661639647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3.1149456241453106</v>
      </c>
      <c r="BQ25" s="21">
        <f>EXP(-LN(2)/25)*BQ24+(1-EXP(-LN(2)/25))/(LN(2)/25)*Calculateur!BL25*Calculateur!BN25*VLOOKUP('Données projet'!$B$11,Paramètres!$A$1:$I$89,3,0)*0.475*44/12</f>
        <v>6.8170833088649481</v>
      </c>
      <c r="BR25" s="21">
        <f>EXP(-LN(2)/2)*BR24+(1-EXP(-LN(2)/2))/(LN(2)/2)*BL25*BO25*VLOOKUP('Données projet'!$B$11,Paramètres!$A$1:$I$89,3,0)*0.475*44/12</f>
        <v>3.879187440995699</v>
      </c>
      <c r="BS25" s="22">
        <f t="shared" si="9"/>
        <v>13.811216374005957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21.612857142857145</v>
      </c>
      <c r="BY25" s="12">
        <f>IF('Données projet'!$A$114&gt;35,BY24+BX25-CG24,IF(A25&lt;'Données projet'!$A$114,$BV$205^A25,IF(A25='Données projet'!$A$114,'Données projet'!$B$114,BY24+BX25-CG24)))</f>
        <v>152.18285714285713</v>
      </c>
      <c r="BZ25" s="13">
        <f>BY25*VLOOKUP('Données projet'!$B$12,Paramètres!$A$1:$I$89,3,0)*VLOOKUP('Données projet'!$B$12,Paramètres!$A$1:$I$89,5,0)</f>
        <v>69.243200000000002</v>
      </c>
      <c r="CA25" s="13">
        <f t="shared" si="39"/>
        <v>19.485398723229057</v>
      </c>
      <c r="CB25" s="20">
        <f t="shared" si="10"/>
        <v>154.53564277629059</v>
      </c>
      <c r="CC25" s="59">
        <f t="shared" si="11"/>
        <v>375.71655667975898</v>
      </c>
      <c r="CD25" s="59">
        <f ca="1">AVERAGE(OFFSET($CC$3,0,0,'Données projet'!$E$12+1,1))-AVERAGE(OFFSET($H$3,0,0,'Données projet'!$E$12+1,1))</f>
        <v>341.60063595566282</v>
      </c>
      <c r="CE25" s="59">
        <f t="shared" si="40"/>
        <v>317.05609766344219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4.2036797428917616</v>
      </c>
      <c r="CL25" s="21">
        <f>EXP(-LN(2)/25)*CL24+(1-EXP(-LN(2)/25))/(LN(2)/25)*Calculateur!CG25*Calculateur!CI25*VLOOKUP('Données projet'!$B$12,Paramètres!$A$1:$I$89,3,0)*0.475*44/12</f>
        <v>9.3467029196968223</v>
      </c>
      <c r="CM25" s="21">
        <f>EXP(-LN(2)/2)*CM24+(1-EXP(-LN(2)/2))/(LN(2)/2)*CG25*CJ25*VLOOKUP('Données projet'!$B$12,Paramètres!$A$1:$I$89,3,0)*0.475*44/12</f>
        <v>8.2337565713987946</v>
      </c>
      <c r="CN25" s="22">
        <f t="shared" si="12"/>
        <v>21.784139233987379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7.8199999999999985</v>
      </c>
      <c r="CT25" s="12">
        <f>IF('Données projet'!$A$140&gt;35,CT24+CS25-DB24,IF(A25&lt;'Données projet'!$A$140,$CQ$205^A25,IF(A25='Données projet'!$A$140,'Données projet'!$B$140,CT24+CS25-DB24)))</f>
        <v>68.209999999999994</v>
      </c>
      <c r="CU25" s="17">
        <f>CT25*VLOOKUP('Données projet'!$B$13,Paramètres!$A$1:$I$89,3,0)*VLOOKUP('Données projet'!$B$13,Paramètres!$A$1:$I$89,5,0)</f>
        <v>71.293092000000001</v>
      </c>
      <c r="CV25" s="13">
        <f t="shared" si="41"/>
        <v>19.994234998801367</v>
      </c>
      <c r="CW25" s="20">
        <f t="shared" si="13"/>
        <v>158.9920945229124</v>
      </c>
      <c r="CX25" s="59">
        <f t="shared" si="14"/>
        <v>380.17300842638076</v>
      </c>
      <c r="CY25" s="59">
        <f ca="1">AVERAGE(OFFSET($CX$3,0,0,'Données projet'!$E$13+1,1))-AVERAGE(OFFSET($H$3,0,0,'Données projet'!$E$13+1,1))</f>
        <v>287.73449456153207</v>
      </c>
      <c r="CZ25" s="59">
        <f t="shared" si="42"/>
        <v>296.74833899433281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4.3352272727272725</v>
      </c>
      <c r="DO25" s="12">
        <f>IF('Données projet'!$A$166&gt;35,DO24+DN25-DW24,IF(A25&lt;'Données projet'!$A$166,$DL$205^A25,IF(A25='Données projet'!$A$166,'Données projet'!$B$166,DO24+DN25-DW24)))</f>
        <v>95.374999999999957</v>
      </c>
      <c r="DP25" s="17">
        <f>DO25*VLOOKUP('Données projet'!$B$14,Paramètres!$A$1:$I$89,3,0)*VLOOKUP('Données projet'!$B$14,Paramètres!$A$1:$I$89,5,0)</f>
        <v>96.710249999999974</v>
      </c>
      <c r="DQ25" s="13">
        <f t="shared" si="43"/>
        <v>26.176740707559155</v>
      </c>
      <c r="DR25" s="20">
        <f t="shared" si="16"/>
        <v>214.02817548233216</v>
      </c>
      <c r="DS25" s="59">
        <f t="shared" si="17"/>
        <v>435.20908938580055</v>
      </c>
      <c r="DT25" s="59">
        <f ca="1">AVERAGE(OFFSET($DS$3,0,0,'Données projet'!$E$14+1,1))-AVERAGE(OFFSET($H$3,0,0,'Données projet'!$E$14+1,1))</f>
        <v>532.34688562681413</v>
      </c>
      <c r="DU25" s="59">
        <f t="shared" si="44"/>
        <v>345.42627129678556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6.668000000000001</v>
      </c>
      <c r="EJ25" s="12">
        <f>IF('Données projet'!$A$192&gt;35,EJ24+EI25-ER24,IF(A25&lt;'Données projet'!$A$192,$EG$205^A25,IF(A25='Données projet'!$A$192,'Données projet'!$B$192,EJ24+EI25-ER24)))</f>
        <v>117.17599999999999</v>
      </c>
      <c r="EK25" s="17">
        <f>EJ25*VLOOKUP('Données projet'!$B$15,Paramètres!$A$1:$I$89,3,0)*VLOOKUP('Données projet'!$B$15,Paramètres!$A$1:$I$89,5,0)</f>
        <v>106.02084479999998</v>
      </c>
      <c r="EL25" s="13">
        <f t="shared" si="45"/>
        <v>28.391463686917159</v>
      </c>
      <c r="EM25" s="20">
        <f t="shared" si="19"/>
        <v>234.10143728138067</v>
      </c>
      <c r="EN25" s="59">
        <f t="shared" si="20"/>
        <v>455.28235118484906</v>
      </c>
      <c r="EO25" s="59">
        <f ca="1">AVERAGE(OFFSET($EN$3,0,0,'Données projet'!$E$15+1,1))-AVERAGE(OFFSET($H$3,0,0,'Données projet'!$E$15+1,1))</f>
        <v>256.20286603823035</v>
      </c>
      <c r="EP25" s="59">
        <f t="shared" si="46"/>
        <v>364.83827155069434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4.3352272727272725</v>
      </c>
      <c r="FE25" s="12">
        <f>IF('Données projet'!$A$218&gt;35,FE24+FD25-FM24,IF(A25&lt;'Données projet'!$A$218,$FB$205^A25,IF(A25='Données projet'!$A$218,'Données projet'!$B$218,FE24+FD25-FM24)))</f>
        <v>95.374999999999957</v>
      </c>
      <c r="FF25" s="17">
        <f>FE25*VLOOKUP('Données projet'!$B$16,Paramètres!$A$1:$I$89,3,0)*VLOOKUP('Données projet'!$B$16,Paramètres!$A$1:$I$89,5,0)</f>
        <v>63.977549999999972</v>
      </c>
      <c r="FG25" s="13">
        <f t="shared" si="47"/>
        <v>18.170130921879778</v>
      </c>
      <c r="FH25" s="20">
        <f t="shared" si="22"/>
        <v>143.07387760560724</v>
      </c>
      <c r="FI25" s="59">
        <f t="shared" si="23"/>
        <v>364.25479150907563</v>
      </c>
      <c r="FJ25" s="59">
        <f ca="1">AVERAGE(OFFSET($FI$3,0,0,'Données projet'!$E$16+1,1))-AVERAGE(OFFSET($H$3,0,0,'Données projet'!$E$16+1,1))</f>
        <v>380.73695370216979</v>
      </c>
      <c r="FK25" s="59">
        <f t="shared" si="48"/>
        <v>249.34467160415713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4.3352272727272725</v>
      </c>
      <c r="FZ25" s="12">
        <f>IF('Données projet'!$A$244&gt;35,FZ24+FY25-GH24,IF(A25&lt;'Données projet'!$A$244,$FW$205^A25,IF(A25='Données projet'!$A$244,'Données projet'!$B$244,FZ24+FY25-GH24)))</f>
        <v>95.374999999999957</v>
      </c>
      <c r="GA25" s="17">
        <f>FZ25*VLOOKUP('Données projet'!$B$17,Paramètres!$A$1:$I$89,3,0)*VLOOKUP('Données projet'!$B$17,Paramètres!$A$1:$I$89,5,0)</f>
        <v>92.246699999999962</v>
      </c>
      <c r="GB25" s="13">
        <f t="shared" si="49"/>
        <v>25.106294916190109</v>
      </c>
      <c r="GC25" s="20">
        <f t="shared" si="25"/>
        <v>204.38979947903101</v>
      </c>
      <c r="GD25" s="59">
        <f t="shared" si="26"/>
        <v>425.57071338249943</v>
      </c>
      <c r="GE25" s="59">
        <f ca="1">AVERAGE(OFFSET($GD$3,0,0,'Données projet'!$E$17+1,1))-AVERAGE(OFFSET($H$3,0,0,'Données projet'!$E$17+1,1))</f>
        <v>511.7458522930001</v>
      </c>
      <c r="GF25" s="59">
        <f t="shared" si="50"/>
        <v>332.37317679966122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12.6</v>
      </c>
      <c r="GU25" s="12">
        <f>IF('Données projet'!$A$270&gt;35,GU24+GT25-HC24,IF(A25&lt;'Données projet'!$A$270,$GR$205^A25,IF(A25='Données projet'!$A$270,'Données projet'!$B$270,GU24+GT25-HC24)))</f>
        <v>77.199999999999989</v>
      </c>
      <c r="GV25" s="17">
        <f>GU25*VLOOKUP('Données projet'!$B$18,Paramètres!$A$1:$I$89,3,0)*VLOOKUP('Données projet'!$B$18,Paramètres!$A$1:$I$89,5,0)</f>
        <v>67.441919999999996</v>
      </c>
      <c r="GW25" s="13">
        <f t="shared" si="51"/>
        <v>19.036826299015036</v>
      </c>
      <c r="GX25" s="20">
        <f t="shared" si="28"/>
        <v>150.61714980411784</v>
      </c>
      <c r="GY25" s="59">
        <f t="shared" si="29"/>
        <v>371.79806370758627</v>
      </c>
      <c r="GZ25" s="59">
        <f ca="1">AVERAGE(OFFSET($GY$3,0,0,'Données projet'!$E$18+1,1))-AVERAGE(OFFSET($H$3,0,0,'Données projet'!$E$18+1,1))</f>
        <v>348.77506423101278</v>
      </c>
      <c r="HA25" s="59">
        <f t="shared" si="52"/>
        <v>336.13747591329548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">
      <c r="A26" s="10">
        <f t="shared" si="31"/>
        <v>23</v>
      </c>
      <c r="B26" s="71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5">
        <f t="shared" si="1"/>
        <v>183.33333333333334</v>
      </c>
      <c r="I26" s="6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9.9228571428571435</v>
      </c>
      <c r="N26" s="13">
        <f>IF('Données projet'!$A$36&gt;35,N25+M26-V25,IF(A26&lt;'Données projet'!$A$36,$K$205^A26,IF(A26='Données projet'!$A$36,'Données projet'!$B$36,N25+M26-V25)))</f>
        <v>228.22571428571425</v>
      </c>
      <c r="O26" s="13">
        <f>N26*VLOOKUP('Données projet'!$B$9,Paramètres!$A$1:$I$89,3,0)*VLOOKUP('Données projet'!$B$9,Paramètres!$A$1:$I$89,5,0)</f>
        <v>106.80963428571427</v>
      </c>
      <c r="P26" s="13">
        <f t="shared" si="33"/>
        <v>28.578026795188716</v>
      </c>
      <c r="Q26" s="20">
        <f t="shared" si="2"/>
        <v>235.80017638257266</v>
      </c>
      <c r="R26" s="59">
        <f t="shared" si="0"/>
        <v>459.28537309211913</v>
      </c>
      <c r="S26" s="59">
        <f ca="1">AVERAGE(OFFSET($R$3,0,0,'Données projet'!$E$9+1,1))-AVERAGE(OFFSET($H$3,0,0,'Données projet'!$E$9+1,1))</f>
        <v>387.50901594883317</v>
      </c>
      <c r="T26" s="59">
        <f t="shared" si="34"/>
        <v>361.3623790401972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15.766000000000002</v>
      </c>
      <c r="AI26" s="13">
        <f>IF('Données projet'!$A$62&gt;35,AI25+AH26-AQ25,IF(A26&lt;'Données projet'!$A$62,$AF$205^A26,IF(A26='Données projet'!$A$62,'Données projet'!$B$62,AI25+AH26-AQ25)))</f>
        <v>92.425999999999988</v>
      </c>
      <c r="AJ26" s="13">
        <f>AI26*VLOOKUP('Données projet'!$B$10,Paramètres!$A$1:$I$89,3,0)*VLOOKUP('Données projet'!$B$10,Paramètres!$A$1:$I$89,5,0)</f>
        <v>55.27074799999999</v>
      </c>
      <c r="AK26" s="13">
        <f t="shared" si="35"/>
        <v>15.966912640281619</v>
      </c>
      <c r="AL26" s="20">
        <f t="shared" si="4"/>
        <v>124.07225894849046</v>
      </c>
      <c r="AM26" s="59">
        <f t="shared" si="5"/>
        <v>347.55745565803693</v>
      </c>
      <c r="AN26" s="59">
        <f ca="1">AVERAGE(OFFSET($AM$3,0,0,'Données projet'!$E$10+1,1))-AVERAGE(OFFSET($H$3,0,0,'Données projet'!$E$10+1,1))</f>
        <v>373.47758082856359</v>
      </c>
      <c r="AO26" s="59">
        <f t="shared" si="36"/>
        <v>277.24895424120166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3.6684732157248754</v>
      </c>
      <c r="AV26" s="21">
        <f>EXP(-LN(2)/25)*AV25+(1-EXP(-LN(2)/25))/(LN(2)/25)*Calculateur!AQ26*Calculateur!AS26*VLOOKUP('Données projet'!$B$10,Paramètres!$A$1:$I$89,3,0)*0.475*44/12</f>
        <v>8.1566939951182071</v>
      </c>
      <c r="AW26" s="21">
        <f>EXP(-LN(2)/2)*AW25+(1-EXP(-LN(2)/2))/(LN(2)/2)*AQ26*AT26*VLOOKUP('Données projet'!$B$10,Paramètres!$A$1:$I$89,3,0)*0.475*44/12</f>
        <v>8.7822122584269788</v>
      </c>
      <c r="AX26" s="21">
        <f t="shared" si="6"/>
        <v>20.607379469270061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19.68</v>
      </c>
      <c r="BD26" s="12">
        <f>IF('Données projet'!$A$88&gt;35,BD25+BC26-BL25,IF(A26&lt;'Données projet'!$A$88,$BA$205^A26,IF(A26='Données projet'!$A$88,'Données projet'!$B$88,BD25+BC26-BL25)))</f>
        <v>160.24</v>
      </c>
      <c r="BE26" s="13">
        <f>BD26*VLOOKUP('Données projet'!$B$11,Paramètres!$A$1:$I$89,3,0)*VLOOKUP('Données projet'!$B$11,Paramètres!$A$1:$I$89,5,0)</f>
        <v>95.823520000000016</v>
      </c>
      <c r="BF26" s="13">
        <f t="shared" si="37"/>
        <v>25.964551808226819</v>
      </c>
      <c r="BG26" s="20">
        <f t="shared" si="7"/>
        <v>212.11422506599504</v>
      </c>
      <c r="BH26" s="59">
        <f t="shared" si="8"/>
        <v>435.59942177554154</v>
      </c>
      <c r="BI26" s="59">
        <f ca="1">AVERAGE(OFFSET($BH$3,0,0,'Données projet'!$E$11+1,1))-AVERAGE(OFFSET($H$3,0,0,'Données projet'!$E$11+1,1))</f>
        <v>460.88622650237176</v>
      </c>
      <c r="BJ26" s="59">
        <f t="shared" si="38"/>
        <v>396.05161661639647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3.0538634403850495</v>
      </c>
      <c r="BQ26" s="21">
        <f>EXP(-LN(2)/25)*BQ25+(1-EXP(-LN(2)/25))/(LN(2)/25)*Calculateur!BL26*Calculateur!BN26*VLOOKUP('Données projet'!$B$11,Paramètres!$A$1:$I$89,3,0)*0.475*44/12</f>
        <v>6.6306698072892054</v>
      </c>
      <c r="BR26" s="21">
        <f>EXP(-LN(2)/2)*BR25+(1-EXP(-LN(2)/2))/(LN(2)/2)*BL26*BO26*VLOOKUP('Données projet'!$B$11,Paramètres!$A$1:$I$89,3,0)*0.475*44/12</f>
        <v>2.7429997450217494</v>
      </c>
      <c r="BS26" s="22">
        <f t="shared" si="9"/>
        <v>12.427532992696005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21.612857142857145</v>
      </c>
      <c r="BY26" s="12">
        <f>IF('Données projet'!$A$114&gt;35,BY25+BX26-CG25,IF(A26&lt;'Données projet'!$A$114,$BV$205^A26,IF(A26='Données projet'!$A$114,'Données projet'!$B$114,BY25+BX26-CG25)))</f>
        <v>173.79571428571427</v>
      </c>
      <c r="BZ26" s="13">
        <f>BY26*VLOOKUP('Données projet'!$B$12,Paramètres!$A$1:$I$89,3,0)*VLOOKUP('Données projet'!$B$12,Paramètres!$A$1:$I$89,5,0)</f>
        <v>79.077049999999986</v>
      </c>
      <c r="CA26" s="13">
        <f t="shared" si="39"/>
        <v>21.911365878384828</v>
      </c>
      <c r="CB26" s="20">
        <f t="shared" si="10"/>
        <v>175.88815765485356</v>
      </c>
      <c r="CC26" s="59">
        <f t="shared" si="11"/>
        <v>399.37335436440003</v>
      </c>
      <c r="CD26" s="59">
        <f ca="1">AVERAGE(OFFSET($CC$3,0,0,'Données projet'!$E$12+1,1))-AVERAGE(OFFSET($H$3,0,0,'Données projet'!$E$12+1,1))</f>
        <v>341.60063595566282</v>
      </c>
      <c r="CE26" s="59">
        <f t="shared" si="40"/>
        <v>317.05609766344219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4.1212481471251241</v>
      </c>
      <c r="CL26" s="21">
        <f>EXP(-LN(2)/25)*CL25+(1-EXP(-LN(2)/25))/(LN(2)/25)*Calculateur!CG26*Calculateur!CI26*VLOOKUP('Données projet'!$B$12,Paramètres!$A$1:$I$89,3,0)*0.475*44/12</f>
        <v>9.0911168368359689</v>
      </c>
      <c r="CM26" s="21">
        <f>EXP(-LN(2)/2)*CM25+(1-EXP(-LN(2)/2))/(LN(2)/2)*CG26*CJ26*VLOOKUP('Données projet'!$B$12,Paramètres!$A$1:$I$89,3,0)*0.475*44/12</f>
        <v>5.8221451062753857</v>
      </c>
      <c r="CN26" s="22">
        <f t="shared" si="12"/>
        <v>19.034510090236481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7.8199999999999985</v>
      </c>
      <c r="CT26" s="12">
        <f>IF('Données projet'!$A$140&gt;35,CT25+CS26-DB25,IF(A26&lt;'Données projet'!$A$140,$CQ$205^A26,IF(A26='Données projet'!$A$140,'Données projet'!$B$140,CT25+CS26-DB25)))</f>
        <v>76.029999999999987</v>
      </c>
      <c r="CU26" s="17">
        <f>CT26*VLOOKUP('Données projet'!$B$13,Paramètres!$A$1:$I$89,3,0)*VLOOKUP('Données projet'!$B$13,Paramètres!$A$1:$I$89,5,0)</f>
        <v>79.466555999999997</v>
      </c>
      <c r="CV26" s="13">
        <f t="shared" si="41"/>
        <v>22.006703554123149</v>
      </c>
      <c r="CW26" s="20">
        <f t="shared" si="13"/>
        <v>176.73259372343114</v>
      </c>
      <c r="CX26" s="59">
        <f t="shared" si="14"/>
        <v>400.21779043297761</v>
      </c>
      <c r="CY26" s="59">
        <f ca="1">AVERAGE(OFFSET($CX$3,0,0,'Données projet'!$E$13+1,1))-AVERAGE(OFFSET($H$3,0,0,'Données projet'!$E$13+1,1))</f>
        <v>287.73449456153207</v>
      </c>
      <c r="CZ26" s="59">
        <f t="shared" si="42"/>
        <v>296.74833899433281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4.3352272727272725</v>
      </c>
      <c r="DO26" s="12">
        <f>IF('Données projet'!$A$166&gt;35,DO25+DN26-DW25,IF(A26&lt;'Données projet'!$A$166,$DL$205^A26,IF(A26='Données projet'!$A$166,'Données projet'!$B$166,DO25+DN26-DW25)))</f>
        <v>99.710227272727224</v>
      </c>
      <c r="DP26" s="17">
        <f>DO26*VLOOKUP('Données projet'!$B$14,Paramètres!$A$1:$I$89,3,0)*VLOOKUP('Données projet'!$B$14,Paramètres!$A$1:$I$89,5,0)</f>
        <v>101.10617045454542</v>
      </c>
      <c r="DQ26" s="13">
        <f t="shared" si="43"/>
        <v>27.225358441551219</v>
      </c>
      <c r="DR26" s="20">
        <f t="shared" si="16"/>
        <v>223.51074616070164</v>
      </c>
      <c r="DS26" s="59">
        <f t="shared" si="17"/>
        <v>446.99594287024814</v>
      </c>
      <c r="DT26" s="59">
        <f ca="1">AVERAGE(OFFSET($DS$3,0,0,'Données projet'!$E$14+1,1))-AVERAGE(OFFSET($H$3,0,0,'Données projet'!$E$14+1,1))</f>
        <v>532.34688562681413</v>
      </c>
      <c r="DU26" s="59">
        <f t="shared" si="44"/>
        <v>345.42627129678556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6.668000000000001</v>
      </c>
      <c r="EJ26" s="12">
        <f>IF('Données projet'!$A$192&gt;35,EJ25+EI26-ER25,IF(A26&lt;'Données projet'!$A$192,$EG$205^A26,IF(A26='Données projet'!$A$192,'Données projet'!$B$192,EJ25+EI26-ER25)))</f>
        <v>123.84399999999999</v>
      </c>
      <c r="EK26" s="17">
        <f>EJ26*VLOOKUP('Données projet'!$B$15,Paramètres!$A$1:$I$89,3,0)*VLOOKUP('Données projet'!$B$15,Paramètres!$A$1:$I$89,5,0)</f>
        <v>112.05405119999999</v>
      </c>
      <c r="EL26" s="13">
        <f t="shared" si="45"/>
        <v>29.814412727741182</v>
      </c>
      <c r="EM26" s="20">
        <f t="shared" si="19"/>
        <v>247.08757467414918</v>
      </c>
      <c r="EN26" s="59">
        <f t="shared" si="20"/>
        <v>470.57277138369568</v>
      </c>
      <c r="EO26" s="59">
        <f ca="1">AVERAGE(OFFSET($EN$3,0,0,'Données projet'!$E$15+1,1))-AVERAGE(OFFSET($H$3,0,0,'Données projet'!$E$15+1,1))</f>
        <v>256.20286603823035</v>
      </c>
      <c r="EP26" s="59">
        <f t="shared" si="46"/>
        <v>364.83827155069434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4.3352272727272725</v>
      </c>
      <c r="FE26" s="12">
        <f>IF('Données projet'!$A$218&gt;35,FE25+FD26-FM25,IF(A26&lt;'Données projet'!$A$218,$FB$205^A26,IF(A26='Données projet'!$A$218,'Données projet'!$B$218,FE25+FD26-FM25)))</f>
        <v>99.710227272727224</v>
      </c>
      <c r="FF26" s="17">
        <f>FE26*VLOOKUP('Données projet'!$B$16,Paramètres!$A$1:$I$89,3,0)*VLOOKUP('Données projet'!$B$16,Paramètres!$A$1:$I$89,5,0)</f>
        <v>66.885620454545418</v>
      </c>
      <c r="FG26" s="13">
        <f t="shared" si="47"/>
        <v>18.89801074949095</v>
      </c>
      <c r="FH26" s="20">
        <f t="shared" si="22"/>
        <v>149.40649101369667</v>
      </c>
      <c r="FI26" s="59">
        <f t="shared" si="23"/>
        <v>372.89168772324319</v>
      </c>
      <c r="FJ26" s="59">
        <f ca="1">AVERAGE(OFFSET($FI$3,0,0,'Données projet'!$E$16+1,1))-AVERAGE(OFFSET($H$3,0,0,'Données projet'!$E$16+1,1))</f>
        <v>380.73695370216979</v>
      </c>
      <c r="FK26" s="59">
        <f t="shared" si="48"/>
        <v>249.34467160415713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4.3352272727272725</v>
      </c>
      <c r="FZ26" s="12">
        <f>IF('Données projet'!$A$244&gt;35,FZ25+FY26-GH25,IF(A26&lt;'Données projet'!$A$244,$FW$205^A26,IF(A26='Données projet'!$A$244,'Données projet'!$B$244,FZ25+FY26-GH25)))</f>
        <v>99.710227272727224</v>
      </c>
      <c r="GA26" s="17">
        <f>FZ26*VLOOKUP('Données projet'!$B$17,Paramètres!$A$1:$I$89,3,0)*VLOOKUP('Données projet'!$B$17,Paramètres!$A$1:$I$89,5,0)</f>
        <v>96.439731818181784</v>
      </c>
      <c r="GB26" s="13">
        <f t="shared" si="49"/>
        <v>26.112031511821701</v>
      </c>
      <c r="GC26" s="20">
        <f t="shared" si="25"/>
        <v>213.4443211330894</v>
      </c>
      <c r="GD26" s="59">
        <f t="shared" si="26"/>
        <v>436.9295178426359</v>
      </c>
      <c r="GE26" s="59">
        <f ca="1">AVERAGE(OFFSET($GD$3,0,0,'Données projet'!$E$17+1,1))-AVERAGE(OFFSET($H$3,0,0,'Données projet'!$E$17+1,1))</f>
        <v>511.7458522930001</v>
      </c>
      <c r="GF26" s="59">
        <f t="shared" si="50"/>
        <v>332.37317679966122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12.6</v>
      </c>
      <c r="GU26" s="12">
        <f>IF('Données projet'!$A$270&gt;35,GU25+GT26-HC25,IF(A26&lt;'Données projet'!$A$270,$GR$205^A26,IF(A26='Données projet'!$A$270,'Données projet'!$B$270,GU25+GT26-HC25)))</f>
        <v>89.799999999999983</v>
      </c>
      <c r="GV26" s="17">
        <f>GU26*VLOOKUP('Données projet'!$B$18,Paramètres!$A$1:$I$89,3,0)*VLOOKUP('Données projet'!$B$18,Paramètres!$A$1:$I$89,5,0)</f>
        <v>78.449280000000002</v>
      </c>
      <c r="GW26" s="13">
        <f t="shared" si="51"/>
        <v>21.757594161482565</v>
      </c>
      <c r="GX26" s="20">
        <f t="shared" si="28"/>
        <v>174.52697249791549</v>
      </c>
      <c r="GY26" s="59">
        <f t="shared" si="29"/>
        <v>398.01216920746197</v>
      </c>
      <c r="GZ26" s="59">
        <f ca="1">AVERAGE(OFFSET($GY$3,0,0,'Données projet'!$E$18+1,1))-AVERAGE(OFFSET($H$3,0,0,'Données projet'!$E$18+1,1))</f>
        <v>348.77506423101278</v>
      </c>
      <c r="HA26" s="59">
        <f t="shared" si="52"/>
        <v>336.13747591329548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">
      <c r="A27" s="10">
        <f t="shared" si="31"/>
        <v>24</v>
      </c>
      <c r="B27" s="71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5">
        <f t="shared" si="1"/>
        <v>183.33333333333334</v>
      </c>
      <c r="I27" s="6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9.9228571428571435</v>
      </c>
      <c r="N27" s="13">
        <f>IF('Données projet'!$A$36&gt;35,N26+M27-V26,IF(A27&lt;'Données projet'!$A$36,$K$205^A27,IF(A27='Données projet'!$A$36,'Données projet'!$B$36,N26+M27-V26)))</f>
        <v>238.14857142857139</v>
      </c>
      <c r="O27" s="13">
        <f>N27*VLOOKUP('Données projet'!$B$9,Paramètres!$A$1:$I$89,3,0)*VLOOKUP('Données projet'!$B$9,Paramètres!$A$1:$I$89,5,0)</f>
        <v>111.45353142857141</v>
      </c>
      <c r="P27" s="13">
        <f t="shared" si="33"/>
        <v>29.673185828840097</v>
      </c>
      <c r="Q27" s="20">
        <f t="shared" si="2"/>
        <v>245.79569922332504</v>
      </c>
      <c r="R27" s="59">
        <f t="shared" si="0"/>
        <v>471.56640740694485</v>
      </c>
      <c r="S27" s="59">
        <f ca="1">AVERAGE(OFFSET($R$3,0,0,'Données projet'!$E$9+1,1))-AVERAGE(OFFSET($H$3,0,0,'Données projet'!$E$9+1,1))</f>
        <v>387.50901594883317</v>
      </c>
      <c r="T27" s="59">
        <f t="shared" si="34"/>
        <v>361.3623790401972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15.766000000000002</v>
      </c>
      <c r="AI27" s="13">
        <f>IF('Données projet'!$A$62&gt;35,AI26+AH27-AQ26,IF(A27&lt;'Données projet'!$A$62,$AF$205^A27,IF(A27='Données projet'!$A$62,'Données projet'!$B$62,AI26+AH27-AQ26)))</f>
        <v>108.19199999999999</v>
      </c>
      <c r="AJ27" s="13">
        <f>AI27*VLOOKUP('Données projet'!$B$10,Paramètres!$A$1:$I$89,3,0)*VLOOKUP('Données projet'!$B$10,Paramètres!$A$1:$I$89,5,0)</f>
        <v>64.698815999999994</v>
      </c>
      <c r="AK27" s="13">
        <f t="shared" si="35"/>
        <v>18.351013925322782</v>
      </c>
      <c r="AL27" s="20">
        <f t="shared" si="4"/>
        <v>144.64512045327049</v>
      </c>
      <c r="AM27" s="59">
        <f t="shared" si="5"/>
        <v>370.4158286368903</v>
      </c>
      <c r="AN27" s="59">
        <f ca="1">AVERAGE(OFFSET($AM$3,0,0,'Données projet'!$E$10+1,1))-AVERAGE(OFFSET($H$3,0,0,'Données projet'!$E$10+1,1))</f>
        <v>373.47758082856359</v>
      </c>
      <c r="AO27" s="59">
        <f t="shared" si="36"/>
        <v>277.24895424120166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3.5965366935122325</v>
      </c>
      <c r="AV27" s="21">
        <f>EXP(-LN(2)/25)*AV26+(1-EXP(-LN(2)/25))/(LN(2)/25)*Calculateur!AQ27*Calculateur!AS27*VLOOKUP('Données projet'!$B$10,Paramètres!$A$1:$I$89,3,0)*0.475*44/12</f>
        <v>7.933648768879805</v>
      </c>
      <c r="AW27" s="21">
        <f>EXP(-LN(2)/2)*AW26+(1-EXP(-LN(2)/2))/(LN(2)/2)*AQ27*AT27*VLOOKUP('Données projet'!$B$10,Paramètres!$A$1:$I$89,3,0)*0.475*44/12</f>
        <v>6.2099618417533415</v>
      </c>
      <c r="AX27" s="21">
        <f t="shared" si="6"/>
        <v>17.740147304145378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179.92</v>
      </c>
      <c r="BB27" s="12">
        <f>VLOOKUP(A27,'Données projet'!$A$87:$I$107,9,0)</f>
        <v>19.68</v>
      </c>
      <c r="BC27" s="12">
        <f t="array" ref="BC27">INDEX(BB:BB,MIN(IF(ISNUMBER(BB27:BB223),ROW(BB27:BB223),"")))</f>
        <v>19.68</v>
      </c>
      <c r="BD27" s="12">
        <f>IF('Données projet'!$A$88&gt;35,BD26+BC27-BL26,IF(A27&lt;'Données projet'!$A$88,$BA$205^A27,IF(A27='Données projet'!$A$88,'Données projet'!$B$88,BD26+BC27-BL26)))</f>
        <v>179.92000000000002</v>
      </c>
      <c r="BE27" s="13">
        <f>BD27*VLOOKUP('Données projet'!$B$11,Paramètres!$A$1:$I$89,3,0)*VLOOKUP('Données projet'!$B$11,Paramètres!$A$1:$I$89,5,0)</f>
        <v>107.59216000000002</v>
      </c>
      <c r="BF27" s="13">
        <f t="shared" si="37"/>
        <v>28.762950003220435</v>
      </c>
      <c r="BG27" s="20">
        <f t="shared" si="7"/>
        <v>237.48514992227561</v>
      </c>
      <c r="BH27" s="59">
        <f t="shared" si="8"/>
        <v>463.25585810589541</v>
      </c>
      <c r="BI27" s="59">
        <f ca="1">AVERAGE(OFFSET($BH$3,0,0,'Données projet'!$E$11+1,1))-AVERAGE(OFFSET($H$3,0,0,'Données projet'!$E$11+1,1))</f>
        <v>460.88622650237176</v>
      </c>
      <c r="BJ27" s="59">
        <f t="shared" si="38"/>
        <v>396.05161661639647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44.84</v>
      </c>
      <c r="BM27" s="16">
        <f>IF(ISNA(VLOOKUP(A27,'Données projet'!$A$87:$I$107,5,0)),0%,VLOOKUP(A27,'Données projet'!$A$87:$I$107,5,0)*VLOOKUP('Données projet'!$B$11,Paramètres!$A$1:$I$89,7,0))</f>
        <v>0.13500000000000001</v>
      </c>
      <c r="BN27" s="16">
        <f>IF(ISNA(VLOOKUP(A27,'Données projet'!$A$87:$I$107,6,0)),0%,VLOOKUP(A27,'Données projet'!$A$87:$I$107,6,0)*VLOOKUP('Données projet'!$B$11,Paramètres!$A$1:$I$89,7,0))</f>
        <v>0.17550000000000002</v>
      </c>
      <c r="BO27" s="16">
        <f>IF(ISNA(VLOOKUP(A27,'Données projet'!$A$87:$I$107,7,0)),0%,VLOOKUP(A27,'Données projet'!$A$87:$I$107,7,0))</f>
        <v>0.31</v>
      </c>
      <c r="BP27" s="21">
        <f>EXP(-LN(2)/35)*BP26+(1-EXP(-LN(2)/35))/(LN(2)/35)*BL27*BM27*VLOOKUP('Données projet'!$B$11,Paramètres!$A$1:$I$89,3,0)*0.475*44/12</f>
        <v>7.7960537551773861</v>
      </c>
      <c r="BQ27" s="21">
        <f>EXP(-LN(2)/25)*BQ26+(1-EXP(-LN(2)/25))/(LN(2)/25)*Calculateur!BL27*Calculateur!BN27*VLOOKUP('Données projet'!$B$11,Paramètres!$A$1:$I$89,3,0)*0.475*44/12</f>
        <v>12.667471043909515</v>
      </c>
      <c r="BR27" s="21">
        <f>EXP(-LN(2)/2)*BR26+(1-EXP(-LN(2)/2))/(LN(2)/2)*BL27*BO27*VLOOKUP('Données projet'!$B$11,Paramètres!$A$1:$I$89,3,0)*0.475*44/12</f>
        <v>11.351205853962911</v>
      </c>
      <c r="BS27" s="22">
        <f t="shared" si="9"/>
        <v>31.814730653049814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21.612857142857145</v>
      </c>
      <c r="BY27" s="12">
        <f>IF('Données projet'!$A$114&gt;35,BY26+BX27-CG26,IF(A27&lt;'Données projet'!$A$114,$BV$205^A27,IF(A27='Données projet'!$A$114,'Données projet'!$B$114,BY26+BX27-CG26)))</f>
        <v>195.40857142857141</v>
      </c>
      <c r="BZ27" s="13">
        <f>BY27*VLOOKUP('Données projet'!$B$12,Paramètres!$A$1:$I$89,3,0)*VLOOKUP('Données projet'!$B$12,Paramètres!$A$1:$I$89,5,0)</f>
        <v>88.910899999999984</v>
      </c>
      <c r="CA27" s="13">
        <f t="shared" si="39"/>
        <v>24.3023744702352</v>
      </c>
      <c r="CB27" s="20">
        <f t="shared" si="10"/>
        <v>197.17978636899292</v>
      </c>
      <c r="CC27" s="59">
        <f t="shared" si="11"/>
        <v>422.95049455261272</v>
      </c>
      <c r="CD27" s="59">
        <f ca="1">AVERAGE(OFFSET($CC$3,0,0,'Données projet'!$E$12+1,1))-AVERAGE(OFFSET($H$3,0,0,'Données projet'!$E$12+1,1))</f>
        <v>341.60063595566282</v>
      </c>
      <c r="CE27" s="59">
        <f t="shared" si="40"/>
        <v>317.05609766344219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4.0404329846731617</v>
      </c>
      <c r="CL27" s="21">
        <f>EXP(-LN(2)/25)*CL26+(1-EXP(-LN(2)/25))/(LN(2)/25)*Calculateur!CG27*Calculateur!CI27*VLOOKUP('Données projet'!$B$12,Paramètres!$A$1:$I$89,3,0)*0.475*44/12</f>
        <v>8.8425197688516324</v>
      </c>
      <c r="CM27" s="21">
        <f>EXP(-LN(2)/2)*CM26+(1-EXP(-LN(2)/2))/(LN(2)/2)*CG27*CJ27*VLOOKUP('Données projet'!$B$12,Paramètres!$A$1:$I$89,3,0)*0.475*44/12</f>
        <v>4.1168782856993982</v>
      </c>
      <c r="CN27" s="22">
        <f t="shared" si="12"/>
        <v>16.99983103922419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7.8199999999999985</v>
      </c>
      <c r="CT27" s="12">
        <f>IF('Données projet'!$A$140&gt;35,CT26+CS27-DB26,IF(A27&lt;'Données projet'!$A$140,$CQ$205^A27,IF(A27='Données projet'!$A$140,'Données projet'!$B$140,CT26+CS27-DB26)))</f>
        <v>83.84999999999998</v>
      </c>
      <c r="CU27" s="17">
        <f>CT27*VLOOKUP('Données projet'!$B$13,Paramètres!$A$1:$I$89,3,0)*VLOOKUP('Données projet'!$B$13,Paramètres!$A$1:$I$89,5,0)</f>
        <v>87.640019999999993</v>
      </c>
      <c r="CV27" s="13">
        <f t="shared" si="41"/>
        <v>23.995177427985023</v>
      </c>
      <c r="CW27" s="20">
        <f t="shared" si="13"/>
        <v>194.4313021870739</v>
      </c>
      <c r="CX27" s="59">
        <f t="shared" si="14"/>
        <v>420.2020103706937</v>
      </c>
      <c r="CY27" s="59">
        <f ca="1">AVERAGE(OFFSET($CX$3,0,0,'Données projet'!$E$13+1,1))-AVERAGE(OFFSET($H$3,0,0,'Données projet'!$E$13+1,1))</f>
        <v>287.73449456153207</v>
      </c>
      <c r="CZ27" s="59">
        <f t="shared" si="42"/>
        <v>296.74833899433281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4.3352272727272725</v>
      </c>
      <c r="DO27" s="12">
        <f>IF('Données projet'!$A$166&gt;35,DO26+DN27-DW26,IF(A27&lt;'Données projet'!$A$166,$DL$205^A27,IF(A27='Données projet'!$A$166,'Données projet'!$B$166,DO26+DN27-DW26)))</f>
        <v>104.04545454545449</v>
      </c>
      <c r="DP27" s="17">
        <f>DO27*VLOOKUP('Données projet'!$B$14,Paramètres!$A$1:$I$89,3,0)*VLOOKUP('Données projet'!$B$14,Paramètres!$A$1:$I$89,5,0)</f>
        <v>105.50209090909087</v>
      </c>
      <c r="DQ27" s="13">
        <f t="shared" si="43"/>
        <v>28.268680902382613</v>
      </c>
      <c r="DR27" s="20">
        <f t="shared" si="16"/>
        <v>232.98409423831629</v>
      </c>
      <c r="DS27" s="59">
        <f t="shared" si="17"/>
        <v>458.75480242193612</v>
      </c>
      <c r="DT27" s="59">
        <f ca="1">AVERAGE(OFFSET($DS$3,0,0,'Données projet'!$E$14+1,1))-AVERAGE(OFFSET($H$3,0,0,'Données projet'!$E$14+1,1))</f>
        <v>532.34688562681413</v>
      </c>
      <c r="DU27" s="59">
        <f t="shared" si="44"/>
        <v>345.42627129678556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6.668000000000001</v>
      </c>
      <c r="EJ27" s="12">
        <f>IF('Données projet'!$A$192&gt;35,EJ26+EI27-ER26,IF(A27&lt;'Données projet'!$A$192,$EG$205^A27,IF(A27='Données projet'!$A$192,'Données projet'!$B$192,EJ26+EI27-ER26)))</f>
        <v>130.512</v>
      </c>
      <c r="EK27" s="17">
        <f>EJ27*VLOOKUP('Données projet'!$B$15,Paramètres!$A$1:$I$89,3,0)*VLOOKUP('Données projet'!$B$15,Paramètres!$A$1:$I$89,5,0)</f>
        <v>118.08725759999999</v>
      </c>
      <c r="EL27" s="13">
        <f t="shared" si="45"/>
        <v>31.228467211697307</v>
      </c>
      <c r="EM27" s="20">
        <f t="shared" si="19"/>
        <v>260.05822071370613</v>
      </c>
      <c r="EN27" s="59">
        <f t="shared" si="20"/>
        <v>485.82892889732591</v>
      </c>
      <c r="EO27" s="59">
        <f ca="1">AVERAGE(OFFSET($EN$3,0,0,'Données projet'!$E$15+1,1))-AVERAGE(OFFSET($H$3,0,0,'Données projet'!$E$15+1,1))</f>
        <v>256.20286603823035</v>
      </c>
      <c r="EP27" s="59">
        <f t="shared" si="46"/>
        <v>364.83827155069434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4.3352272727272725</v>
      </c>
      <c r="FE27" s="12">
        <f>IF('Données projet'!$A$218&gt;35,FE26+FD27-FM26,IF(A27&lt;'Données projet'!$A$218,$FB$205^A27,IF(A27='Données projet'!$A$218,'Données projet'!$B$218,FE26+FD27-FM26)))</f>
        <v>104.04545454545449</v>
      </c>
      <c r="FF27" s="17">
        <f>FE27*VLOOKUP('Données projet'!$B$16,Paramètres!$A$1:$I$89,3,0)*VLOOKUP('Données projet'!$B$16,Paramètres!$A$1:$I$89,5,0)</f>
        <v>69.79369090909087</v>
      </c>
      <c r="FG27" s="13">
        <f t="shared" si="47"/>
        <v>19.622214955004196</v>
      </c>
      <c r="FH27" s="20">
        <f t="shared" si="22"/>
        <v>155.73270271329889</v>
      </c>
      <c r="FI27" s="59">
        <f t="shared" si="23"/>
        <v>381.50341089691869</v>
      </c>
      <c r="FJ27" s="59">
        <f ca="1">AVERAGE(OFFSET($FI$3,0,0,'Données projet'!$E$16+1,1))-AVERAGE(OFFSET($H$3,0,0,'Données projet'!$E$16+1,1))</f>
        <v>380.73695370216979</v>
      </c>
      <c r="FK27" s="59">
        <f t="shared" si="48"/>
        <v>249.34467160415713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4.3352272727272725</v>
      </c>
      <c r="FZ27" s="12">
        <f>IF('Données projet'!$A$244&gt;35,FZ26+FY27-GH26,IF(A27&lt;'Données projet'!$A$244,$FW$205^A27,IF(A27='Données projet'!$A$244,'Données projet'!$B$244,FZ26+FY27-GH26)))</f>
        <v>104.04545454545449</v>
      </c>
      <c r="GA27" s="17">
        <f>FZ27*VLOOKUP('Données projet'!$B$17,Paramètres!$A$1:$I$89,3,0)*VLOOKUP('Données projet'!$B$17,Paramètres!$A$1:$I$89,5,0)</f>
        <v>100.63276363636358</v>
      </c>
      <c r="GB27" s="13">
        <f t="shared" si="49"/>
        <v>27.11268937396548</v>
      </c>
      <c r="GC27" s="20">
        <f t="shared" si="25"/>
        <v>222.48999732632308</v>
      </c>
      <c r="GD27" s="59">
        <f t="shared" si="26"/>
        <v>448.26070550994291</v>
      </c>
      <c r="GE27" s="59">
        <f ca="1">AVERAGE(OFFSET($GD$3,0,0,'Données projet'!$E$17+1,1))-AVERAGE(OFFSET($H$3,0,0,'Données projet'!$E$17+1,1))</f>
        <v>511.7458522930001</v>
      </c>
      <c r="GF27" s="59">
        <f t="shared" si="50"/>
        <v>332.37317679966122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12.6</v>
      </c>
      <c r="GU27" s="12">
        <f>IF('Données projet'!$A$270&gt;35,GU26+GT27-HC26,IF(A27&lt;'Données projet'!$A$270,$GR$205^A27,IF(A27='Données projet'!$A$270,'Données projet'!$B$270,GU26+GT27-HC26)))</f>
        <v>102.39999999999998</v>
      </c>
      <c r="GV27" s="17">
        <f>GU27*VLOOKUP('Données projet'!$B$18,Paramètres!$A$1:$I$89,3,0)*VLOOKUP('Données projet'!$B$18,Paramètres!$A$1:$I$89,5,0)</f>
        <v>89.456639999999993</v>
      </c>
      <c r="GW27" s="13">
        <f t="shared" si="51"/>
        <v>24.434133496437113</v>
      </c>
      <c r="GX27" s="20">
        <f t="shared" si="28"/>
        <v>198.35976383962796</v>
      </c>
      <c r="GY27" s="59">
        <f t="shared" si="29"/>
        <v>424.13047202324776</v>
      </c>
      <c r="GZ27" s="59">
        <f ca="1">AVERAGE(OFFSET($GY$3,0,0,'Données projet'!$E$18+1,1))-AVERAGE(OFFSET($H$3,0,0,'Données projet'!$E$18+1,1))</f>
        <v>348.77506423101278</v>
      </c>
      <c r="HA27" s="59">
        <f t="shared" si="52"/>
        <v>336.13747591329548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">
      <c r="A28" s="10">
        <f t="shared" si="31"/>
        <v>25</v>
      </c>
      <c r="B28" s="71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5">
        <f t="shared" si="1"/>
        <v>183.33333333333334</v>
      </c>
      <c r="I28" s="6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9.9228571428571435</v>
      </c>
      <c r="N28" s="13">
        <f>IF('Données projet'!$A$36&gt;35,N27+M28-V27,IF(A28&lt;'Données projet'!$A$36,$K$205^A28,IF(A28='Données projet'!$A$36,'Données projet'!$B$36,N27+M28-V27)))</f>
        <v>248.07142857142853</v>
      </c>
      <c r="O28" s="13">
        <f>N28*VLOOKUP('Données projet'!$B$9,Paramètres!$A$1:$I$89,3,0)*VLOOKUP('Données projet'!$B$9,Paramètres!$A$1:$I$89,5,0)</f>
        <v>116.09742857142854</v>
      </c>
      <c r="P28" s="13">
        <f t="shared" si="33"/>
        <v>30.763044581165421</v>
      </c>
      <c r="Q28" s="20">
        <f t="shared" si="2"/>
        <v>255.78199074076778</v>
      </c>
      <c r="R28" s="59">
        <f t="shared" si="0"/>
        <v>483.81976470709992</v>
      </c>
      <c r="S28" s="59">
        <f ca="1">AVERAGE(OFFSET($R$3,0,0,'Données projet'!$E$9+1,1))-AVERAGE(OFFSET($H$3,0,0,'Données projet'!$E$9+1,1))</f>
        <v>387.50901594883317</v>
      </c>
      <c r="T28" s="59">
        <f t="shared" si="34"/>
        <v>361.3623790401972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15.766000000000002</v>
      </c>
      <c r="AI28" s="13">
        <f>IF('Données projet'!$A$62&gt;35,AI27+AH28-AQ27,IF(A28&lt;'Données projet'!$A$62,$AF$205^A28,IF(A28='Données projet'!$A$62,'Données projet'!$B$62,AI27+AH28-AQ27)))</f>
        <v>123.958</v>
      </c>
      <c r="AJ28" s="13">
        <f>AI28*VLOOKUP('Données projet'!$B$10,Paramètres!$A$1:$I$89,3,0)*VLOOKUP('Données projet'!$B$10,Paramètres!$A$1:$I$89,5,0)</f>
        <v>74.126884000000004</v>
      </c>
      <c r="AK28" s="13">
        <f t="shared" si="35"/>
        <v>20.694866668390631</v>
      </c>
      <c r="AL28" s="20">
        <f t="shared" si="4"/>
        <v>165.1478824141137</v>
      </c>
      <c r="AM28" s="59">
        <f t="shared" si="5"/>
        <v>393.18565638044583</v>
      </c>
      <c r="AN28" s="59">
        <f ca="1">AVERAGE(OFFSET($AM$3,0,0,'Données projet'!$E$10+1,1))-AVERAGE(OFFSET($H$3,0,0,'Données projet'!$E$10+1,1))</f>
        <v>373.47758082856359</v>
      </c>
      <c r="AO28" s="59">
        <f t="shared" si="36"/>
        <v>277.24895424120166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3.5260108026232335</v>
      </c>
      <c r="AV28" s="21">
        <f>EXP(-LN(2)/25)*AV27+(1-EXP(-LN(2)/25))/(LN(2)/25)*Calculateur!AQ28*Calculateur!AS28*VLOOKUP('Données projet'!$B$10,Paramètres!$A$1:$I$89,3,0)*0.475*44/12</f>
        <v>7.7167027260823309</v>
      </c>
      <c r="AW28" s="21">
        <f>EXP(-LN(2)/2)*AW27+(1-EXP(-LN(2)/2))/(LN(2)/2)*AQ28*AT28*VLOOKUP('Données projet'!$B$10,Paramètres!$A$1:$I$89,3,0)*0.475*44/12</f>
        <v>4.3911061292134903</v>
      </c>
      <c r="AX28" s="21">
        <f t="shared" si="6"/>
        <v>15.633819657919055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20.836666666666673</v>
      </c>
      <c r="BD28" s="12">
        <f>IF('Données projet'!$A$88&gt;35,BD27+BC28-BL27,IF(A28&lt;'Données projet'!$A$88,$BA$205^A28,IF(A28='Données projet'!$A$88,'Données projet'!$B$88,BD27+BC28-BL27)))</f>
        <v>155.91666666666669</v>
      </c>
      <c r="BE28" s="13">
        <f>BD28*VLOOKUP('Données projet'!$B$11,Paramètres!$A$1:$I$89,3,0)*VLOOKUP('Données projet'!$B$11,Paramètres!$A$1:$I$89,5,0)</f>
        <v>93.238166666666686</v>
      </c>
      <c r="BF28" s="13">
        <f t="shared" si="37"/>
        <v>25.344578949571218</v>
      </c>
      <c r="BG28" s="20">
        <f t="shared" si="7"/>
        <v>206.53161528161434</v>
      </c>
      <c r="BH28" s="59">
        <f t="shared" si="8"/>
        <v>434.56938924794645</v>
      </c>
      <c r="BI28" s="59">
        <f ca="1">AVERAGE(OFFSET($BH$3,0,0,'Données projet'!$E$11+1,1))-AVERAGE(OFFSET($H$3,0,0,'Données projet'!$E$11+1,1))</f>
        <v>460.88622650237176</v>
      </c>
      <c r="BJ28" s="59">
        <f t="shared" si="38"/>
        <v>396.05161661639647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7.6431778961616184</v>
      </c>
      <c r="BQ28" s="21">
        <f>EXP(-LN(2)/25)*BQ27+(1-EXP(-LN(2)/25))/(LN(2)/25)*Calculateur!BL28*Calculateur!BN28*VLOOKUP('Données projet'!$B$11,Paramètres!$A$1:$I$89,3,0)*0.475*44/12</f>
        <v>12.32107838206046</v>
      </c>
      <c r="BR28" s="21">
        <f>EXP(-LN(2)/2)*BR27+(1-EXP(-LN(2)/2))/(LN(2)/2)*BL28*BO28*VLOOKUP('Données projet'!$B$11,Paramètres!$A$1:$I$89,3,0)*0.475*44/12</f>
        <v>8.0265146339816109</v>
      </c>
      <c r="BS28" s="22">
        <f t="shared" si="9"/>
        <v>27.990770912203686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21.612857142857145</v>
      </c>
      <c r="BY28" s="12">
        <f>IF('Données projet'!$A$114&gt;35,BY27+BX28-CG27,IF(A28&lt;'Données projet'!$A$114,$BV$205^A28,IF(A28='Données projet'!$A$114,'Données projet'!$B$114,BY27+BX28-CG27)))</f>
        <v>217.02142857142854</v>
      </c>
      <c r="BZ28" s="13">
        <f>BY28*VLOOKUP('Données projet'!$B$12,Paramètres!$A$1:$I$89,3,0)*VLOOKUP('Données projet'!$B$12,Paramètres!$A$1:$I$89,5,0)</f>
        <v>98.744749999999982</v>
      </c>
      <c r="CA28" s="13">
        <f t="shared" si="39"/>
        <v>26.662732048275164</v>
      </c>
      <c r="CB28" s="20">
        <f t="shared" si="10"/>
        <v>218.41803123407919</v>
      </c>
      <c r="CC28" s="59">
        <f t="shared" si="11"/>
        <v>446.45580520041131</v>
      </c>
      <c r="CD28" s="59">
        <f ca="1">AVERAGE(OFFSET($CC$3,0,0,'Données projet'!$E$12+1,1))-AVERAGE(OFFSET($H$3,0,0,'Données projet'!$E$12+1,1))</f>
        <v>341.60063595566282</v>
      </c>
      <c r="CE28" s="59">
        <f t="shared" si="40"/>
        <v>317.05609766344219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3.9612025582645005</v>
      </c>
      <c r="CL28" s="21">
        <f>EXP(-LN(2)/25)*CL27+(1-EXP(-LN(2)/25))/(LN(2)/25)*Calculateur!CG28*Calculateur!CI28*VLOOKUP('Données projet'!$B$12,Paramètres!$A$1:$I$89,3,0)*0.475*44/12</f>
        <v>8.600720600764479</v>
      </c>
      <c r="CM28" s="21">
        <f>EXP(-LN(2)/2)*CM27+(1-EXP(-LN(2)/2))/(LN(2)/2)*CG28*CJ28*VLOOKUP('Données projet'!$B$12,Paramètres!$A$1:$I$89,3,0)*0.475*44/12</f>
        <v>2.9110725531376933</v>
      </c>
      <c r="CN28" s="22">
        <f t="shared" si="12"/>
        <v>15.472995712166671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91.67</v>
      </c>
      <c r="CR28" s="12">
        <f>VLOOKUP(A28,'Données projet'!$A$139:$I$159,9,0)</f>
        <v>7.8199999999999985</v>
      </c>
      <c r="CS28" s="12">
        <f t="array" ref="CS28">INDEX(CR:CR,MIN(IF(ISNUMBER(CR28:CR224),ROW(CR28:CR224),"")))</f>
        <v>7.8199999999999985</v>
      </c>
      <c r="CT28" s="12">
        <f>IF('Données projet'!$A$140&gt;35,CT27+CS28-DB27,IF(A28&lt;'Données projet'!$A$140,$CQ$205^A28,IF(A28='Données projet'!$A$140,'Données projet'!$B$140,CT27+CS28-DB27)))</f>
        <v>91.669999999999973</v>
      </c>
      <c r="CU28" s="17">
        <f>CT28*VLOOKUP('Données projet'!$B$13,Paramètres!$A$1:$I$89,3,0)*VLOOKUP('Données projet'!$B$13,Paramètres!$A$1:$I$89,5,0)</f>
        <v>95.813483999999988</v>
      </c>
      <c r="CV28" s="13">
        <f t="shared" si="41"/>
        <v>25.962148952379636</v>
      </c>
      <c r="CW28" s="20">
        <f t="shared" si="13"/>
        <v>212.09256072539449</v>
      </c>
      <c r="CX28" s="59">
        <f t="shared" si="14"/>
        <v>440.1303346917266</v>
      </c>
      <c r="CY28" s="59">
        <f ca="1">AVERAGE(OFFSET($CX$3,0,0,'Données projet'!$E$13+1,1))-AVERAGE(OFFSET($H$3,0,0,'Données projet'!$E$13+1,1))</f>
        <v>287.73449456153207</v>
      </c>
      <c r="CZ28" s="59">
        <f t="shared" si="42"/>
        <v>296.74833899433281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23.72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4.3352272727272725</v>
      </c>
      <c r="DO28" s="12">
        <f>IF('Données projet'!$A$166&gt;35,DO27+DN28-DW27,IF(A28&lt;'Données projet'!$A$166,$DL$205^A28,IF(A28='Données projet'!$A$166,'Données projet'!$B$166,DO27+DN28-DW27)))</f>
        <v>108.38068181818176</v>
      </c>
      <c r="DP28" s="17">
        <f>DO28*VLOOKUP('Données projet'!$B$14,Paramètres!$A$1:$I$89,3,0)*VLOOKUP('Données projet'!$B$14,Paramètres!$A$1:$I$89,5,0)</f>
        <v>109.89801136363631</v>
      </c>
      <c r="DQ28" s="13">
        <f t="shared" si="43"/>
        <v>29.30695395724986</v>
      </c>
      <c r="DR28" s="20">
        <f t="shared" si="16"/>
        <v>242.44864793387674</v>
      </c>
      <c r="DS28" s="59">
        <f t="shared" si="17"/>
        <v>470.48642190020882</v>
      </c>
      <c r="DT28" s="59">
        <f ca="1">AVERAGE(OFFSET($DS$3,0,0,'Données projet'!$E$14+1,1))-AVERAGE(OFFSET($H$3,0,0,'Données projet'!$E$14+1,1))</f>
        <v>532.34688562681413</v>
      </c>
      <c r="DU28" s="59">
        <f t="shared" si="44"/>
        <v>345.42627129678556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137.18</v>
      </c>
      <c r="EH28" s="12">
        <f>VLOOKUP(A28,'Données projet'!$A$191:$I$211,9,0)</f>
        <v>6.668000000000001</v>
      </c>
      <c r="EI28" s="12">
        <f t="array" ref="EI28">INDEX(EH:EH,MIN(IF(ISNUMBER(EH28:EH224),ROW(EH28:EH224),"")))</f>
        <v>6.668000000000001</v>
      </c>
      <c r="EJ28" s="12">
        <f>IF('Données projet'!$A$192&gt;35,EJ27+EI28-ER27,IF(A28&lt;'Données projet'!$A$192,$EG$205^A28,IF(A28='Données projet'!$A$192,'Données projet'!$B$192,EJ27+EI28-ER27)))</f>
        <v>137.18</v>
      </c>
      <c r="EK28" s="17">
        <f>EJ28*VLOOKUP('Données projet'!$B$15,Paramètres!$A$1:$I$89,3,0)*VLOOKUP('Données projet'!$B$15,Paramètres!$A$1:$I$89,5,0)</f>
        <v>124.120464</v>
      </c>
      <c r="EL28" s="13">
        <f t="shared" si="45"/>
        <v>32.634133413141384</v>
      </c>
      <c r="EM28" s="20">
        <f t="shared" si="19"/>
        <v>273.01425716122117</v>
      </c>
      <c r="EN28" s="59">
        <f t="shared" si="20"/>
        <v>501.05203112755328</v>
      </c>
      <c r="EO28" s="59">
        <f ca="1">AVERAGE(OFFSET($EN$3,0,0,'Données projet'!$E$15+1,1))-AVERAGE(OFFSET($H$3,0,0,'Données projet'!$E$15+1,1))</f>
        <v>256.20286603823035</v>
      </c>
      <c r="EP28" s="59">
        <f t="shared" si="46"/>
        <v>364.83827155069434</v>
      </c>
      <c r="EQ28" s="15">
        <f>IF(ISNA(VLOOKUP(A28,'Données projet'!$A$191:$I$211,3,0)),0,VLOOKUP(A28,'Données projet'!$A$191:$I$211,3,0))</f>
        <v>5</v>
      </c>
      <c r="ER28" s="15">
        <f>IF(ISNA(VLOOKUP(A28,'Données projet'!$A$191:$I$211,4,0)),0,VLOOKUP(A28,'Données projet'!$A$191:$I$211,4,0))</f>
        <v>8.9700000000000006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4.3352272727272725</v>
      </c>
      <c r="FE28" s="12">
        <f>IF('Données projet'!$A$218&gt;35,FE27+FD28-FM27,IF(A28&lt;'Données projet'!$A$218,$FB$205^A28,IF(A28='Données projet'!$A$218,'Données projet'!$B$218,FE27+FD28-FM27)))</f>
        <v>108.38068181818176</v>
      </c>
      <c r="FF28" s="17">
        <f>FE28*VLOOKUP('Données projet'!$B$16,Paramètres!$A$1:$I$89,3,0)*VLOOKUP('Données projet'!$B$16,Paramètres!$A$1:$I$89,5,0)</f>
        <v>72.701761363636322</v>
      </c>
      <c r="FG28" s="13">
        <f t="shared" si="47"/>
        <v>20.342914202873128</v>
      </c>
      <c r="FH28" s="20">
        <f t="shared" si="22"/>
        <v>162.05280994500396</v>
      </c>
      <c r="FI28" s="59">
        <f t="shared" si="23"/>
        <v>390.09058391133607</v>
      </c>
      <c r="FJ28" s="59">
        <f ca="1">AVERAGE(OFFSET($FI$3,0,0,'Données projet'!$E$16+1,1))-AVERAGE(OFFSET($H$3,0,0,'Données projet'!$E$16+1,1))</f>
        <v>380.73695370216979</v>
      </c>
      <c r="FK28" s="59">
        <f t="shared" si="48"/>
        <v>249.34467160415713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4.3352272727272725</v>
      </c>
      <c r="FZ28" s="12">
        <f>IF('Données projet'!$A$244&gt;35,FZ27+FY28-GH27,IF(A28&lt;'Données projet'!$A$244,$FW$205^A28,IF(A28='Données projet'!$A$244,'Données projet'!$B$244,FZ27+FY28-GH27)))</f>
        <v>108.38068181818176</v>
      </c>
      <c r="GA28" s="17">
        <f>FZ28*VLOOKUP('Données projet'!$B$17,Paramètres!$A$1:$I$89,3,0)*VLOOKUP('Données projet'!$B$17,Paramètres!$A$1:$I$89,5,0)</f>
        <v>104.8257954545454</v>
      </c>
      <c r="GB28" s="13">
        <f t="shared" si="49"/>
        <v>28.108504315567558</v>
      </c>
      <c r="GC28" s="20">
        <f t="shared" si="25"/>
        <v>231.52723876628002</v>
      </c>
      <c r="GD28" s="59">
        <f t="shared" si="26"/>
        <v>459.5650127326121</v>
      </c>
      <c r="GE28" s="59">
        <f ca="1">AVERAGE(OFFSET($GD$3,0,0,'Données projet'!$E$17+1,1))-AVERAGE(OFFSET($H$3,0,0,'Données projet'!$E$17+1,1))</f>
        <v>511.7458522930001</v>
      </c>
      <c r="GF28" s="59">
        <f t="shared" si="50"/>
        <v>332.37317679966122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115</v>
      </c>
      <c r="GS28" s="12">
        <f>VLOOKUP(A28,'Données projet'!$A$269:$I$289,9,0)</f>
        <v>12.6</v>
      </c>
      <c r="GT28" s="12">
        <f t="array" ref="GT28">INDEX(GS:GS,MIN(IF(ISNUMBER(GS28:GS224),ROW(GS28:GS224),"")))</f>
        <v>12.6</v>
      </c>
      <c r="GU28" s="12">
        <f>IF('Données projet'!$A$270&gt;35,GU27+GT28-HC27,IF(A28&lt;'Données projet'!$A$270,$GR$205^A28,IF(A28='Données projet'!$A$270,'Données projet'!$B$270,GU27+GT28-HC27)))</f>
        <v>114.99999999999997</v>
      </c>
      <c r="GV28" s="17">
        <f>GU28*VLOOKUP('Données projet'!$B$18,Paramètres!$A$1:$I$89,3,0)*VLOOKUP('Données projet'!$B$18,Paramètres!$A$1:$I$89,5,0)</f>
        <v>100.46399999999998</v>
      </c>
      <c r="GW28" s="13">
        <f t="shared" si="51"/>
        <v>27.072509349827456</v>
      </c>
      <c r="GX28" s="20">
        <f t="shared" si="28"/>
        <v>222.12608711761615</v>
      </c>
      <c r="GY28" s="59">
        <f t="shared" si="29"/>
        <v>450.16386108394829</v>
      </c>
      <c r="GZ28" s="59">
        <f ca="1">AVERAGE(OFFSET($GY$3,0,0,'Données projet'!$E$18+1,1))-AVERAGE(OFFSET($H$3,0,0,'Données projet'!$E$18+1,1))</f>
        <v>348.77506423101278</v>
      </c>
      <c r="HA28" s="59">
        <f t="shared" si="52"/>
        <v>336.13747591329548</v>
      </c>
      <c r="HB28" s="15">
        <f>IF(ISNA(VLOOKUP(A28,'Données projet'!$A$269:$I$289,3,0)),0,VLOOKUP(A28,'Données projet'!$A$269:$I$289,3,0))</f>
        <v>3</v>
      </c>
      <c r="HC28" s="15">
        <f>IF(ISNA(VLOOKUP(A28,'Données projet'!$A$269:$I$289,4,0)),0,VLOOKUP(A28,'Données projet'!$A$269:$I$289,4,0))</f>
        <v>28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">
      <c r="A29" s="10">
        <f t="shared" si="31"/>
        <v>26</v>
      </c>
      <c r="B29" s="71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5">
        <f t="shared" si="1"/>
        <v>183.33333333333334</v>
      </c>
      <c r="I29" s="6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9.9228571428571435</v>
      </c>
      <c r="N29" s="13">
        <f>IF('Données projet'!$A$36&gt;35,N28+M29-V28,IF(A29&lt;'Données projet'!$A$36,$K$205^A29,IF(A29='Données projet'!$A$36,'Données projet'!$B$36,N28+M29-V28)))</f>
        <v>257.9942857142857</v>
      </c>
      <c r="O29" s="13">
        <f>N29*VLOOKUP('Données projet'!$B$9,Paramètres!$A$1:$I$89,3,0)*VLOOKUP('Données projet'!$B$9,Paramètres!$A$1:$I$89,5,0)</f>
        <v>120.74132571428569</v>
      </c>
      <c r="P29" s="13">
        <f t="shared" si="33"/>
        <v>31.847839319762979</v>
      </c>
      <c r="Q29" s="20">
        <f t="shared" si="2"/>
        <v>265.75946243430144</v>
      </c>
      <c r="R29" s="59">
        <f t="shared" si="0"/>
        <v>496.04617648349165</v>
      </c>
      <c r="S29" s="59">
        <f ca="1">AVERAGE(OFFSET($R$3,0,0,'Données projet'!$E$9+1,1))-AVERAGE(OFFSET($H$3,0,0,'Données projet'!$E$9+1,1))</f>
        <v>387.50901594883317</v>
      </c>
      <c r="T29" s="59">
        <f t="shared" si="34"/>
        <v>361.3623790401972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15.766000000000002</v>
      </c>
      <c r="AI29" s="13">
        <f>IF('Données projet'!$A$62&gt;35,AI28+AH29-AQ28,IF(A29&lt;'Données projet'!$A$62,$AF$205^A29,IF(A29='Données projet'!$A$62,'Données projet'!$B$62,AI28+AH29-AQ28)))</f>
        <v>139.72399999999999</v>
      </c>
      <c r="AJ29" s="13">
        <f>AI29*VLOOKUP('Données projet'!$B$10,Paramètres!$A$1:$I$89,3,0)*VLOOKUP('Données projet'!$B$10,Paramètres!$A$1:$I$89,5,0)</f>
        <v>83.554952</v>
      </c>
      <c r="AK29" s="13">
        <f t="shared" si="35"/>
        <v>23.004176736574664</v>
      </c>
      <c r="AL29" s="20">
        <f t="shared" si="4"/>
        <v>185.59048254953419</v>
      </c>
      <c r="AM29" s="59">
        <f t="shared" si="5"/>
        <v>415.87719659872437</v>
      </c>
      <c r="AN29" s="59">
        <f ca="1">AVERAGE(OFFSET($AM$3,0,0,'Données projet'!$E$10+1,1))-AVERAGE(OFFSET($H$3,0,0,'Données projet'!$E$10+1,1))</f>
        <v>373.47758082856359</v>
      </c>
      <c r="AO29" s="59">
        <f t="shared" si="36"/>
        <v>277.24895424120166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3.456867881438022</v>
      </c>
      <c r="AV29" s="21">
        <f>EXP(-LN(2)/25)*AV28+(1-EXP(-LN(2)/25))/(LN(2)/25)*Calculateur!AQ29*Calculateur!AS29*VLOOKUP('Données projet'!$B$10,Paramètres!$A$1:$I$89,3,0)*0.475*44/12</f>
        <v>7.5056890842338495</v>
      </c>
      <c r="AW29" s="21">
        <f>EXP(-LN(2)/2)*AW28+(1-EXP(-LN(2)/2))/(LN(2)/2)*AQ29*AT29*VLOOKUP('Données projet'!$B$10,Paramètres!$A$1:$I$89,3,0)*0.475*44/12</f>
        <v>3.1049809208766712</v>
      </c>
      <c r="AX29" s="21">
        <f t="shared" si="6"/>
        <v>14.067537886548543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20.836666666666673</v>
      </c>
      <c r="BD29" s="12">
        <f>IF('Données projet'!$A$88&gt;35,BD28+BC29-BL28,IF(A29&lt;'Données projet'!$A$88,$BA$205^A29,IF(A29='Données projet'!$A$88,'Données projet'!$B$88,BD28+BC29-BL28)))</f>
        <v>176.75333333333336</v>
      </c>
      <c r="BE29" s="13">
        <f>BD29*VLOOKUP('Données projet'!$B$11,Paramètres!$A$1:$I$89,3,0)*VLOOKUP('Données projet'!$B$11,Paramètres!$A$1:$I$89,5,0)</f>
        <v>105.69849333333336</v>
      </c>
      <c r="BF29" s="13">
        <f t="shared" si="37"/>
        <v>28.315175233519099</v>
      </c>
      <c r="BG29" s="20">
        <f t="shared" si="7"/>
        <v>233.40713942060134</v>
      </c>
      <c r="BH29" s="59">
        <f t="shared" si="8"/>
        <v>463.69385346979152</v>
      </c>
      <c r="BI29" s="59">
        <f ca="1">AVERAGE(OFFSET($BH$3,0,0,'Données projet'!$E$11+1,1))-AVERAGE(OFFSET($H$3,0,0,'Données projet'!$E$11+1,1))</f>
        <v>460.88622650237176</v>
      </c>
      <c r="BJ29" s="59">
        <f t="shared" si="38"/>
        <v>396.05161661639647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7.4932998394960837</v>
      </c>
      <c r="BQ29" s="21">
        <f>EXP(-LN(2)/25)*BQ28+(1-EXP(-LN(2)/25))/(LN(2)/25)*Calculateur!BL29*Calculateur!BN29*VLOOKUP('Données projet'!$B$11,Paramètres!$A$1:$I$89,3,0)*0.475*44/12</f>
        <v>11.984157845765665</v>
      </c>
      <c r="BR29" s="21">
        <f>EXP(-LN(2)/2)*BR28+(1-EXP(-LN(2)/2))/(LN(2)/2)*BL29*BO29*VLOOKUP('Données projet'!$B$11,Paramètres!$A$1:$I$89,3,0)*0.475*44/12</f>
        <v>5.6756029269814565</v>
      </c>
      <c r="BS29" s="22">
        <f t="shared" si="9"/>
        <v>25.153060612243202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21.612857142857145</v>
      </c>
      <c r="BY29" s="12">
        <f>IF('Données projet'!$A$114&gt;35,BY28+BX29-CG28,IF(A29&lt;'Données projet'!$A$114,$BV$205^A29,IF(A29='Données projet'!$A$114,'Données projet'!$B$114,BY28+BX29-CG28)))</f>
        <v>238.63428571428568</v>
      </c>
      <c r="BZ29" s="13">
        <f>BY29*VLOOKUP('Données projet'!$B$12,Paramètres!$A$1:$I$89,3,0)*VLOOKUP('Données projet'!$B$12,Paramètres!$A$1:$I$89,5,0)</f>
        <v>108.57859999999998</v>
      </c>
      <c r="CA29" s="13">
        <f t="shared" si="39"/>
        <v>28.995838570451159</v>
      </c>
      <c r="CB29" s="20">
        <f t="shared" si="10"/>
        <v>239.60881384353573</v>
      </c>
      <c r="CC29" s="59">
        <f t="shared" si="11"/>
        <v>469.89552789272591</v>
      </c>
      <c r="CD29" s="59">
        <f ca="1">AVERAGE(OFFSET($CC$3,0,0,'Données projet'!$E$12+1,1))-AVERAGE(OFFSET($H$3,0,0,'Données projet'!$E$12+1,1))</f>
        <v>341.60063595566282</v>
      </c>
      <c r="CE29" s="59">
        <f t="shared" si="40"/>
        <v>317.05609766344219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3.8835257921919246</v>
      </c>
      <c r="CL29" s="21">
        <f>EXP(-LN(2)/25)*CL28+(1-EXP(-LN(2)/25))/(LN(2)/25)*Calculateur!CG29*Calculateur!CI29*VLOOKUP('Données projet'!$B$12,Paramètres!$A$1:$I$89,3,0)*0.475*44/12</f>
        <v>8.3655334436443347</v>
      </c>
      <c r="CM29" s="21">
        <f>EXP(-LN(2)/2)*CM28+(1-EXP(-LN(2)/2))/(LN(2)/2)*CG29*CJ29*VLOOKUP('Données projet'!$B$12,Paramètres!$A$1:$I$89,3,0)*0.475*44/12</f>
        <v>2.0584391428496991</v>
      </c>
      <c r="CN29" s="22">
        <f t="shared" si="12"/>
        <v>14.30749837868596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7.3079999999999981</v>
      </c>
      <c r="CT29" s="12">
        <f>IF('Données projet'!$A$140&gt;35,CT28+CS29-DB28,IF(A29&lt;'Données projet'!$A$140,$CQ$205^A29,IF(A29='Données projet'!$A$140,'Données projet'!$B$140,CT28+CS29-DB28)))</f>
        <v>75.257999999999967</v>
      </c>
      <c r="CU29" s="17">
        <f>CT29*VLOOKUP('Données projet'!$B$13,Paramètres!$A$1:$I$89,3,0)*VLOOKUP('Données projet'!$B$13,Paramètres!$A$1:$I$89,5,0)</f>
        <v>78.659661599999964</v>
      </c>
      <c r="CV29" s="13">
        <f t="shared" si="41"/>
        <v>21.809142853374002</v>
      </c>
      <c r="CW29" s="20">
        <f t="shared" si="13"/>
        <v>174.983167756293</v>
      </c>
      <c r="CX29" s="59">
        <f t="shared" si="14"/>
        <v>405.26988180548318</v>
      </c>
      <c r="CY29" s="59">
        <f ca="1">AVERAGE(OFFSET($CX$3,0,0,'Données projet'!$E$13+1,1))-AVERAGE(OFFSET($H$3,0,0,'Données projet'!$E$13+1,1))</f>
        <v>287.73449456153207</v>
      </c>
      <c r="CZ29" s="59">
        <f t="shared" si="42"/>
        <v>296.74833899433281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4.3352272727272725</v>
      </c>
      <c r="DO29" s="12">
        <f>IF('Données projet'!$A$166&gt;35,DO28+DN29-DW28,IF(A29&lt;'Données projet'!$A$166,$DL$205^A29,IF(A29='Données projet'!$A$166,'Données projet'!$B$166,DO28+DN29-DW28)))</f>
        <v>112.71590909090902</v>
      </c>
      <c r="DP29" s="17">
        <f>DO29*VLOOKUP('Données projet'!$B$14,Paramètres!$A$1:$I$89,3,0)*VLOOKUP('Données projet'!$B$14,Paramètres!$A$1:$I$89,5,0)</f>
        <v>114.29393181818176</v>
      </c>
      <c r="DQ29" s="13">
        <f t="shared" si="43"/>
        <v>30.340402690624284</v>
      </c>
      <c r="DR29" s="20">
        <f t="shared" si="16"/>
        <v>251.9047992695038</v>
      </c>
      <c r="DS29" s="59">
        <f t="shared" si="17"/>
        <v>482.19151331869398</v>
      </c>
      <c r="DT29" s="59">
        <f ca="1">AVERAGE(OFFSET($DS$3,0,0,'Données projet'!$E$14+1,1))-AVERAGE(OFFSET($H$3,0,0,'Données projet'!$E$14+1,1))</f>
        <v>532.34688562681413</v>
      </c>
      <c r="DU29" s="59">
        <f t="shared" si="44"/>
        <v>345.42627129678556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5.5120000000000005</v>
      </c>
      <c r="EJ29" s="12">
        <f>IF('Données projet'!$A$192&gt;35,EJ28+EI29-ER28,IF(A29&lt;'Données projet'!$A$192,$EG$205^A29,IF(A29='Données projet'!$A$192,'Données projet'!$B$192,EJ28+EI29-ER28)))</f>
        <v>133.72200000000001</v>
      </c>
      <c r="EK29" s="17">
        <f>EJ29*VLOOKUP('Données projet'!$B$15,Paramètres!$A$1:$I$89,3,0)*VLOOKUP('Données projet'!$B$15,Paramètres!$A$1:$I$89,5,0)</f>
        <v>120.99166560000002</v>
      </c>
      <c r="EL29" s="13">
        <f t="shared" si="45"/>
        <v>31.906178110334597</v>
      </c>
      <c r="EM29" s="20">
        <f t="shared" si="19"/>
        <v>266.29707779549943</v>
      </c>
      <c r="EN29" s="59">
        <f t="shared" si="20"/>
        <v>496.58379184468959</v>
      </c>
      <c r="EO29" s="59">
        <f ca="1">AVERAGE(OFFSET($EN$3,0,0,'Données projet'!$E$15+1,1))-AVERAGE(OFFSET($H$3,0,0,'Données projet'!$E$15+1,1))</f>
        <v>256.20286603823035</v>
      </c>
      <c r="EP29" s="59">
        <f t="shared" si="46"/>
        <v>364.83827155069434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4.3352272727272725</v>
      </c>
      <c r="FE29" s="12">
        <f>IF('Données projet'!$A$218&gt;35,FE28+FD29-FM28,IF(A29&lt;'Données projet'!$A$218,$FB$205^A29,IF(A29='Données projet'!$A$218,'Données projet'!$B$218,FE28+FD29-FM28)))</f>
        <v>112.71590909090902</v>
      </c>
      <c r="FF29" s="17">
        <f>FE29*VLOOKUP('Données projet'!$B$16,Paramètres!$A$1:$I$89,3,0)*VLOOKUP('Données projet'!$B$16,Paramètres!$A$1:$I$89,5,0)</f>
        <v>75.609831818181775</v>
      </c>
      <c r="FG29" s="13">
        <f t="shared" si="47"/>
        <v>21.060264731582816</v>
      </c>
      <c r="FH29" s="20">
        <f t="shared" si="22"/>
        <v>168.3670848241733</v>
      </c>
      <c r="FI29" s="59">
        <f t="shared" si="23"/>
        <v>398.65379887336348</v>
      </c>
      <c r="FJ29" s="59">
        <f ca="1">AVERAGE(OFFSET($FI$3,0,0,'Données projet'!$E$16+1,1))-AVERAGE(OFFSET($H$3,0,0,'Données projet'!$E$16+1,1))</f>
        <v>380.73695370216979</v>
      </c>
      <c r="FK29" s="59">
        <f t="shared" si="48"/>
        <v>249.34467160415713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4.3352272727272725</v>
      </c>
      <c r="FZ29" s="12">
        <f>IF('Données projet'!$A$244&gt;35,FZ28+FY29-GH28,IF(A29&lt;'Données projet'!$A$244,$FW$205^A29,IF(A29='Données projet'!$A$244,'Données projet'!$B$244,FZ28+FY29-GH28)))</f>
        <v>112.71590909090902</v>
      </c>
      <c r="GA29" s="17">
        <f>FZ29*VLOOKUP('Données projet'!$B$17,Paramètres!$A$1:$I$89,3,0)*VLOOKUP('Données projet'!$B$17,Paramètres!$A$1:$I$89,5,0)</f>
        <v>109.01882727272722</v>
      </c>
      <c r="GB29" s="13">
        <f t="shared" si="49"/>
        <v>29.099692216717077</v>
      </c>
      <c r="GC29" s="20">
        <f t="shared" si="25"/>
        <v>240.5564214441155</v>
      </c>
      <c r="GD29" s="59">
        <f t="shared" si="26"/>
        <v>470.84313549330568</v>
      </c>
      <c r="GE29" s="59">
        <f ca="1">AVERAGE(OFFSET($GD$3,0,0,'Données projet'!$E$17+1,1))-AVERAGE(OFFSET($H$3,0,0,'Données projet'!$E$17+1,1))</f>
        <v>511.7458522930001</v>
      </c>
      <c r="GF29" s="59">
        <f t="shared" si="50"/>
        <v>332.37317679966122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11.8</v>
      </c>
      <c r="GU29" s="12">
        <f>IF('Données projet'!$A$270&gt;35,GU28+GT29-HC28,IF(A29&lt;'Données projet'!$A$270,$GR$205^A29,IF(A29='Données projet'!$A$270,'Données projet'!$B$270,GU28+GT29-HC28)))</f>
        <v>98.799999999999969</v>
      </c>
      <c r="GV29" s="17">
        <f>GU29*VLOOKUP('Données projet'!$B$18,Paramètres!$A$1:$I$89,3,0)*VLOOKUP('Données projet'!$B$18,Paramètres!$A$1:$I$89,5,0)</f>
        <v>86.311679999999981</v>
      </c>
      <c r="GW29" s="13">
        <f t="shared" si="51"/>
        <v>23.673536308765939</v>
      </c>
      <c r="GX29" s="20">
        <f t="shared" si="28"/>
        <v>191.55758507110065</v>
      </c>
      <c r="GY29" s="59">
        <f t="shared" si="29"/>
        <v>421.84429912029083</v>
      </c>
      <c r="GZ29" s="59">
        <f ca="1">AVERAGE(OFFSET($GY$3,0,0,'Données projet'!$E$18+1,1))-AVERAGE(OFFSET($H$3,0,0,'Données projet'!$E$18+1,1))</f>
        <v>348.77506423101278</v>
      </c>
      <c r="HA29" s="59">
        <f t="shared" si="52"/>
        <v>336.13747591329548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">
      <c r="A30" s="10">
        <f t="shared" si="31"/>
        <v>27</v>
      </c>
      <c r="B30" s="71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5">
        <f t="shared" si="1"/>
        <v>183.33333333333334</v>
      </c>
      <c r="I30" s="6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9.9228571428571435</v>
      </c>
      <c r="N30" s="13">
        <f>IF('Données projet'!$A$36&gt;35,N29+M30-V29,IF(A30&lt;'Données projet'!$A$36,$K$205^A30,IF(A30='Données projet'!$A$36,'Données projet'!$B$36,N29+M30-V29)))</f>
        <v>267.91714285714284</v>
      </c>
      <c r="O30" s="13">
        <f>N30*VLOOKUP('Données projet'!$B$9,Paramètres!$A$1:$I$89,3,0)*VLOOKUP('Données projet'!$B$9,Paramètres!$A$1:$I$89,5,0)</f>
        <v>125.38522285714285</v>
      </c>
      <c r="P30" s="13">
        <f t="shared" si="33"/>
        <v>32.927787108559478</v>
      </c>
      <c r="Q30" s="20">
        <f t="shared" si="2"/>
        <v>275.72849235693155</v>
      </c>
      <c r="R30" s="59">
        <f t="shared" si="0"/>
        <v>508.24633522949506</v>
      </c>
      <c r="S30" s="59">
        <f ca="1">AVERAGE(OFFSET($R$3,0,0,'Données projet'!$E$9+1,1))-AVERAGE(OFFSET($H$3,0,0,'Données projet'!$E$9+1,1))</f>
        <v>387.50901594883317</v>
      </c>
      <c r="T30" s="59">
        <f t="shared" si="34"/>
        <v>361.3623790401972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155.49</v>
      </c>
      <c r="AG30" s="12">
        <f>VLOOKUP(A30,'Données projet'!$A$61:$I$81,9,0)</f>
        <v>15.766000000000002</v>
      </c>
      <c r="AH30" s="12">
        <f t="array" ref="AH30">INDEX(AG:AG,MIN(IF(ISNUMBER(AG30:AG226),ROW(AG30:AG226),"")))</f>
        <v>15.766000000000002</v>
      </c>
      <c r="AI30" s="13">
        <f>IF('Données projet'!$A$62&gt;35,AI29+AH30-AQ29,IF(A30&lt;'Données projet'!$A$62,$AF$205^A30,IF(A30='Données projet'!$A$62,'Données projet'!$B$62,AI29+AH30-AQ29)))</f>
        <v>155.48999999999998</v>
      </c>
      <c r="AJ30" s="13">
        <f>AI30*VLOOKUP('Données projet'!$B$10,Paramètres!$A$1:$I$89,3,0)*VLOOKUP('Données projet'!$B$10,Paramètres!$A$1:$I$89,5,0)</f>
        <v>92.983019999999996</v>
      </c>
      <c r="AK30" s="13">
        <f t="shared" si="35"/>
        <v>25.283286610692237</v>
      </c>
      <c r="AL30" s="20">
        <f t="shared" si="4"/>
        <v>205.98048401362226</v>
      </c>
      <c r="AM30" s="59">
        <f t="shared" si="5"/>
        <v>438.49832688618574</v>
      </c>
      <c r="AN30" s="59">
        <f ca="1">AVERAGE(OFFSET($AM$3,0,0,'Données projet'!$E$10+1,1))-AVERAGE(OFFSET($H$3,0,0,'Données projet'!$E$10+1,1))</f>
        <v>373.47758082856359</v>
      </c>
      <c r="AO30" s="59">
        <f t="shared" si="36"/>
        <v>277.24895424120166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37.840000000000003</v>
      </c>
      <c r="AR30" s="16">
        <f>IF(ISNA(VLOOKUP(A30,'Données projet'!$A$61:$I$81,5,0)),0%,VLOOKUP(A30,'Données projet'!$A$61:$I$81,5,0)*VLOOKUP('Données projet'!$B$10,Paramètres!$A$1:$I$89,7,0))</f>
        <v>0.13500000000000001</v>
      </c>
      <c r="AS30" s="16">
        <f>IF(ISNA(VLOOKUP(A30,'Données projet'!$A$61:$I$81,6,0)),0%,VLOOKUP(A30,'Données projet'!$A$61:$I$81,6,0)*VLOOKUP('Données projet'!$B$10,Paramètres!$A$1:$I$89,7,0))</f>
        <v>0.17550000000000002</v>
      </c>
      <c r="AT30" s="16">
        <f>IF(ISNA(VLOOKUP(A30,'Données projet'!$A$61:$I$81,7,0)),0%,VLOOKUP(A30,'Données projet'!$A$61:$I$81,7,0))</f>
        <v>0.31</v>
      </c>
      <c r="AU30" s="21">
        <f>EXP(-LN(2)/35)*AU29+(1-EXP(-LN(2)/35))/(LN(2)/35)*AQ30*AR30*VLOOKUP('Données projet'!$B$10,Paramètres!$A$1:$I$89,3,0)*0.475*44/12</f>
        <v>7.4415006855363082</v>
      </c>
      <c r="AV30" s="21">
        <f>EXP(-LN(2)/25)*AV29+(1-EXP(-LN(2)/25))/(LN(2)/25)*Calculateur!AQ30*Calculateur!AS30*VLOOKUP('Données projet'!$B$10,Paramètres!$A$1:$I$89,3,0)*0.475*44/12</f>
        <v>12.547848761240131</v>
      </c>
      <c r="AW30" s="21">
        <f>EXP(-LN(2)/2)*AW29+(1-EXP(-LN(2)/2))/(LN(2)/2)*AQ30*AT30*VLOOKUP('Données projet'!$B$10,Paramètres!$A$1:$I$89,3,0)*0.475*44/12</f>
        <v>10.137912634863611</v>
      </c>
      <c r="AX30" s="21">
        <f t="shared" si="6"/>
        <v>30.127262081640048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20.836666666666673</v>
      </c>
      <c r="BD30" s="12">
        <f>IF('Données projet'!$A$88&gt;35,BD29+BC30-BL29,IF(A30&lt;'Données projet'!$A$88,$BA$205^A30,IF(A30='Données projet'!$A$88,'Données projet'!$B$88,BD29+BC30-BL29)))</f>
        <v>197.59000000000003</v>
      </c>
      <c r="BE30" s="13">
        <f>BD30*VLOOKUP('Données projet'!$B$11,Paramètres!$A$1:$I$89,3,0)*VLOOKUP('Données projet'!$B$11,Paramètres!$A$1:$I$89,5,0)</f>
        <v>118.15882000000003</v>
      </c>
      <c r="BF30" s="13">
        <f t="shared" si="37"/>
        <v>31.245188622686264</v>
      </c>
      <c r="BG30" s="20">
        <f t="shared" si="7"/>
        <v>260.21198168451195</v>
      </c>
      <c r="BH30" s="59">
        <f t="shared" si="8"/>
        <v>492.72982455707546</v>
      </c>
      <c r="BI30" s="59">
        <f ca="1">AVERAGE(OFFSET($BH$3,0,0,'Données projet'!$E$11+1,1))-AVERAGE(OFFSET($H$3,0,0,'Données projet'!$E$11+1,1))</f>
        <v>460.88622650237176</v>
      </c>
      <c r="BJ30" s="59">
        <f t="shared" si="38"/>
        <v>396.05161661639647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7.3463608001051721</v>
      </c>
      <c r="BQ30" s="21">
        <f>EXP(-LN(2)/25)*BQ29+(1-EXP(-LN(2)/25))/(LN(2)/25)*Calculateur!BL30*Calculateur!BN30*VLOOKUP('Données projet'!$B$11,Paramètres!$A$1:$I$89,3,0)*0.475*44/12</f>
        <v>11.656450419253732</v>
      </c>
      <c r="BR30" s="21">
        <f>EXP(-LN(2)/2)*BR29+(1-EXP(-LN(2)/2))/(LN(2)/2)*BL30*BO30*VLOOKUP('Données projet'!$B$11,Paramètres!$A$1:$I$89,3,0)*0.475*44/12</f>
        <v>4.0132573169908055</v>
      </c>
      <c r="BS30" s="22">
        <f t="shared" si="9"/>
        <v>23.01606853634971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21.612857142857145</v>
      </c>
      <c r="BY30" s="12">
        <f>IF('Données projet'!$A$114&gt;35,BY29+BX30-CG29,IF(A30&lt;'Données projet'!$A$114,$BV$205^A30,IF(A30='Données projet'!$A$114,'Données projet'!$B$114,BY29+BX30-CG29)))</f>
        <v>260.24714285714282</v>
      </c>
      <c r="BZ30" s="13">
        <f>BY30*VLOOKUP('Données projet'!$B$12,Paramètres!$A$1:$I$89,3,0)*VLOOKUP('Données projet'!$B$12,Paramètres!$A$1:$I$89,5,0)</f>
        <v>118.41244999999999</v>
      </c>
      <c r="CA30" s="13">
        <f t="shared" si="39"/>
        <v>31.304442819971051</v>
      </c>
      <c r="CB30" s="20">
        <f t="shared" si="10"/>
        <v>260.75692166144955</v>
      </c>
      <c r="CC30" s="59">
        <f t="shared" si="11"/>
        <v>493.27476453401306</v>
      </c>
      <c r="CD30" s="59">
        <f ca="1">AVERAGE(OFFSET($CC$3,0,0,'Données projet'!$E$12+1,1))-AVERAGE(OFFSET($H$3,0,0,'Données projet'!$E$12+1,1))</f>
        <v>341.60063595566282</v>
      </c>
      <c r="CE30" s="59">
        <f t="shared" si="40"/>
        <v>317.05609766344219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3.8073722201238827</v>
      </c>
      <c r="CL30" s="21">
        <f>EXP(-LN(2)/25)*CL29+(1-EXP(-LN(2)/25))/(LN(2)/25)*Calculateur!CG30*Calculateur!CI30*VLOOKUP('Données projet'!$B$12,Paramètres!$A$1:$I$89,3,0)*0.475*44/12</f>
        <v>8.1367774917035955</v>
      </c>
      <c r="CM30" s="21">
        <f>EXP(-LN(2)/2)*CM29+(1-EXP(-LN(2)/2))/(LN(2)/2)*CG30*CJ30*VLOOKUP('Données projet'!$B$12,Paramètres!$A$1:$I$89,3,0)*0.475*44/12</f>
        <v>1.4555362765688467</v>
      </c>
      <c r="CN30" s="22">
        <f t="shared" si="12"/>
        <v>13.399685988396325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7.3079999999999981</v>
      </c>
      <c r="CT30" s="12">
        <f>IF('Données projet'!$A$140&gt;35,CT29+CS30-DB29,IF(A30&lt;'Données projet'!$A$140,$CQ$205^A30,IF(A30='Données projet'!$A$140,'Données projet'!$B$140,CT29+CS30-DB29)))</f>
        <v>82.56599999999996</v>
      </c>
      <c r="CU30" s="17">
        <f>CT30*VLOOKUP('Données projet'!$B$13,Paramètres!$A$1:$I$89,3,0)*VLOOKUP('Données projet'!$B$13,Paramètres!$A$1:$I$89,5,0)</f>
        <v>86.297983199999962</v>
      </c>
      <c r="CV30" s="13">
        <f t="shared" si="41"/>
        <v>23.670216810855191</v>
      </c>
      <c r="CW30" s="20">
        <f t="shared" si="13"/>
        <v>191.52794835223938</v>
      </c>
      <c r="CX30" s="59">
        <f t="shared" si="14"/>
        <v>424.04579122480288</v>
      </c>
      <c r="CY30" s="59">
        <f ca="1">AVERAGE(OFFSET($CX$3,0,0,'Données projet'!$E$13+1,1))-AVERAGE(OFFSET($H$3,0,0,'Données projet'!$E$13+1,1))</f>
        <v>287.73449456153207</v>
      </c>
      <c r="CZ30" s="59">
        <f t="shared" si="42"/>
        <v>296.74833899433281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4.3352272727272725</v>
      </c>
      <c r="DO30" s="12">
        <f>IF('Données projet'!$A$166&gt;35,DO29+DN30-DW29,IF(A30&lt;'Données projet'!$A$166,$DL$205^A30,IF(A30='Données projet'!$A$166,'Données projet'!$B$166,DO29+DN30-DW29)))</f>
        <v>117.05113636363629</v>
      </c>
      <c r="DP30" s="17">
        <f>DO30*VLOOKUP('Données projet'!$B$14,Paramètres!$A$1:$I$89,3,0)*VLOOKUP('Données projet'!$B$14,Paramètres!$A$1:$I$89,5,0)</f>
        <v>118.68985227272721</v>
      </c>
      <c r="DQ30" s="13">
        <f t="shared" si="43"/>
        <v>31.369233892262525</v>
      </c>
      <c r="DR30" s="20">
        <f t="shared" si="16"/>
        <v>261.35290840402382</v>
      </c>
      <c r="DS30" s="59">
        <f t="shared" si="17"/>
        <v>493.87075127658733</v>
      </c>
      <c r="DT30" s="59">
        <f ca="1">AVERAGE(OFFSET($DS$3,0,0,'Données projet'!$E$14+1,1))-AVERAGE(OFFSET($H$3,0,0,'Données projet'!$E$14+1,1))</f>
        <v>532.34688562681413</v>
      </c>
      <c r="DU30" s="59">
        <f t="shared" si="44"/>
        <v>345.42627129678556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5.5120000000000005</v>
      </c>
      <c r="EJ30" s="12">
        <f>IF('Données projet'!$A$192&gt;35,EJ29+EI30-ER29,IF(A30&lt;'Données projet'!$A$192,$EG$205^A30,IF(A30='Données projet'!$A$192,'Données projet'!$B$192,EJ29+EI30-ER29)))</f>
        <v>139.23400000000001</v>
      </c>
      <c r="EK30" s="17">
        <f>EJ30*VLOOKUP('Données projet'!$B$15,Paramètres!$A$1:$I$89,3,0)*VLOOKUP('Données projet'!$B$15,Paramètres!$A$1:$I$89,5,0)</f>
        <v>125.9789232</v>
      </c>
      <c r="EL30" s="13">
        <f t="shared" si="45"/>
        <v>33.065514305284928</v>
      </c>
      <c r="EM30" s="20">
        <f t="shared" si="19"/>
        <v>277.00239532170457</v>
      </c>
      <c r="EN30" s="59">
        <f t="shared" si="20"/>
        <v>509.52023819426807</v>
      </c>
      <c r="EO30" s="59">
        <f ca="1">AVERAGE(OFFSET($EN$3,0,0,'Données projet'!$E$15+1,1))-AVERAGE(OFFSET($H$3,0,0,'Données projet'!$E$15+1,1))</f>
        <v>256.20286603823035</v>
      </c>
      <c r="EP30" s="59">
        <f t="shared" si="46"/>
        <v>364.83827155069434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4.3352272727272725</v>
      </c>
      <c r="FE30" s="12">
        <f>IF('Données projet'!$A$218&gt;35,FE29+FD30-FM29,IF(A30&lt;'Données projet'!$A$218,$FB$205^A30,IF(A30='Données projet'!$A$218,'Données projet'!$B$218,FE29+FD30-FM29)))</f>
        <v>117.05113636363629</v>
      </c>
      <c r="FF30" s="17">
        <f>FE30*VLOOKUP('Données projet'!$B$16,Paramètres!$A$1:$I$89,3,0)*VLOOKUP('Données projet'!$B$16,Paramètres!$A$1:$I$89,5,0)</f>
        <v>78.517902272727227</v>
      </c>
      <c r="FG30" s="13">
        <f t="shared" si="47"/>
        <v>21.774410080659205</v>
      </c>
      <c r="FH30" s="20">
        <f t="shared" si="22"/>
        <v>174.67577734881471</v>
      </c>
      <c r="FI30" s="59">
        <f t="shared" si="23"/>
        <v>407.19362022137818</v>
      </c>
      <c r="FJ30" s="59">
        <f ca="1">AVERAGE(OFFSET($FI$3,0,0,'Données projet'!$E$16+1,1))-AVERAGE(OFFSET($H$3,0,0,'Données projet'!$E$16+1,1))</f>
        <v>380.73695370216979</v>
      </c>
      <c r="FK30" s="59">
        <f t="shared" si="48"/>
        <v>249.34467160415713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4.3352272727272725</v>
      </c>
      <c r="FZ30" s="12">
        <f>IF('Données projet'!$A$244&gt;35,FZ29+FY30-GH29,IF(A30&lt;'Données projet'!$A$244,$FW$205^A30,IF(A30='Données projet'!$A$244,'Données projet'!$B$244,FZ29+FY30-GH29)))</f>
        <v>117.05113636363629</v>
      </c>
      <c r="GA30" s="17">
        <f>FZ30*VLOOKUP('Données projet'!$B$17,Paramètres!$A$1:$I$89,3,0)*VLOOKUP('Données projet'!$B$17,Paramètres!$A$1:$I$89,5,0)</f>
        <v>113.21185909090902</v>
      </c>
      <c r="GB30" s="13">
        <f t="shared" si="49"/>
        <v>30.086451410914627</v>
      </c>
      <c r="GC30" s="20">
        <f t="shared" si="25"/>
        <v>249.57789079067618</v>
      </c>
      <c r="GD30" s="59">
        <f t="shared" si="26"/>
        <v>482.09573366323968</v>
      </c>
      <c r="GE30" s="59">
        <f ca="1">AVERAGE(OFFSET($GD$3,0,0,'Données projet'!$E$17+1,1))-AVERAGE(OFFSET($H$3,0,0,'Données projet'!$E$17+1,1))</f>
        <v>511.7458522930001</v>
      </c>
      <c r="GF30" s="59">
        <f t="shared" si="50"/>
        <v>332.37317679966122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11.8</v>
      </c>
      <c r="GU30" s="12">
        <f>IF('Données projet'!$A$270&gt;35,GU29+GT30-HC29,IF(A30&lt;'Données projet'!$A$270,$GR$205^A30,IF(A30='Données projet'!$A$270,'Données projet'!$B$270,GU29+GT30-HC29)))</f>
        <v>110.59999999999997</v>
      </c>
      <c r="GV30" s="17">
        <f>GU30*VLOOKUP('Données projet'!$B$18,Paramètres!$A$1:$I$89,3,0)*VLOOKUP('Données projet'!$B$18,Paramètres!$A$1:$I$89,5,0)</f>
        <v>96.620159999999984</v>
      </c>
      <c r="GW30" s="13">
        <f t="shared" si="51"/>
        <v>26.155193107181663</v>
      </c>
      <c r="GX30" s="20">
        <f t="shared" si="28"/>
        <v>213.83373999500802</v>
      </c>
      <c r="GY30" s="59">
        <f t="shared" si="29"/>
        <v>446.35158286757155</v>
      </c>
      <c r="GZ30" s="59">
        <f ca="1">AVERAGE(OFFSET($GY$3,0,0,'Données projet'!$E$18+1,1))-AVERAGE(OFFSET($H$3,0,0,'Données projet'!$E$18+1,1))</f>
        <v>348.77506423101278</v>
      </c>
      <c r="HA30" s="59">
        <f t="shared" si="52"/>
        <v>336.13747591329548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">
      <c r="A31" s="10">
        <f t="shared" si="31"/>
        <v>28</v>
      </c>
      <c r="B31" s="71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5">
        <f t="shared" si="1"/>
        <v>183.33333333333334</v>
      </c>
      <c r="I31" s="6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9.9228571428571435</v>
      </c>
      <c r="N31" s="13">
        <f>IF('Données projet'!$A$36&gt;35,N30+M31-V30,IF(A31&lt;'Données projet'!$A$36,$K$205^A31,IF(A31='Données projet'!$A$36,'Données projet'!$B$36,N30+M31-V30)))</f>
        <v>277.83999999999997</v>
      </c>
      <c r="O31" s="13">
        <f>N31*VLOOKUP('Données projet'!$B$9,Paramètres!$A$1:$I$89,3,0)*VLOOKUP('Données projet'!$B$9,Paramètres!$A$1:$I$89,5,0)</f>
        <v>130.02912000000001</v>
      </c>
      <c r="P31" s="13">
        <f t="shared" si="33"/>
        <v>34.003088021651131</v>
      </c>
      <c r="Q31" s="20">
        <f t="shared" si="2"/>
        <v>285.68942897104239</v>
      </c>
      <c r="R31" s="59">
        <f t="shared" si="0"/>
        <v>520.4208983930265</v>
      </c>
      <c r="S31" s="59">
        <f ca="1">AVERAGE(OFFSET($R$3,0,0,'Données projet'!$E$9+1,1))-AVERAGE(OFFSET($H$3,0,0,'Données projet'!$E$9+1,1))</f>
        <v>387.50901594883317</v>
      </c>
      <c r="T31" s="59">
        <f t="shared" si="34"/>
        <v>361.3623790401972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16.614999999999998</v>
      </c>
      <c r="AI31" s="13">
        <f>IF('Données projet'!$A$62&gt;35,AI30+AH31-AQ30,IF(A31&lt;'Données projet'!$A$62,$AF$205^A31,IF(A31='Données projet'!$A$62,'Données projet'!$B$62,AI30+AH31-AQ30)))</f>
        <v>134.26499999999999</v>
      </c>
      <c r="AJ31" s="13">
        <f>AI31*VLOOKUP('Données projet'!$B$10,Paramètres!$A$1:$I$89,3,0)*VLOOKUP('Données projet'!$B$10,Paramètres!$A$1:$I$89,5,0)</f>
        <v>80.290469999999999</v>
      </c>
      <c r="AK31" s="13">
        <f t="shared" si="35"/>
        <v>22.208190565938402</v>
      </c>
      <c r="AL31" s="20">
        <f t="shared" si="4"/>
        <v>178.51850048567601</v>
      </c>
      <c r="AM31" s="59">
        <f t="shared" si="5"/>
        <v>413.2499699076601</v>
      </c>
      <c r="AN31" s="59">
        <f ca="1">AVERAGE(OFFSET($AM$3,0,0,'Données projet'!$E$10+1,1))-AVERAGE(OFFSET($H$3,0,0,'Données projet'!$E$10+1,1))</f>
        <v>373.47758082856359</v>
      </c>
      <c r="AO31" s="59">
        <f t="shared" si="36"/>
        <v>277.24895424120166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7.2955773959601835</v>
      </c>
      <c r="AV31" s="21">
        <f>EXP(-LN(2)/25)*AV30+(1-EXP(-LN(2)/25))/(LN(2)/25)*Calculateur!AQ31*Calculateur!AS31*VLOOKUP('Données projet'!$B$10,Paramètres!$A$1:$I$89,3,0)*0.475*44/12</f>
        <v>12.204727177001331</v>
      </c>
      <c r="AW31" s="21">
        <f>EXP(-LN(2)/2)*AW30+(1-EXP(-LN(2)/2))/(LN(2)/2)*AQ31*AT31*VLOOKUP('Données projet'!$B$10,Paramètres!$A$1:$I$89,3,0)*0.475*44/12</f>
        <v>7.1685867711888394</v>
      </c>
      <c r="AX31" s="21">
        <f t="shared" si="6"/>
        <v>26.668891344150353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20.836666666666673</v>
      </c>
      <c r="BD31" s="12">
        <f>IF('Données projet'!$A$88&gt;35,BD30+BC31-BL30,IF(A31&lt;'Données projet'!$A$88,$BA$205^A31,IF(A31='Données projet'!$A$88,'Données projet'!$B$88,BD30+BC31-BL30)))</f>
        <v>218.4266666666667</v>
      </c>
      <c r="BE31" s="13">
        <f>BD31*VLOOKUP('Données projet'!$B$11,Paramètres!$A$1:$I$89,3,0)*VLOOKUP('Données projet'!$B$11,Paramètres!$A$1:$I$89,5,0)</f>
        <v>130.61914666666669</v>
      </c>
      <c r="BF31" s="13">
        <f t="shared" si="37"/>
        <v>34.139386362296221</v>
      </c>
      <c r="BG31" s="20">
        <f t="shared" si="7"/>
        <v>286.9544450254437</v>
      </c>
      <c r="BH31" s="59">
        <f t="shared" si="8"/>
        <v>521.68591444742776</v>
      </c>
      <c r="BI31" s="59">
        <f ca="1">AVERAGE(OFFSET($BH$3,0,0,'Données projet'!$E$11+1,1))-AVERAGE(OFFSET($H$3,0,0,'Données projet'!$E$11+1,1))</f>
        <v>460.88622650237176</v>
      </c>
      <c r="BJ31" s="59">
        <f t="shared" si="38"/>
        <v>396.05161661639647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7.2023031456527518</v>
      </c>
      <c r="BQ31" s="21">
        <f>EXP(-LN(2)/25)*BQ30+(1-EXP(-LN(2)/25))/(LN(2)/25)*Calculateur!BL31*Calculateur!BN31*VLOOKUP('Données projet'!$B$11,Paramètres!$A$1:$I$89,3,0)*0.475*44/12</f>
        <v>11.337704169553152</v>
      </c>
      <c r="BR31" s="21">
        <f>EXP(-LN(2)/2)*BR30+(1-EXP(-LN(2)/2))/(LN(2)/2)*BL31*BO31*VLOOKUP('Données projet'!$B$11,Paramètres!$A$1:$I$89,3,0)*0.475*44/12</f>
        <v>2.8378014634907283</v>
      </c>
      <c r="BS31" s="22">
        <f t="shared" si="9"/>
        <v>21.377808778696632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>
        <f>VLOOKUP(A31,'Données projet'!$A$113:$I$133,2,0)</f>
        <v>281.86</v>
      </c>
      <c r="BW31" s="12">
        <f>VLOOKUP(A31,'Données projet'!$A$113:$I$133,9,0)</f>
        <v>21.612857142857145</v>
      </c>
      <c r="BX31" s="12">
        <f t="array" ref="BX31">INDEX(BW:BW,MIN(IF(ISNUMBER(BW31:BW227),ROW(BW31:BW227),"")))</f>
        <v>21.612857142857145</v>
      </c>
      <c r="BY31" s="12">
        <f>IF('Données projet'!$A$114&gt;35,BY30+BX31-CG30,IF(A31&lt;'Données projet'!$A$114,$BV$205^A31,IF(A31='Données projet'!$A$114,'Données projet'!$B$114,BY30+BX31-CG30)))</f>
        <v>281.85999999999996</v>
      </c>
      <c r="BZ31" s="13">
        <f>BY31*VLOOKUP('Données projet'!$B$12,Paramètres!$A$1:$I$89,3,0)*VLOOKUP('Données projet'!$B$12,Paramètres!$A$1:$I$89,5,0)</f>
        <v>128.24629999999999</v>
      </c>
      <c r="CA31" s="13">
        <f t="shared" si="39"/>
        <v>33.590810991350772</v>
      </c>
      <c r="CB31" s="20">
        <f t="shared" si="10"/>
        <v>281.8663016432692</v>
      </c>
      <c r="CC31" s="59">
        <f t="shared" si="11"/>
        <v>516.59777106525326</v>
      </c>
      <c r="CD31" s="59">
        <f ca="1">AVERAGE(OFFSET($CC$3,0,0,'Données projet'!$E$12+1,1))-AVERAGE(OFFSET($H$3,0,0,'Données projet'!$E$12+1,1))</f>
        <v>341.60063595566282</v>
      </c>
      <c r="CE31" s="59">
        <f t="shared" si="40"/>
        <v>317.05609766344219</v>
      </c>
      <c r="CF31" s="15">
        <f>IF(ISNA(VLOOKUP(A31,'Données projet'!$A$113:$I$133,3,0)),0,VLOOKUP(A31,'Données projet'!$A$113:$I$133,3,0))</f>
        <v>2</v>
      </c>
      <c r="CG31" s="15">
        <f>IF(ISNA(VLOOKUP(A31,'Données projet'!$A$113:$I$133,4,0)),0,VLOOKUP(A31,'Données projet'!$A$113:$I$133,4,0))</f>
        <v>67.61</v>
      </c>
      <c r="CH31" s="16">
        <f>IF(ISNA(VLOOKUP(A31,'Données projet'!$A$113:$I$133,5,0)),0%,VLOOKUP(A31,'Données projet'!$A$113:$I$133,5,0)*VLOOKUP('Données projet'!$B$12,Paramètres!$A$1:$I$89,7,0))</f>
        <v>0.16500000000000001</v>
      </c>
      <c r="CI31" s="16">
        <f>IF(ISNA(VLOOKUP(A31,'Données projet'!$A$113:$I$133,6,0)),0%,VLOOKUP(A31,'Données projet'!$A$113:$I$133,6,0)*VLOOKUP('Données projet'!$B$12,Paramètres!$A$1:$I$89,7,0))</f>
        <v>0.21450000000000002</v>
      </c>
      <c r="CJ31" s="16">
        <f>IF(ISNA(VLOOKUP(A31,'Données projet'!$A$113:$I$133,7,0)),0%,VLOOKUP(A31,'Données projet'!$A$113:$I$133,7,0))</f>
        <v>0.31</v>
      </c>
      <c r="CK31" s="21">
        <f>EXP(-LN(2)/35)*CK30+(1-EXP(-LN(2)/35))/(LN(2)/35)*CG31*CH31*VLOOKUP('Données projet'!$B$12,Paramètres!$A$1:$I$89,3,0)*0.475*44/12</f>
        <v>10.466115362287471</v>
      </c>
      <c r="CL31" s="21">
        <f>EXP(-LN(2)/25)*CL30+(1-EXP(-LN(2)/25))/(LN(2)/25)*Calculateur!CG31*Calculateur!CI31*VLOOKUP('Données projet'!$B$12,Paramètres!$A$1:$I$89,3,0)*0.475*44/12</f>
        <v>16.633235721968539</v>
      </c>
      <c r="CM31" s="21">
        <f>EXP(-LN(2)/2)*CM30+(1-EXP(-LN(2)/2))/(LN(2)/2)*CG31*CJ31*VLOOKUP('Données projet'!$B$12,Paramètres!$A$1:$I$89,3,0)*0.475*44/12</f>
        <v>11.826628897349412</v>
      </c>
      <c r="CN31" s="22">
        <f t="shared" si="12"/>
        <v>38.925979981605423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7.3079999999999981</v>
      </c>
      <c r="CT31" s="12">
        <f>IF('Données projet'!$A$140&gt;35,CT30+CS31-DB30,IF(A31&lt;'Données projet'!$A$140,$CQ$205^A31,IF(A31='Données projet'!$A$140,'Données projet'!$B$140,CT30+CS31-DB30)))</f>
        <v>89.873999999999953</v>
      </c>
      <c r="CU31" s="17">
        <f>CT31*VLOOKUP('Données projet'!$B$13,Paramètres!$A$1:$I$89,3,0)*VLOOKUP('Données projet'!$B$13,Paramètres!$A$1:$I$89,5,0)</f>
        <v>93.936304799999959</v>
      </c>
      <c r="CV31" s="13">
        <f t="shared" si="41"/>
        <v>25.512188842574325</v>
      </c>
      <c r="CW31" s="20">
        <f t="shared" si="13"/>
        <v>208.03945976081687</v>
      </c>
      <c r="CX31" s="59">
        <f t="shared" si="14"/>
        <v>442.77092918280096</v>
      </c>
      <c r="CY31" s="59">
        <f ca="1">AVERAGE(OFFSET($CX$3,0,0,'Données projet'!$E$13+1,1))-AVERAGE(OFFSET($H$3,0,0,'Données projet'!$E$13+1,1))</f>
        <v>287.73449456153207</v>
      </c>
      <c r="CZ31" s="59">
        <f t="shared" si="42"/>
        <v>296.74833899433281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4.3352272727272725</v>
      </c>
      <c r="DO31" s="12">
        <f>IF('Données projet'!$A$166&gt;35,DO30+DN31-DW30,IF(A31&lt;'Données projet'!$A$166,$DL$205^A31,IF(A31='Données projet'!$A$166,'Données projet'!$B$166,DO30+DN31-DW30)))</f>
        <v>121.38636363636355</v>
      </c>
      <c r="DP31" s="17">
        <f>DO31*VLOOKUP('Données projet'!$B$14,Paramètres!$A$1:$I$89,3,0)*VLOOKUP('Données projet'!$B$14,Paramètres!$A$1:$I$89,5,0)</f>
        <v>123.08577272727265</v>
      </c>
      <c r="DQ31" s="13">
        <f t="shared" si="43"/>
        <v>32.393638166261468</v>
      </c>
      <c r="DR31" s="20">
        <f t="shared" si="16"/>
        <v>270.7933073062386</v>
      </c>
      <c r="DS31" s="59">
        <f t="shared" si="17"/>
        <v>505.52477672822272</v>
      </c>
      <c r="DT31" s="59">
        <f ca="1">AVERAGE(OFFSET($DS$3,0,0,'Données projet'!$E$14+1,1))-AVERAGE(OFFSET($H$3,0,0,'Données projet'!$E$14+1,1))</f>
        <v>532.34688562681413</v>
      </c>
      <c r="DU31" s="59">
        <f t="shared" si="44"/>
        <v>345.42627129678556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5.5120000000000005</v>
      </c>
      <c r="EJ31" s="12">
        <f>IF('Données projet'!$A$192&gt;35,EJ30+EI31-ER30,IF(A31&lt;'Données projet'!$A$192,$EG$205^A31,IF(A31='Données projet'!$A$192,'Données projet'!$B$192,EJ30+EI31-ER30)))</f>
        <v>144.74600000000001</v>
      </c>
      <c r="EK31" s="17">
        <f>EJ31*VLOOKUP('Données projet'!$B$15,Paramètres!$A$1:$I$89,3,0)*VLOOKUP('Données projet'!$B$15,Paramètres!$A$1:$I$89,5,0)</f>
        <v>130.96618080000002</v>
      </c>
      <c r="EL31" s="13">
        <f t="shared" si="45"/>
        <v>34.219519043734614</v>
      </c>
      <c r="EM31" s="20">
        <f t="shared" si="19"/>
        <v>287.69842722783778</v>
      </c>
      <c r="EN31" s="59">
        <f t="shared" si="20"/>
        <v>522.4298966498219</v>
      </c>
      <c r="EO31" s="59">
        <f ca="1">AVERAGE(OFFSET($EN$3,0,0,'Données projet'!$E$15+1,1))-AVERAGE(OFFSET($H$3,0,0,'Données projet'!$E$15+1,1))</f>
        <v>256.20286603823035</v>
      </c>
      <c r="EP31" s="59">
        <f t="shared" si="46"/>
        <v>364.83827155069434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4.3352272727272725</v>
      </c>
      <c r="FE31" s="12">
        <f>IF('Données projet'!$A$218&gt;35,FE30+FD31-FM30,IF(A31&lt;'Données projet'!$A$218,$FB$205^A31,IF(A31='Données projet'!$A$218,'Données projet'!$B$218,FE30+FD31-FM30)))</f>
        <v>121.38636363636355</v>
      </c>
      <c r="FF31" s="17">
        <f>FE31*VLOOKUP('Données projet'!$B$16,Paramètres!$A$1:$I$89,3,0)*VLOOKUP('Données projet'!$B$16,Paramètres!$A$1:$I$89,5,0)</f>
        <v>81.425972727272679</v>
      </c>
      <c r="FG31" s="13">
        <f t="shared" si="47"/>
        <v>22.48548255463297</v>
      </c>
      <c r="FH31" s="20">
        <f t="shared" si="22"/>
        <v>180.97911794931898</v>
      </c>
      <c r="FI31" s="59">
        <f t="shared" si="23"/>
        <v>415.71058737130306</v>
      </c>
      <c r="FJ31" s="59">
        <f ca="1">AVERAGE(OFFSET($FI$3,0,0,'Données projet'!$E$16+1,1))-AVERAGE(OFFSET($H$3,0,0,'Données projet'!$E$16+1,1))</f>
        <v>380.73695370216979</v>
      </c>
      <c r="FK31" s="59">
        <f t="shared" si="48"/>
        <v>249.34467160415713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4.3352272727272725</v>
      </c>
      <c r="FZ31" s="12">
        <f>IF('Données projet'!$A$244&gt;35,FZ30+FY31-GH30,IF(A31&lt;'Données projet'!$A$244,$FW$205^A31,IF(A31='Données projet'!$A$244,'Données projet'!$B$244,FZ30+FY31-GH30)))</f>
        <v>121.38636363636355</v>
      </c>
      <c r="GA31" s="17">
        <f>FZ31*VLOOKUP('Données projet'!$B$17,Paramètres!$A$1:$I$89,3,0)*VLOOKUP('Données projet'!$B$17,Paramètres!$A$1:$I$89,5,0)</f>
        <v>117.40489090909084</v>
      </c>
      <c r="GB31" s="13">
        <f t="shared" si="49"/>
        <v>31.068964707881143</v>
      </c>
      <c r="GC31" s="20">
        <f t="shared" si="25"/>
        <v>258.59196519955952</v>
      </c>
      <c r="GD31" s="59">
        <f t="shared" si="26"/>
        <v>493.32343462154358</v>
      </c>
      <c r="GE31" s="59">
        <f ca="1">AVERAGE(OFFSET($GD$3,0,0,'Données projet'!$E$17+1,1))-AVERAGE(OFFSET($H$3,0,0,'Données projet'!$E$17+1,1))</f>
        <v>511.7458522930001</v>
      </c>
      <c r="GF31" s="59">
        <f t="shared" si="50"/>
        <v>332.37317679966122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11.8</v>
      </c>
      <c r="GU31" s="12">
        <f>IF('Données projet'!$A$270&gt;35,GU30+GT31-HC30,IF(A31&lt;'Données projet'!$A$270,$GR$205^A31,IF(A31='Données projet'!$A$270,'Données projet'!$B$270,GU30+GT31-HC30)))</f>
        <v>122.39999999999996</v>
      </c>
      <c r="GV31" s="17">
        <f>GU31*VLOOKUP('Données projet'!$B$18,Paramètres!$A$1:$I$89,3,0)*VLOOKUP('Données projet'!$B$18,Paramètres!$A$1:$I$89,5,0)</f>
        <v>106.92863999999997</v>
      </c>
      <c r="GW31" s="13">
        <f t="shared" si="51"/>
        <v>28.606159868782917</v>
      </c>
      <c r="GX31" s="20">
        <f t="shared" si="28"/>
        <v>236.05644310479684</v>
      </c>
      <c r="GY31" s="59">
        <f t="shared" si="29"/>
        <v>470.78791252678093</v>
      </c>
      <c r="GZ31" s="59">
        <f ca="1">AVERAGE(OFFSET($GY$3,0,0,'Données projet'!$E$18+1,1))-AVERAGE(OFFSET($H$3,0,0,'Données projet'!$E$18+1,1))</f>
        <v>348.77506423101278</v>
      </c>
      <c r="HA31" s="59">
        <f t="shared" si="52"/>
        <v>336.13747591329548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">
      <c r="A32" s="10">
        <f t="shared" si="31"/>
        <v>29</v>
      </c>
      <c r="B32" s="71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5">
        <f t="shared" si="1"/>
        <v>183.33333333333334</v>
      </c>
      <c r="I32" s="6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9.9228571428571435</v>
      </c>
      <c r="N32" s="13">
        <f>IF('Données projet'!$A$36&gt;35,N31+M32-V31,IF(A32&lt;'Données projet'!$A$36,$K$205^A32,IF(A32='Données projet'!$A$36,'Données projet'!$B$36,N31+M32-V31)))</f>
        <v>287.76285714285711</v>
      </c>
      <c r="O32" s="13">
        <f>N32*VLOOKUP('Données projet'!$B$9,Paramètres!$A$1:$I$89,3,0)*VLOOKUP('Données projet'!$B$9,Paramètres!$A$1:$I$89,5,0)</f>
        <v>134.67301714285713</v>
      </c>
      <c r="P32" s="13">
        <f t="shared" si="33"/>
        <v>35.073927031994522</v>
      </c>
      <c r="Q32" s="20">
        <f t="shared" si="2"/>
        <v>295.64259443786659</v>
      </c>
      <c r="R32" s="59">
        <f t="shared" si="0"/>
        <v>532.57049176064243</v>
      </c>
      <c r="S32" s="59">
        <f ca="1">AVERAGE(OFFSET($R$3,0,0,'Données projet'!$E$9+1,1))-AVERAGE(OFFSET($H$3,0,0,'Données projet'!$E$9+1,1))</f>
        <v>387.50901594883317</v>
      </c>
      <c r="T32" s="59">
        <f t="shared" si="34"/>
        <v>361.3623790401972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16.614999999999998</v>
      </c>
      <c r="AI32" s="13">
        <f>IF('Données projet'!$A$62&gt;35,AI31+AH32-AQ31,IF(A32&lt;'Données projet'!$A$62,$AF$205^A32,IF(A32='Données projet'!$A$62,'Données projet'!$B$62,AI31+AH32-AQ31)))</f>
        <v>150.88</v>
      </c>
      <c r="AJ32" s="13">
        <f>AI32*VLOOKUP('Données projet'!$B$10,Paramètres!$A$1:$I$89,3,0)*VLOOKUP('Données projet'!$B$10,Paramètres!$A$1:$I$89,5,0)</f>
        <v>90.22623999999999</v>
      </c>
      <c r="AK32" s="13">
        <f t="shared" si="35"/>
        <v>24.619780658757083</v>
      </c>
      <c r="AL32" s="20">
        <f t="shared" si="4"/>
        <v>200.02348598066854</v>
      </c>
      <c r="AM32" s="59">
        <f t="shared" si="5"/>
        <v>436.95138330344435</v>
      </c>
      <c r="AN32" s="59">
        <f ca="1">AVERAGE(OFFSET($AM$3,0,0,'Données projet'!$E$10+1,1))-AVERAGE(OFFSET($H$3,0,0,'Données projet'!$E$10+1,1))</f>
        <v>373.47758082856359</v>
      </c>
      <c r="AO32" s="59">
        <f t="shared" si="36"/>
        <v>277.24895424120166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7.1525155730882286</v>
      </c>
      <c r="AV32" s="21">
        <f>EXP(-LN(2)/25)*AV31+(1-EXP(-LN(2)/25))/(LN(2)/25)*Calculateur!AQ32*Calculateur!AS32*VLOOKUP('Données projet'!$B$10,Paramètres!$A$1:$I$89,3,0)*0.475*44/12</f>
        <v>11.870988270527521</v>
      </c>
      <c r="AW32" s="21">
        <f>EXP(-LN(2)/2)*AW31+(1-EXP(-LN(2)/2))/(LN(2)/2)*AQ32*AT32*VLOOKUP('Données projet'!$B$10,Paramètres!$A$1:$I$89,3,0)*0.475*44/12</f>
        <v>5.0689563174318062</v>
      </c>
      <c r="AX32" s="21">
        <f t="shared" si="6"/>
        <v>24.092460161047555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20.836666666666673</v>
      </c>
      <c r="BD32" s="12">
        <f>IF('Données projet'!$A$88&gt;35,BD31+BC32-BL31,IF(A32&lt;'Données projet'!$A$88,$BA$205^A32,IF(A32='Données projet'!$A$88,'Données projet'!$B$88,BD31+BC32-BL31)))</f>
        <v>239.26333333333338</v>
      </c>
      <c r="BE32" s="13">
        <f>BD32*VLOOKUP('Données projet'!$B$11,Paramètres!$A$1:$I$89,3,0)*VLOOKUP('Données projet'!$B$11,Paramètres!$A$1:$I$89,5,0)</f>
        <v>143.07947333333337</v>
      </c>
      <c r="BF32" s="13">
        <f t="shared" si="37"/>
        <v>37.001573778174709</v>
      </c>
      <c r="BG32" s="20">
        <f t="shared" si="7"/>
        <v>313.64115705254318</v>
      </c>
      <c r="BH32" s="59">
        <f t="shared" si="8"/>
        <v>550.56905437531896</v>
      </c>
      <c r="BI32" s="59">
        <f ca="1">AVERAGE(OFFSET($BH$3,0,0,'Données projet'!$E$11+1,1))-AVERAGE(OFFSET($H$3,0,0,'Données projet'!$E$11+1,1))</f>
        <v>460.88622650237176</v>
      </c>
      <c r="BJ32" s="59">
        <f t="shared" si="38"/>
        <v>396.05161661639647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7.0610703739376506</v>
      </c>
      <c r="BQ32" s="21">
        <f>EXP(-LN(2)/25)*BQ31+(1-EXP(-LN(2)/25))/(LN(2)/25)*Calculateur!BL32*Calculateur!BN32*VLOOKUP('Données projet'!$B$11,Paramètres!$A$1:$I$89,3,0)*0.475*44/12</f>
        <v>11.027674052812772</v>
      </c>
      <c r="BR32" s="21">
        <f>EXP(-LN(2)/2)*BR31+(1-EXP(-LN(2)/2))/(LN(2)/2)*BL32*BO32*VLOOKUP('Données projet'!$B$11,Paramètres!$A$1:$I$89,3,0)*0.475*44/12</f>
        <v>2.0066286584954027</v>
      </c>
      <c r="BS32" s="22">
        <f t="shared" si="9"/>
        <v>20.095373085245825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23.267142857142858</v>
      </c>
      <c r="BY32" s="12">
        <f>IF('Données projet'!$A$114&gt;35,BY31+BX32-CG31,IF(A32&lt;'Données projet'!$A$114,$BV$205^A32,IF(A32='Données projet'!$A$114,'Données projet'!$B$114,BY31+BX32-CG31)))</f>
        <v>237.5171428571428</v>
      </c>
      <c r="BZ32" s="13">
        <f>BY32*VLOOKUP('Données projet'!$B$12,Paramètres!$A$1:$I$89,3,0)*VLOOKUP('Données projet'!$B$12,Paramètres!$A$1:$I$89,5,0)</f>
        <v>108.07029999999996</v>
      </c>
      <c r="CA32" s="13">
        <f t="shared" si="39"/>
        <v>28.875864948612666</v>
      </c>
      <c r="CB32" s="20">
        <f t="shared" si="10"/>
        <v>238.51457061883363</v>
      </c>
      <c r="CC32" s="59">
        <f t="shared" si="11"/>
        <v>475.44246794160949</v>
      </c>
      <c r="CD32" s="59">
        <f ca="1">AVERAGE(OFFSET($CC$3,0,0,'Données projet'!$E$12+1,1))-AVERAGE(OFFSET($H$3,0,0,'Données projet'!$E$12+1,1))</f>
        <v>341.60063595566282</v>
      </c>
      <c r="CE32" s="59">
        <f t="shared" si="40"/>
        <v>317.05609766344219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10.260881223733048</v>
      </c>
      <c r="CL32" s="21">
        <f>EXP(-LN(2)/25)*CL31+(1-EXP(-LN(2)/25))/(LN(2)/25)*Calculateur!CG32*Calculateur!CI32*VLOOKUP('Données projet'!$B$12,Paramètres!$A$1:$I$89,3,0)*0.475*44/12</f>
        <v>16.178399016447457</v>
      </c>
      <c r="CM32" s="21">
        <f>EXP(-LN(2)/2)*CM31+(1-EXP(-LN(2)/2))/(LN(2)/2)*CG32*CJ32*VLOOKUP('Données projet'!$B$12,Paramètres!$A$1:$I$89,3,0)*0.475*44/12</f>
        <v>8.3626894918925512</v>
      </c>
      <c r="CN32" s="22">
        <f t="shared" si="12"/>
        <v>34.801969732073054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7.3079999999999981</v>
      </c>
      <c r="CT32" s="12">
        <f>IF('Données projet'!$A$140&gt;35,CT31+CS32-DB31,IF(A32&lt;'Données projet'!$A$140,$CQ$205^A32,IF(A32='Données projet'!$A$140,'Données projet'!$B$140,CT31+CS32-DB31)))</f>
        <v>97.181999999999945</v>
      </c>
      <c r="CU32" s="17">
        <f>CT32*VLOOKUP('Données projet'!$B$13,Paramètres!$A$1:$I$89,3,0)*VLOOKUP('Données projet'!$B$13,Paramètres!$A$1:$I$89,5,0)</f>
        <v>101.57462639999994</v>
      </c>
      <c r="CV32" s="13">
        <f t="shared" si="41"/>
        <v>27.336788788317392</v>
      </c>
      <c r="CW32" s="20">
        <f t="shared" si="13"/>
        <v>224.52071478631933</v>
      </c>
      <c r="CX32" s="59">
        <f t="shared" si="14"/>
        <v>461.44861210909517</v>
      </c>
      <c r="CY32" s="59">
        <f ca="1">AVERAGE(OFFSET($CX$3,0,0,'Données projet'!$E$13+1,1))-AVERAGE(OFFSET($H$3,0,0,'Données projet'!$E$13+1,1))</f>
        <v>287.73449456153207</v>
      </c>
      <c r="CZ32" s="59">
        <f t="shared" si="42"/>
        <v>296.74833899433281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4.3352272727272725</v>
      </c>
      <c r="DO32" s="12">
        <f>IF('Données projet'!$A$166&gt;35,DO31+DN32-DW31,IF(A32&lt;'Données projet'!$A$166,$DL$205^A32,IF(A32='Données projet'!$A$166,'Données projet'!$B$166,DO31+DN32-DW31)))</f>
        <v>125.72159090909082</v>
      </c>
      <c r="DP32" s="17">
        <f>DO32*VLOOKUP('Données projet'!$B$14,Paramètres!$A$1:$I$89,3,0)*VLOOKUP('Données projet'!$B$14,Paramètres!$A$1:$I$89,5,0)</f>
        <v>127.4816931818181</v>
      </c>
      <c r="DQ32" s="13">
        <f t="shared" si="43"/>
        <v>33.413791730352315</v>
      </c>
      <c r="DR32" s="20">
        <f t="shared" si="16"/>
        <v>280.22630288869681</v>
      </c>
      <c r="DS32" s="59">
        <f t="shared" si="17"/>
        <v>517.1542002114727</v>
      </c>
      <c r="DT32" s="59">
        <f ca="1">AVERAGE(OFFSET($DS$3,0,0,'Données projet'!$E$14+1,1))-AVERAGE(OFFSET($H$3,0,0,'Données projet'!$E$14+1,1))</f>
        <v>532.34688562681413</v>
      </c>
      <c r="DU32" s="59">
        <f t="shared" si="44"/>
        <v>345.42627129678556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5.5120000000000005</v>
      </c>
      <c r="EJ32" s="12">
        <f>IF('Données projet'!$A$192&gt;35,EJ31+EI32-ER31,IF(A32&lt;'Données projet'!$A$192,$EG$205^A32,IF(A32='Données projet'!$A$192,'Données projet'!$B$192,EJ31+EI32-ER31)))</f>
        <v>150.25800000000001</v>
      </c>
      <c r="EK32" s="17">
        <f>EJ32*VLOOKUP('Données projet'!$B$15,Paramètres!$A$1:$I$89,3,0)*VLOOKUP('Données projet'!$B$15,Paramètres!$A$1:$I$89,5,0)</f>
        <v>135.95343840000001</v>
      </c>
      <c r="EL32" s="13">
        <f t="shared" si="45"/>
        <v>35.368418592006812</v>
      </c>
      <c r="EM32" s="20">
        <f t="shared" si="19"/>
        <v>298.38556759441184</v>
      </c>
      <c r="EN32" s="59">
        <f t="shared" si="20"/>
        <v>535.31346491718773</v>
      </c>
      <c r="EO32" s="59">
        <f ca="1">AVERAGE(OFFSET($EN$3,0,0,'Données projet'!$E$15+1,1))-AVERAGE(OFFSET($H$3,0,0,'Données projet'!$E$15+1,1))</f>
        <v>256.20286603823035</v>
      </c>
      <c r="EP32" s="59">
        <f t="shared" si="46"/>
        <v>364.83827155069434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4.3352272727272725</v>
      </c>
      <c r="FE32" s="12">
        <f>IF('Données projet'!$A$218&gt;35,FE31+FD32-FM31,IF(A32&lt;'Données projet'!$A$218,$FB$205^A32,IF(A32='Données projet'!$A$218,'Données projet'!$B$218,FE31+FD32-FM31)))</f>
        <v>125.72159090909082</v>
      </c>
      <c r="FF32" s="17">
        <f>FE32*VLOOKUP('Données projet'!$B$16,Paramètres!$A$1:$I$89,3,0)*VLOOKUP('Données projet'!$B$16,Paramètres!$A$1:$I$89,5,0)</f>
        <v>84.334043181818117</v>
      </c>
      <c r="FG32" s="13">
        <f t="shared" si="47"/>
        <v>23.193604471988415</v>
      </c>
      <c r="FH32" s="20">
        <f t="shared" si="22"/>
        <v>187.277319663713</v>
      </c>
      <c r="FI32" s="59">
        <f t="shared" si="23"/>
        <v>424.20521698648884</v>
      </c>
      <c r="FJ32" s="59">
        <f ca="1">AVERAGE(OFFSET($FI$3,0,0,'Données projet'!$E$16+1,1))-AVERAGE(OFFSET($H$3,0,0,'Données projet'!$E$16+1,1))</f>
        <v>380.73695370216979</v>
      </c>
      <c r="FK32" s="59">
        <f t="shared" si="48"/>
        <v>249.34467160415713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4.3352272727272725</v>
      </c>
      <c r="FZ32" s="12">
        <f>IF('Données projet'!$A$244&gt;35,FZ31+FY32-GH31,IF(A32&lt;'Données projet'!$A$244,$FW$205^A32,IF(A32='Données projet'!$A$244,'Données projet'!$B$244,FZ31+FY32-GH31)))</f>
        <v>125.72159090909082</v>
      </c>
      <c r="GA32" s="17">
        <f>FZ32*VLOOKUP('Données projet'!$B$17,Paramètres!$A$1:$I$89,3,0)*VLOOKUP('Données projet'!$B$17,Paramètres!$A$1:$I$89,5,0)</f>
        <v>121.59792272727265</v>
      </c>
      <c r="GB32" s="13">
        <f t="shared" si="49"/>
        <v>32.047401119274099</v>
      </c>
      <c r="GC32" s="20">
        <f t="shared" si="25"/>
        <v>267.59893903273559</v>
      </c>
      <c r="GD32" s="59">
        <f t="shared" si="26"/>
        <v>504.52683635551142</v>
      </c>
      <c r="GE32" s="59">
        <f ca="1">AVERAGE(OFFSET($GD$3,0,0,'Données projet'!$E$17+1,1))-AVERAGE(OFFSET($H$3,0,0,'Données projet'!$E$17+1,1))</f>
        <v>511.7458522930001</v>
      </c>
      <c r="GF32" s="59">
        <f t="shared" si="50"/>
        <v>332.37317679966122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11.8</v>
      </c>
      <c r="GU32" s="12">
        <f>IF('Données projet'!$A$270&gt;35,GU31+GT32-HC31,IF(A32&lt;'Données projet'!$A$270,$GR$205^A32,IF(A32='Données projet'!$A$270,'Données projet'!$B$270,GU31+GT32-HC31)))</f>
        <v>134.19999999999996</v>
      </c>
      <c r="GV32" s="17">
        <f>GU32*VLOOKUP('Données projet'!$B$18,Paramètres!$A$1:$I$89,3,0)*VLOOKUP('Données projet'!$B$18,Paramètres!$A$1:$I$89,5,0)</f>
        <v>117.23711999999999</v>
      </c>
      <c r="GW32" s="13">
        <f t="shared" si="51"/>
        <v>31.029731926851227</v>
      </c>
      <c r="GX32" s="20">
        <f t="shared" si="28"/>
        <v>258.23143377259919</v>
      </c>
      <c r="GY32" s="59">
        <f t="shared" si="29"/>
        <v>495.15933109537502</v>
      </c>
      <c r="GZ32" s="59">
        <f ca="1">AVERAGE(OFFSET($GY$3,0,0,'Données projet'!$E$18+1,1))-AVERAGE(OFFSET($H$3,0,0,'Données projet'!$E$18+1,1))</f>
        <v>348.77506423101278</v>
      </c>
      <c r="HA32" s="59">
        <f t="shared" si="52"/>
        <v>336.13747591329548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">
      <c r="A33" s="10">
        <f t="shared" si="31"/>
        <v>30</v>
      </c>
      <c r="B33" s="71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5">
        <f t="shared" si="1"/>
        <v>183.33333333333334</v>
      </c>
      <c r="I33" s="6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9.9228571428571435</v>
      </c>
      <c r="N33" s="13">
        <f>IF('Données projet'!$A$36&gt;35,N32+M33-V32,IF(A33&lt;'Données projet'!$A$36,$K$205^A33,IF(A33='Données projet'!$A$36,'Données projet'!$B$36,N32+M33-V32)))</f>
        <v>297.68571428571425</v>
      </c>
      <c r="O33" s="13">
        <f>N33*VLOOKUP('Données projet'!$B$9,Paramètres!$A$1:$I$89,3,0)*VLOOKUP('Données projet'!$B$9,Paramètres!$A$1:$I$89,5,0)</f>
        <v>139.31691428571426</v>
      </c>
      <c r="P33" s="13">
        <f t="shared" si="33"/>
        <v>36.14047563226957</v>
      </c>
      <c r="Q33" s="20">
        <f t="shared" si="2"/>
        <v>305.58828744048856</v>
      </c>
      <c r="R33" s="59">
        <f t="shared" si="0"/>
        <v>544.69571237353057</v>
      </c>
      <c r="S33" s="59">
        <f ca="1">AVERAGE(OFFSET($R$3,0,0,'Données projet'!$E$9+1,1))-AVERAGE(OFFSET($H$3,0,0,'Données projet'!$E$9+1,1))</f>
        <v>387.50901594883317</v>
      </c>
      <c r="T33" s="59">
        <f t="shared" si="34"/>
        <v>361.3623790401972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16.614999999999998</v>
      </c>
      <c r="AI33" s="13">
        <f>IF('Données projet'!$A$62&gt;35,AI32+AH33-AQ32,IF(A33&lt;'Données projet'!$A$62,$AF$205^A33,IF(A33='Données projet'!$A$62,'Données projet'!$B$62,AI32+AH33-AQ32)))</f>
        <v>167.495</v>
      </c>
      <c r="AJ33" s="13">
        <f>AI33*VLOOKUP('Données projet'!$B$10,Paramètres!$A$1:$I$89,3,0)*VLOOKUP('Données projet'!$B$10,Paramètres!$A$1:$I$89,5,0)</f>
        <v>100.16201000000001</v>
      </c>
      <c r="AK33" s="13">
        <f t="shared" si="35"/>
        <v>27.000590559708886</v>
      </c>
      <c r="AL33" s="20">
        <f t="shared" si="4"/>
        <v>221.47486264149299</v>
      </c>
      <c r="AM33" s="59">
        <f t="shared" si="5"/>
        <v>460.58228757453497</v>
      </c>
      <c r="AN33" s="59">
        <f ca="1">AVERAGE(OFFSET($AM$3,0,0,'Données projet'!$E$10+1,1))-AVERAGE(OFFSET($H$3,0,0,'Données projet'!$E$10+1,1))</f>
        <v>373.47758082856359</v>
      </c>
      <c r="AO33" s="59">
        <f t="shared" si="36"/>
        <v>277.24895424120166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7.0122591053036967</v>
      </c>
      <c r="AV33" s="21">
        <f>EXP(-LN(2)/25)*AV32+(1-EXP(-LN(2)/25))/(LN(2)/25)*Calculateur!AQ33*Calculateur!AS33*VLOOKUP('Données projet'!$B$10,Paramètres!$A$1:$I$89,3,0)*0.475*44/12</f>
        <v>11.546375472001804</v>
      </c>
      <c r="AW33" s="21">
        <f>EXP(-LN(2)/2)*AW32+(1-EXP(-LN(2)/2))/(LN(2)/2)*AQ33*AT33*VLOOKUP('Données projet'!$B$10,Paramètres!$A$1:$I$89,3,0)*0.475*44/12</f>
        <v>3.5842933855944201</v>
      </c>
      <c r="AX33" s="21">
        <f t="shared" si="6"/>
        <v>22.142927962899922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260.10000000000002</v>
      </c>
      <c r="BB33" s="12">
        <f>VLOOKUP(A33,'Données projet'!$A$87:$I$107,9,0)</f>
        <v>20.836666666666673</v>
      </c>
      <c r="BC33" s="12">
        <f t="array" ref="BC33">INDEX(BB:BB,MIN(IF(ISNUMBER(BB33:BB229),ROW(BB33:BB229),"")))</f>
        <v>20.836666666666673</v>
      </c>
      <c r="BD33" s="12">
        <f>IF('Données projet'!$A$88&gt;35,BD32+BC33-BL32,IF(A33&lt;'Données projet'!$A$88,$BA$205^A33,IF(A33='Données projet'!$A$88,'Données projet'!$B$88,BD32+BC33-BL32)))</f>
        <v>260.10000000000002</v>
      </c>
      <c r="BE33" s="13">
        <f>BD33*VLOOKUP('Données projet'!$B$11,Paramètres!$A$1:$I$89,3,0)*VLOOKUP('Données projet'!$B$11,Paramètres!$A$1:$I$89,5,0)</f>
        <v>155.53980000000001</v>
      </c>
      <c r="BF33" s="13">
        <f t="shared" si="37"/>
        <v>39.834855511973885</v>
      </c>
      <c r="BG33" s="20">
        <f t="shared" si="7"/>
        <v>340.27752501668789</v>
      </c>
      <c r="BH33" s="59">
        <f t="shared" si="8"/>
        <v>579.38494994972984</v>
      </c>
      <c r="BI33" s="59">
        <f ca="1">AVERAGE(OFFSET($BH$3,0,0,'Données projet'!$E$11+1,1))-AVERAGE(OFFSET($H$3,0,0,'Données projet'!$E$11+1,1))</f>
        <v>460.88622650237176</v>
      </c>
      <c r="BJ33" s="59">
        <f t="shared" si="38"/>
        <v>396.05161661639647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66.989999999999995</v>
      </c>
      <c r="BM33" s="16">
        <f>IF(ISNA(VLOOKUP(A33,'Données projet'!$A$87:$I$107,5,0)),0%,VLOOKUP(A33,'Données projet'!$A$87:$I$107,5,0)*VLOOKUP('Données projet'!$B$11,Paramètres!$A$1:$I$89,7,0))</f>
        <v>0.18000000000000002</v>
      </c>
      <c r="BN33" s="16">
        <f>IF(ISNA(VLOOKUP(A33,'Données projet'!$A$87:$I$107,6,0)),0%,VLOOKUP(A33,'Données projet'!$A$87:$I$107,6,0)*VLOOKUP('Données projet'!$B$11,Paramètres!$A$1:$I$89,7,0))</f>
        <v>0.15300000000000002</v>
      </c>
      <c r="BO33" s="16">
        <f>IF(ISNA(VLOOKUP(A33,'Données projet'!$A$87:$I$107,7,0)),0%,VLOOKUP(A33,'Données projet'!$A$87:$I$107,7,0))</f>
        <v>0.26</v>
      </c>
      <c r="BP33" s="21">
        <f>EXP(-LN(2)/35)*BP32+(1-EXP(-LN(2)/35))/(LN(2)/35)*BL33*BM33*VLOOKUP('Données projet'!$B$11,Paramètres!$A$1:$I$89,3,0)*0.475*44/12</f>
        <v>16.488202841647876</v>
      </c>
      <c r="BQ33" s="21">
        <f>EXP(-LN(2)/25)*BQ32+(1-EXP(-LN(2)/25))/(LN(2)/25)*Calculateur!BL33*Calculateur!BN33*VLOOKUP('Données projet'!$B$11,Paramètres!$A$1:$I$89,3,0)*0.475*44/12</f>
        <v>18.824864228234873</v>
      </c>
      <c r="BR33" s="21">
        <f>EXP(-LN(2)/2)*BR32+(1-EXP(-LN(2)/2))/(LN(2)/2)*BL33*BO33*VLOOKUP('Données projet'!$B$11,Paramètres!$A$1:$I$89,3,0)*0.475*44/12</f>
        <v>13.211785337469967</v>
      </c>
      <c r="BS33" s="22">
        <f t="shared" si="9"/>
        <v>48.524852407352718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23.267142857142858</v>
      </c>
      <c r="BY33" s="12">
        <f>IF('Données projet'!$A$114&gt;35,BY32+BX33-CG32,IF(A33&lt;'Données projet'!$A$114,$BV$205^A33,IF(A33='Données projet'!$A$114,'Données projet'!$B$114,BY32+BX33-CG32)))</f>
        <v>260.78428571428566</v>
      </c>
      <c r="BZ33" s="13">
        <f>BY33*VLOOKUP('Données projet'!$B$12,Paramètres!$A$1:$I$89,3,0)*VLOOKUP('Données projet'!$B$12,Paramètres!$A$1:$I$89,5,0)</f>
        <v>118.65684999999998</v>
      </c>
      <c r="CA33" s="13">
        <f t="shared" si="39"/>
        <v>31.361526687311194</v>
      </c>
      <c r="CB33" s="20">
        <f t="shared" si="10"/>
        <v>261.2820060637336</v>
      </c>
      <c r="CC33" s="59">
        <f t="shared" si="11"/>
        <v>500.38943099677556</v>
      </c>
      <c r="CD33" s="59">
        <f ca="1">AVERAGE(OFFSET($CC$3,0,0,'Données projet'!$E$12+1,1))-AVERAGE(OFFSET($H$3,0,0,'Données projet'!$E$12+1,1))</f>
        <v>341.60063595566282</v>
      </c>
      <c r="CE33" s="59">
        <f t="shared" si="40"/>
        <v>317.05609766344219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10.059671601455211</v>
      </c>
      <c r="CL33" s="21">
        <f>EXP(-LN(2)/25)*CL32+(1-EXP(-LN(2)/25))/(LN(2)/25)*Calculateur!CG33*Calculateur!CI33*VLOOKUP('Données projet'!$B$12,Paramètres!$A$1:$I$89,3,0)*0.475*44/12</f>
        <v>15.735999844557673</v>
      </c>
      <c r="CM33" s="21">
        <f>EXP(-LN(2)/2)*CM32+(1-EXP(-LN(2)/2))/(LN(2)/2)*CG33*CJ33*VLOOKUP('Données projet'!$B$12,Paramètres!$A$1:$I$89,3,0)*0.475*44/12</f>
        <v>5.9133144486747069</v>
      </c>
      <c r="CN33" s="22">
        <f t="shared" si="12"/>
        <v>31.70898589468759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104.49</v>
      </c>
      <c r="CR33" s="12">
        <f>VLOOKUP(A33,'Données projet'!$A$139:$I$159,9,0)</f>
        <v>7.3079999999999981</v>
      </c>
      <c r="CS33" s="12">
        <f t="array" ref="CS33">INDEX(CR:CR,MIN(IF(ISNUMBER(CR33:CR229),ROW(CR33:CR229),"")))</f>
        <v>7.3079999999999981</v>
      </c>
      <c r="CT33" s="12">
        <f>IF('Données projet'!$A$140&gt;35,CT32+CS33-DB32,IF(A33&lt;'Données projet'!$A$140,$CQ$205^A33,IF(A33='Données projet'!$A$140,'Données projet'!$B$140,CT32+CS33-DB32)))</f>
        <v>104.48999999999994</v>
      </c>
      <c r="CU33" s="17">
        <f>CT33*VLOOKUP('Données projet'!$B$13,Paramètres!$A$1:$I$89,3,0)*VLOOKUP('Données projet'!$B$13,Paramètres!$A$1:$I$89,5,0)</f>
        <v>109.21294799999994</v>
      </c>
      <c r="CV33" s="13">
        <f t="shared" si="41"/>
        <v>29.145471556722082</v>
      </c>
      <c r="CW33" s="20">
        <f t="shared" si="13"/>
        <v>240.97424739462417</v>
      </c>
      <c r="CX33" s="59">
        <f t="shared" si="14"/>
        <v>480.08167232766618</v>
      </c>
      <c r="CY33" s="59">
        <f ca="1">AVERAGE(OFFSET($CX$3,0,0,'Données projet'!$E$13+1,1))-AVERAGE(OFFSET($H$3,0,0,'Données projet'!$E$13+1,1))</f>
        <v>287.73449456153207</v>
      </c>
      <c r="CZ33" s="59">
        <f t="shared" si="42"/>
        <v>296.74833899433281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23.72</v>
      </c>
      <c r="DC33" s="16">
        <f>IF(ISNA(VLOOKUP(A33,'Données projet'!$A$139:$I$159,5,0)),0%,VLOOKUP(A33,'Données projet'!$A$139:$I$159,5,0)*VLOOKUP('Données projet'!$B$13,Paramètres!$A$1:$I$89,7,0))</f>
        <v>8.6000000000000007E-2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2.357000351991938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2.357000351991938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4.3352272727272725</v>
      </c>
      <c r="DO33" s="12">
        <f>IF('Données projet'!$A$166&gt;35,DO32+DN33-DW32,IF(A33&lt;'Données projet'!$A$166,$DL$205^A33,IF(A33='Données projet'!$A$166,'Données projet'!$B$166,DO32+DN33-DW32)))</f>
        <v>130.0568181818181</v>
      </c>
      <c r="DP33" s="17">
        <f>DO33*VLOOKUP('Données projet'!$B$14,Paramètres!$A$1:$I$89,3,0)*VLOOKUP('Données projet'!$B$14,Paramètres!$A$1:$I$89,5,0)</f>
        <v>131.87761363636358</v>
      </c>
      <c r="DQ33" s="13">
        <f t="shared" si="43"/>
        <v>34.429857960044266</v>
      </c>
      <c r="DR33" s="20">
        <f t="shared" si="16"/>
        <v>289.65217969707697</v>
      </c>
      <c r="DS33" s="59">
        <f t="shared" si="17"/>
        <v>528.75960463011893</v>
      </c>
      <c r="DT33" s="59">
        <f ca="1">AVERAGE(OFFSET($DS$3,0,0,'Données projet'!$E$14+1,1))-AVERAGE(OFFSET($H$3,0,0,'Données projet'!$E$14+1,1))</f>
        <v>532.34688562681413</v>
      </c>
      <c r="DU33" s="59">
        <f t="shared" si="44"/>
        <v>345.42627129678556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155.77000000000001</v>
      </c>
      <c r="EH33" s="12">
        <f>VLOOKUP(A33,'Données projet'!$A$191:$I$211,9,0)</f>
        <v>5.5120000000000005</v>
      </c>
      <c r="EI33" s="12">
        <f t="array" ref="EI33">INDEX(EH:EH,MIN(IF(ISNUMBER(EH33:EH229),ROW(EH33:EH229),"")))</f>
        <v>5.5120000000000005</v>
      </c>
      <c r="EJ33" s="12">
        <f>IF('Données projet'!$A$192&gt;35,EJ32+EI33-ER32,IF(A33&lt;'Données projet'!$A$192,$EG$205^A33,IF(A33='Données projet'!$A$192,'Données projet'!$B$192,EJ32+EI33-ER32)))</f>
        <v>155.77000000000001</v>
      </c>
      <c r="EK33" s="17">
        <f>EJ33*VLOOKUP('Données projet'!$B$15,Paramètres!$A$1:$I$89,3,0)*VLOOKUP('Données projet'!$B$15,Paramètres!$A$1:$I$89,5,0)</f>
        <v>140.940696</v>
      </c>
      <c r="EL33" s="13">
        <f t="shared" si="45"/>
        <v>36.512421675207158</v>
      </c>
      <c r="EM33" s="20">
        <f t="shared" si="19"/>
        <v>309.06417995098576</v>
      </c>
      <c r="EN33" s="59">
        <f t="shared" si="20"/>
        <v>548.17160488402772</v>
      </c>
      <c r="EO33" s="59">
        <f ca="1">AVERAGE(OFFSET($EN$3,0,0,'Données projet'!$E$15+1,1))-AVERAGE(OFFSET($H$3,0,0,'Données projet'!$E$15+1,1))</f>
        <v>256.20286603823035</v>
      </c>
      <c r="EP33" s="59">
        <f t="shared" si="46"/>
        <v>364.83827155069434</v>
      </c>
      <c r="EQ33" s="15">
        <f>IF(ISNA(VLOOKUP(A33,'Données projet'!$A$191:$I$211,3,0)),0,VLOOKUP(A33,'Données projet'!$A$191:$I$211,3,0))</f>
        <v>6</v>
      </c>
      <c r="ER33" s="15">
        <f>IF(ISNA(VLOOKUP(A33,'Données projet'!$A$191:$I$211,4,0)),0,VLOOKUP(A33,'Données projet'!$A$191:$I$211,4,0))</f>
        <v>7.05</v>
      </c>
      <c r="ES33" s="16">
        <f>IF(ISNA(VLOOKUP(A33,'Données projet'!$A$191:$I$211,5,0)),0%,VLOOKUP(A33,'Données projet'!$A$191:$I$211,5,0)*VLOOKUP('Données projet'!$B$15,Paramètres!$A$1:$I$89,7,0))</f>
        <v>0.12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0.84619424109359553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0.84619424109359553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4.3352272727272725</v>
      </c>
      <c r="FE33" s="12">
        <f>IF('Données projet'!$A$218&gt;35,FE32+FD33-FM32,IF(A33&lt;'Données projet'!$A$218,$FB$205^A33,IF(A33='Données projet'!$A$218,'Données projet'!$B$218,FE32+FD33-FM32)))</f>
        <v>130.0568181818181</v>
      </c>
      <c r="FF33" s="17">
        <f>FE33*VLOOKUP('Données projet'!$B$16,Paramètres!$A$1:$I$89,3,0)*VLOOKUP('Données projet'!$B$16,Paramètres!$A$1:$I$89,5,0)</f>
        <v>87.242113636363584</v>
      </c>
      <c r="FG33" s="13">
        <f t="shared" si="47"/>
        <v>23.898889237003949</v>
      </c>
      <c r="FH33" s="20">
        <f t="shared" si="22"/>
        <v>193.57058000444849</v>
      </c>
      <c r="FI33" s="59">
        <f t="shared" si="23"/>
        <v>432.67800493749047</v>
      </c>
      <c r="FJ33" s="59">
        <f ca="1">AVERAGE(OFFSET($FI$3,0,0,'Données projet'!$E$16+1,1))-AVERAGE(OFFSET($H$3,0,0,'Données projet'!$E$16+1,1))</f>
        <v>380.73695370216979</v>
      </c>
      <c r="FK33" s="59">
        <f t="shared" si="48"/>
        <v>249.34467160415713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4.3352272727272725</v>
      </c>
      <c r="FZ33" s="12">
        <f>IF('Données projet'!$A$244&gt;35,FZ32+FY33-GH32,IF(A33&lt;'Données projet'!$A$244,$FW$205^A33,IF(A33='Données projet'!$A$244,'Données projet'!$B$244,FZ32+FY33-GH32)))</f>
        <v>130.0568181818181</v>
      </c>
      <c r="GA33" s="17">
        <f>FZ33*VLOOKUP('Données projet'!$B$17,Paramètres!$A$1:$I$89,3,0)*VLOOKUP('Données projet'!$B$17,Paramètres!$A$1:$I$89,5,0)</f>
        <v>125.79095454545447</v>
      </c>
      <c r="GB33" s="13">
        <f t="shared" si="49"/>
        <v>33.021917339685793</v>
      </c>
      <c r="GC33" s="20">
        <f t="shared" si="25"/>
        <v>276.59908519995264</v>
      </c>
      <c r="GD33" s="59">
        <f t="shared" si="26"/>
        <v>515.70651013299459</v>
      </c>
      <c r="GE33" s="59">
        <f ca="1">AVERAGE(OFFSET($GD$3,0,0,'Données projet'!$E$17+1,1))-AVERAGE(OFFSET($H$3,0,0,'Données projet'!$E$17+1,1))</f>
        <v>511.7458522930001</v>
      </c>
      <c r="GF33" s="59">
        <f t="shared" si="50"/>
        <v>332.37317679966122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146</v>
      </c>
      <c r="GS33" s="12">
        <f>VLOOKUP(A33,'Données projet'!$A$269:$I$289,9,0)</f>
        <v>11.8</v>
      </c>
      <c r="GT33" s="12">
        <f t="array" ref="GT33">INDEX(GS:GS,MIN(IF(ISNUMBER(GS33:GS229),ROW(GS33:GS229),"")))</f>
        <v>11.8</v>
      </c>
      <c r="GU33" s="12">
        <f>IF('Données projet'!$A$270&gt;35,GU32+GT33-HC32,IF(A33&lt;'Données projet'!$A$270,$GR$205^A33,IF(A33='Données projet'!$A$270,'Données projet'!$B$270,GU32+GT33-HC32)))</f>
        <v>145.99999999999997</v>
      </c>
      <c r="GV33" s="17">
        <f>GU33*VLOOKUP('Données projet'!$B$18,Paramètres!$A$1:$I$89,3,0)*VLOOKUP('Données projet'!$B$18,Paramètres!$A$1:$I$89,5,0)</f>
        <v>127.54559999999999</v>
      </c>
      <c r="GW33" s="13">
        <f t="shared" si="51"/>
        <v>33.428591950384806</v>
      </c>
      <c r="GX33" s="20">
        <f t="shared" si="28"/>
        <v>280.36338431358689</v>
      </c>
      <c r="GY33" s="59">
        <f t="shared" si="29"/>
        <v>519.47080924662885</v>
      </c>
      <c r="GZ33" s="59">
        <f ca="1">AVERAGE(OFFSET($GY$3,0,0,'Données projet'!$E$18+1,1))-AVERAGE(OFFSET($H$3,0,0,'Données projet'!$E$18+1,1))</f>
        <v>348.77506423101278</v>
      </c>
      <c r="HA33" s="59">
        <f t="shared" si="52"/>
        <v>336.13747591329548</v>
      </c>
      <c r="HB33" s="15">
        <f>IF(ISNA(VLOOKUP(A33,'Données projet'!$A$269:$I$289,3,0)),0,VLOOKUP(A33,'Données projet'!$A$269:$I$289,3,0))</f>
        <v>4</v>
      </c>
      <c r="HC33" s="15">
        <f>IF(ISNA(VLOOKUP(A33,'Données projet'!$A$269:$I$289,4,0)),0,VLOOKUP(A33,'Données projet'!$A$269:$I$289,4,0))</f>
        <v>28</v>
      </c>
      <c r="HD33" s="16">
        <f>IF(ISNA(VLOOKUP(A33,'Données projet'!$A$269:$I$289,5,0)),0%,VLOOKUP(A33,'Données projet'!$A$269:$I$289,5,0)*VLOOKUP('Données projet'!$B$18,Paramètres!$A$1:$I$89,7,0))</f>
        <v>0.10600000000000001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2.866313125126037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2.866313125126037</v>
      </c>
    </row>
    <row r="34" spans="1:218" x14ac:dyDescent="0.2">
      <c r="A34" s="10">
        <f t="shared" si="31"/>
        <v>31</v>
      </c>
      <c r="B34" s="71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5">
        <f t="shared" si="1"/>
        <v>183.33333333333334</v>
      </c>
      <c r="I34" s="6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9.9228571428571435</v>
      </c>
      <c r="N34" s="13">
        <f>IF('Données projet'!$A$36&gt;35,N33+M34-V33,IF(A34&lt;'Données projet'!$A$36,$K$205^A34,IF(A34='Données projet'!$A$36,'Données projet'!$B$36,N33+M34-V33)))</f>
        <v>307.60857142857139</v>
      </c>
      <c r="O34" s="13">
        <f>N34*VLOOKUP('Données projet'!$B$9,Paramètres!$A$1:$I$89,3,0)*VLOOKUP('Données projet'!$B$9,Paramètres!$A$1:$I$89,5,0)</f>
        <v>143.96081142857142</v>
      </c>
      <c r="P34" s="13">
        <f t="shared" si="33"/>
        <v>37.202893233556154</v>
      </c>
      <c r="Q34" s="20">
        <f t="shared" si="2"/>
        <v>315.52678561987216</v>
      </c>
      <c r="R34" s="59">
        <f t="shared" si="0"/>
        <v>555.57490883268974</v>
      </c>
      <c r="S34" s="59">
        <f ca="1">AVERAGE(OFFSET($R$3,0,0,'Données projet'!$E$9+1,1))-AVERAGE(OFFSET($H$3,0,0,'Données projet'!$E$9+1,1))</f>
        <v>387.50901594883317</v>
      </c>
      <c r="T34" s="59">
        <f t="shared" si="34"/>
        <v>361.3623790401972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16.614999999999998</v>
      </c>
      <c r="AI34" s="13">
        <f>IF('Données projet'!$A$62&gt;35,AI33+AH34-AQ33,IF(A34&lt;'Données projet'!$A$62,$AF$205^A34,IF(A34='Données projet'!$A$62,'Données projet'!$B$62,AI33+AH34-AQ33)))</f>
        <v>184.11</v>
      </c>
      <c r="AJ34" s="13">
        <f>AI34*VLOOKUP('Données projet'!$B$10,Paramètres!$A$1:$I$89,3,0)*VLOOKUP('Données projet'!$B$10,Paramètres!$A$1:$I$89,5,0)</f>
        <v>110.09778000000001</v>
      </c>
      <c r="AK34" s="13">
        <f t="shared" si="35"/>
        <v>29.354021111763256</v>
      </c>
      <c r="AL34" s="20">
        <f t="shared" si="4"/>
        <v>242.87855360298769</v>
      </c>
      <c r="AM34" s="59">
        <f t="shared" si="5"/>
        <v>482.92667681580525</v>
      </c>
      <c r="AN34" s="59">
        <f ca="1">AVERAGE(OFFSET($AM$3,0,0,'Données projet'!$E$10+1,1))-AVERAGE(OFFSET($H$3,0,0,'Données projet'!$E$10+1,1))</f>
        <v>373.47758082856359</v>
      </c>
      <c r="AO34" s="59">
        <f t="shared" si="36"/>
        <v>277.24895424120166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6.8747529813044208</v>
      </c>
      <c r="AV34" s="21">
        <f>EXP(-LN(2)/25)*AV33+(1-EXP(-LN(2)/25))/(LN(2)/25)*Calculateur!AQ34*Calculateur!AS34*VLOOKUP('Données projet'!$B$10,Paramètres!$A$1:$I$89,3,0)*0.475*44/12</f>
        <v>11.230639227522419</v>
      </c>
      <c r="AW34" s="21">
        <f>EXP(-LN(2)/2)*AW33+(1-EXP(-LN(2)/2))/(LN(2)/2)*AQ34*AT34*VLOOKUP('Données projet'!$B$10,Paramètres!$A$1:$I$89,3,0)*0.475*44/12</f>
        <v>2.5344781587159035</v>
      </c>
      <c r="AX34" s="21">
        <f t="shared" si="6"/>
        <v>20.639870367542741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20.572857142857142</v>
      </c>
      <c r="BD34" s="12">
        <f>IF('Données projet'!$A$88&gt;35,BD33+BC34-BL33,IF(A34&lt;'Données projet'!$A$88,$BA$205^A34,IF(A34='Données projet'!$A$88,'Données projet'!$B$88,BD33+BC34-BL33)))</f>
        <v>213.68285714285713</v>
      </c>
      <c r="BE34" s="13">
        <f>BD34*VLOOKUP('Données projet'!$B$11,Paramètres!$A$1:$I$89,3,0)*VLOOKUP('Données projet'!$B$11,Paramètres!$A$1:$I$89,5,0)</f>
        <v>127.78234857142857</v>
      </c>
      <c r="BF34" s="13">
        <f t="shared" si="37"/>
        <v>33.483413182243972</v>
      </c>
      <c r="BG34" s="20">
        <f t="shared" si="7"/>
        <v>280.87120172097963</v>
      </c>
      <c r="BH34" s="59">
        <f t="shared" si="8"/>
        <v>520.91932493379716</v>
      </c>
      <c r="BI34" s="59">
        <f ca="1">AVERAGE(OFFSET($BH$3,0,0,'Données projet'!$E$11+1,1))-AVERAGE(OFFSET($H$3,0,0,'Données projet'!$E$11+1,1))</f>
        <v>460.88622650237176</v>
      </c>
      <c r="BJ34" s="59">
        <f t="shared" si="38"/>
        <v>396.05161661639647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16.164879240733868</v>
      </c>
      <c r="BQ34" s="21">
        <f>EXP(-LN(2)/25)*BQ33+(1-EXP(-LN(2)/25))/(LN(2)/25)*Calculateur!BL34*Calculateur!BN34*VLOOKUP('Données projet'!$B$11,Paramètres!$A$1:$I$89,3,0)*0.475*44/12</f>
        <v>18.310097325957205</v>
      </c>
      <c r="BR34" s="21">
        <f>EXP(-LN(2)/2)*BR33+(1-EXP(-LN(2)/2))/(LN(2)/2)*BL34*BO34*VLOOKUP('Données projet'!$B$11,Paramètres!$A$1:$I$89,3,0)*0.475*44/12</f>
        <v>9.3421430037060134</v>
      </c>
      <c r="BS34" s="22">
        <f t="shared" si="9"/>
        <v>43.817119570397082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23.267142857142858</v>
      </c>
      <c r="BY34" s="12">
        <f>IF('Données projet'!$A$114&gt;35,BY33+BX34-CG33,IF(A34&lt;'Données projet'!$A$114,$BV$205^A34,IF(A34='Données projet'!$A$114,'Données projet'!$B$114,BY33+BX34-CG33)))</f>
        <v>284.05142857142852</v>
      </c>
      <c r="BZ34" s="13">
        <f>BY34*VLOOKUP('Données projet'!$B$12,Paramètres!$A$1:$I$89,3,0)*VLOOKUP('Données projet'!$B$12,Paramètres!$A$1:$I$89,5,0)</f>
        <v>129.24339999999998</v>
      </c>
      <c r="CA34" s="13">
        <f t="shared" si="39"/>
        <v>33.821471939564844</v>
      </c>
      <c r="CB34" s="20">
        <f t="shared" si="10"/>
        <v>284.00465196140868</v>
      </c>
      <c r="CC34" s="59">
        <f t="shared" si="11"/>
        <v>524.05277517422621</v>
      </c>
      <c r="CD34" s="59">
        <f ca="1">AVERAGE(OFFSET($CC$3,0,0,'Données projet'!$E$12+1,1))-AVERAGE(OFFSET($H$3,0,0,'Données projet'!$E$12+1,1))</f>
        <v>341.60063595566282</v>
      </c>
      <c r="CE34" s="59">
        <f t="shared" si="40"/>
        <v>317.05609766344219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9.8624075771444915</v>
      </c>
      <c r="CL34" s="21">
        <f>EXP(-LN(2)/25)*CL33+(1-EXP(-LN(2)/25))/(LN(2)/25)*Calculateur!CG34*Calculateur!CI34*VLOOKUP('Données projet'!$B$12,Paramètres!$A$1:$I$89,3,0)*0.475*44/12</f>
        <v>15.305698101287977</v>
      </c>
      <c r="CM34" s="21">
        <f>EXP(-LN(2)/2)*CM33+(1-EXP(-LN(2)/2))/(LN(2)/2)*CG34*CJ34*VLOOKUP('Données projet'!$B$12,Paramètres!$A$1:$I$89,3,0)*0.475*44/12</f>
        <v>4.1813447459462765</v>
      </c>
      <c r="CN34" s="22">
        <f t="shared" si="12"/>
        <v>29.349450424378745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6.7939999999999996</v>
      </c>
      <c r="CT34" s="12">
        <f>IF('Données projet'!$A$140&gt;35,CT33+CS34-DB33,IF(A34&lt;'Données projet'!$A$140,$CQ$205^A34,IF(A34='Données projet'!$A$140,'Données projet'!$B$140,CT33+CS34-DB33)))</f>
        <v>87.563999999999936</v>
      </c>
      <c r="CU34" s="17">
        <f>CT34*VLOOKUP('Données projet'!$B$13,Paramètres!$A$1:$I$89,3,0)*VLOOKUP('Données projet'!$B$13,Paramètres!$A$1:$I$89,5,0)</f>
        <v>91.521892799999947</v>
      </c>
      <c r="CV34" s="13">
        <f t="shared" si="41"/>
        <v>24.931909914218615</v>
      </c>
      <c r="CW34" s="20">
        <f t="shared" si="13"/>
        <v>202.82370639393068</v>
      </c>
      <c r="CX34" s="59">
        <f t="shared" si="14"/>
        <v>442.87182960674824</v>
      </c>
      <c r="CY34" s="59">
        <f ca="1">AVERAGE(OFFSET($CX$3,0,0,'Données projet'!$E$13+1,1))-AVERAGE(OFFSET($H$3,0,0,'Données projet'!$E$13+1,1))</f>
        <v>287.73449456153207</v>
      </c>
      <c r="CZ34" s="59">
        <f t="shared" si="42"/>
        <v>296.74833899433281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2.3107810127176367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2.3107810127176367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4.3352272727272725</v>
      </c>
      <c r="DO34" s="12">
        <f>IF('Données projet'!$A$166&gt;35,DO33+DN34-DW33,IF(A34&lt;'Données projet'!$A$166,$DL$205^A34,IF(A34='Données projet'!$A$166,'Données projet'!$B$166,DO33+DN34-DW33)))</f>
        <v>134.39204545454538</v>
      </c>
      <c r="DP34" s="17">
        <f>DO34*VLOOKUP('Données projet'!$B$14,Paramètres!$A$1:$I$89,3,0)*VLOOKUP('Données projet'!$B$14,Paramètres!$A$1:$I$89,5,0)</f>
        <v>136.27353409090904</v>
      </c>
      <c r="DQ34" s="13">
        <f t="shared" si="43"/>
        <v>35.441988721098411</v>
      </c>
      <c r="DR34" s="20">
        <f t="shared" si="16"/>
        <v>299.071202230913</v>
      </c>
      <c r="DS34" s="59">
        <f t="shared" si="17"/>
        <v>539.11932544373053</v>
      </c>
      <c r="DT34" s="59">
        <f ca="1">AVERAGE(OFFSET($DS$3,0,0,'Données projet'!$E$14+1,1))-AVERAGE(OFFSET($H$3,0,0,'Données projet'!$E$14+1,1))</f>
        <v>532.34688562681413</v>
      </c>
      <c r="DU34" s="59">
        <f t="shared" si="44"/>
        <v>345.42627129678556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4.4860000000000015</v>
      </c>
      <c r="EJ34" s="12">
        <f>IF('Données projet'!$A$192&gt;35,EJ33+EI34-ER33,IF(A34&lt;'Données projet'!$A$192,$EG$205^A34,IF(A34='Données projet'!$A$192,'Données projet'!$B$192,EJ33+EI34-ER33)))</f>
        <v>153.20599999999999</v>
      </c>
      <c r="EK34" s="17">
        <f>EJ34*VLOOKUP('Données projet'!$B$15,Paramètres!$A$1:$I$89,3,0)*VLOOKUP('Données projet'!$B$15,Paramètres!$A$1:$I$89,5,0)</f>
        <v>138.62078879999999</v>
      </c>
      <c r="EL34" s="13">
        <f t="shared" si="45"/>
        <v>35.980865752053546</v>
      </c>
      <c r="EM34" s="20">
        <f t="shared" si="19"/>
        <v>304.09788167815992</v>
      </c>
      <c r="EN34" s="59">
        <f t="shared" si="20"/>
        <v>544.14600489097745</v>
      </c>
      <c r="EO34" s="59">
        <f ca="1">AVERAGE(OFFSET($EN$3,0,0,'Données projet'!$E$15+1,1))-AVERAGE(OFFSET($H$3,0,0,'Données projet'!$E$15+1,1))</f>
        <v>256.20286603823035</v>
      </c>
      <c r="EP34" s="59">
        <f t="shared" si="46"/>
        <v>364.83827155069434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0.82960088815327382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0.82960088815327382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4.3352272727272725</v>
      </c>
      <c r="FE34" s="12">
        <f>IF('Données projet'!$A$218&gt;35,FE33+FD34-FM33,IF(A34&lt;'Données projet'!$A$218,$FB$205^A34,IF(A34='Données projet'!$A$218,'Données projet'!$B$218,FE33+FD34-FM33)))</f>
        <v>134.39204545454538</v>
      </c>
      <c r="FF34" s="17">
        <f>FE34*VLOOKUP('Données projet'!$B$16,Paramètres!$A$1:$I$89,3,0)*VLOOKUP('Données projet'!$B$16,Paramètres!$A$1:$I$89,5,0)</f>
        <v>90.150184090909036</v>
      </c>
      <c r="FG34" s="13">
        <f t="shared" si="47"/>
        <v>24.60144226466582</v>
      </c>
      <c r="FH34" s="20">
        <f t="shared" si="22"/>
        <v>199.85908256929284</v>
      </c>
      <c r="FI34" s="59">
        <f t="shared" si="23"/>
        <v>439.9072057821104</v>
      </c>
      <c r="FJ34" s="59">
        <f ca="1">AVERAGE(OFFSET($FI$3,0,0,'Données projet'!$E$16+1,1))-AVERAGE(OFFSET($H$3,0,0,'Données projet'!$E$16+1,1))</f>
        <v>380.73695370216979</v>
      </c>
      <c r="FK34" s="59">
        <f t="shared" si="48"/>
        <v>249.34467160415713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4.3352272727272725</v>
      </c>
      <c r="FZ34" s="12">
        <f>IF('Données projet'!$A$244&gt;35,FZ33+FY34-GH33,IF(A34&lt;'Données projet'!$A$244,$FW$205^A34,IF(A34='Données projet'!$A$244,'Données projet'!$B$244,FZ33+FY34-GH33)))</f>
        <v>134.39204545454538</v>
      </c>
      <c r="GA34" s="17">
        <f>FZ34*VLOOKUP('Données projet'!$B$17,Paramètres!$A$1:$I$89,3,0)*VLOOKUP('Données projet'!$B$17,Paramètres!$A$1:$I$89,5,0)</f>
        <v>129.98398636363629</v>
      </c>
      <c r="GB34" s="13">
        <f t="shared" si="49"/>
        <v>33.992659024628843</v>
      </c>
      <c r="GC34" s="20">
        <f t="shared" si="25"/>
        <v>285.59265738456173</v>
      </c>
      <c r="GD34" s="59">
        <f t="shared" si="26"/>
        <v>525.64078059737926</v>
      </c>
      <c r="GE34" s="59">
        <f ca="1">AVERAGE(OFFSET($GD$3,0,0,'Données projet'!$E$17+1,1))-AVERAGE(OFFSET($H$3,0,0,'Données projet'!$E$17+1,1))</f>
        <v>511.7458522930001</v>
      </c>
      <c r="GF34" s="59">
        <f t="shared" si="50"/>
        <v>332.37317679966122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10.8</v>
      </c>
      <c r="GU34" s="12">
        <f>IF('Données projet'!$A$270&gt;35,GU33+GT34-HC33,IF(A34&lt;'Données projet'!$A$270,$GR$205^A34,IF(A34='Données projet'!$A$270,'Données projet'!$B$270,GU33+GT34-HC33)))</f>
        <v>128.79999999999998</v>
      </c>
      <c r="GV34" s="17">
        <f>GU34*VLOOKUP('Données projet'!$B$18,Paramètres!$A$1:$I$89,3,0)*VLOOKUP('Données projet'!$B$18,Paramètres!$A$1:$I$89,5,0)</f>
        <v>112.51968000000001</v>
      </c>
      <c r="GW34" s="13">
        <f t="shared" si="51"/>
        <v>29.923856072189899</v>
      </c>
      <c r="GX34" s="20">
        <f t="shared" si="28"/>
        <v>248.08915865906408</v>
      </c>
      <c r="GY34" s="59">
        <f t="shared" si="29"/>
        <v>488.13728187188167</v>
      </c>
      <c r="GZ34" s="59">
        <f ca="1">AVERAGE(OFFSET($GY$3,0,0,'Données projet'!$E$18+1,1))-AVERAGE(OFFSET($H$3,0,0,'Données projet'!$E$18+1,1))</f>
        <v>348.77506423101278</v>
      </c>
      <c r="HA34" s="59">
        <f t="shared" si="52"/>
        <v>336.13747591329548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2.8101064730206935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2.8101064730206935</v>
      </c>
    </row>
    <row r="35" spans="1:218" x14ac:dyDescent="0.2">
      <c r="A35" s="10">
        <f t="shared" si="31"/>
        <v>32</v>
      </c>
      <c r="B35" s="71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5">
        <f t="shared" si="1"/>
        <v>183.33333333333334</v>
      </c>
      <c r="I35" s="6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9.9228571428571435</v>
      </c>
      <c r="N35" s="13">
        <f>IF('Données projet'!$A$36&gt;35,N34+M35-V34,IF(A35&lt;'Données projet'!$A$36,$K$205^A35,IF(A35='Données projet'!$A$36,'Données projet'!$B$36,N34+M35-V34)))</f>
        <v>317.53142857142853</v>
      </c>
      <c r="O35" s="13">
        <f>N35*VLOOKUP('Données projet'!$B$9,Paramètres!$A$1:$I$89,3,0)*VLOOKUP('Données projet'!$B$9,Paramètres!$A$1:$I$89,5,0)</f>
        <v>148.60470857142857</v>
      </c>
      <c r="P35" s="13">
        <f t="shared" si="33"/>
        <v>38.261328378466914</v>
      </c>
      <c r="Q35" s="20">
        <f t="shared" ref="Q35:Q66" si="53">(O35+P35)*0.475*44/12</f>
        <v>325.4583476877346</v>
      </c>
      <c r="R35" s="59">
        <f t="shared" si="0"/>
        <v>566.43085016825989</v>
      </c>
      <c r="S35" s="59">
        <f ca="1">AVERAGE(OFFSET($R$3,0,0,'Données projet'!$E$9+1,1))-AVERAGE(OFFSET($H$3,0,0,'Données projet'!$E$9+1,1))</f>
        <v>387.50901594883317</v>
      </c>
      <c r="T35" s="59">
        <f t="shared" si="34"/>
        <v>361.3623790401972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16.614999999999998</v>
      </c>
      <c r="AI35" s="13">
        <f>IF('Données projet'!$A$62&gt;35,AI34+AH35-AQ34,IF(A35&lt;'Données projet'!$A$62,$AF$205^A35,IF(A35='Données projet'!$A$62,'Données projet'!$B$62,AI34+AH35-AQ34)))</f>
        <v>200.72500000000002</v>
      </c>
      <c r="AJ35" s="13">
        <f>AI35*VLOOKUP('Données projet'!$B$10,Paramètres!$A$1:$I$89,3,0)*VLOOKUP('Données projet'!$B$10,Paramètres!$A$1:$I$89,5,0)</f>
        <v>120.03355000000002</v>
      </c>
      <c r="AK35" s="13">
        <f t="shared" si="35"/>
        <v>31.68282415335652</v>
      </c>
      <c r="AL35" s="20">
        <f t="shared" si="4"/>
        <v>264.23935165042923</v>
      </c>
      <c r="AM35" s="59">
        <f t="shared" si="5"/>
        <v>505.21185413095452</v>
      </c>
      <c r="AN35" s="59">
        <f ca="1">AVERAGE(OFFSET($AM$3,0,0,'Données projet'!$E$10+1,1))-AVERAGE(OFFSET($H$3,0,0,'Données projet'!$E$10+1,1))</f>
        <v>373.47758082856359</v>
      </c>
      <c r="AO35" s="59">
        <f t="shared" si="36"/>
        <v>277.24895424120166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6.739943268526317</v>
      </c>
      <c r="AV35" s="21">
        <f>EXP(-LN(2)/25)*AV34+(1-EXP(-LN(2)/25))/(LN(2)/25)*Calculateur!AQ35*Calculateur!AS35*VLOOKUP('Données projet'!$B$10,Paramètres!$A$1:$I$89,3,0)*0.475*44/12</f>
        <v>10.923536807252169</v>
      </c>
      <c r="AW35" s="21">
        <f>EXP(-LN(2)/2)*AW34+(1-EXP(-LN(2)/2))/(LN(2)/2)*AQ35*AT35*VLOOKUP('Données projet'!$B$10,Paramètres!$A$1:$I$89,3,0)*0.475*44/12</f>
        <v>1.7921466927972103</v>
      </c>
      <c r="AX35" s="21">
        <f t="shared" si="6"/>
        <v>19.455626768575698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20.572857142857142</v>
      </c>
      <c r="BD35" s="12">
        <f>IF('Données projet'!$A$88&gt;35,BD34+BC35-BL34,IF(A35&lt;'Données projet'!$A$88,$BA$205^A35,IF(A35='Données projet'!$A$88,'Données projet'!$B$88,BD34+BC35-BL34)))</f>
        <v>234.25571428571428</v>
      </c>
      <c r="BE35" s="13">
        <f>BD35*VLOOKUP('Données projet'!$B$11,Paramètres!$A$1:$I$89,3,0)*VLOOKUP('Données projet'!$B$11,Paramètres!$A$1:$I$89,5,0)</f>
        <v>140.08491714285714</v>
      </c>
      <c r="BF35" s="13">
        <f t="shared" si="37"/>
        <v>36.316458133418756</v>
      </c>
      <c r="BG35" s="20">
        <f t="shared" si="7"/>
        <v>307.23239527284721</v>
      </c>
      <c r="BH35" s="59">
        <f t="shared" si="8"/>
        <v>548.20489775337251</v>
      </c>
      <c r="BI35" s="59">
        <f ca="1">AVERAGE(OFFSET($BH$3,0,0,'Données projet'!$E$11+1,1))-AVERAGE(OFFSET($H$3,0,0,'Données projet'!$E$11+1,1))</f>
        <v>460.88622650237176</v>
      </c>
      <c r="BJ35" s="59">
        <f t="shared" si="38"/>
        <v>396.05161661639647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15.847895818425858</v>
      </c>
      <c r="BQ35" s="21">
        <f>EXP(-LN(2)/25)*BQ34+(1-EXP(-LN(2)/25))/(LN(2)/25)*Calculateur!BL35*Calculateur!BN35*VLOOKUP('Données projet'!$B$11,Paramètres!$A$1:$I$89,3,0)*0.475*44/12</f>
        <v>17.809406751692734</v>
      </c>
      <c r="BR35" s="21">
        <f>EXP(-LN(2)/2)*BR34+(1-EXP(-LN(2)/2))/(LN(2)/2)*BL35*BO35*VLOOKUP('Données projet'!$B$11,Paramètres!$A$1:$I$89,3,0)*0.475*44/12</f>
        <v>6.6058926687349846</v>
      </c>
      <c r="BS35" s="22">
        <f t="shared" si="9"/>
        <v>40.263195238853569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23.267142857142858</v>
      </c>
      <c r="BY35" s="12">
        <f>IF('Données projet'!$A$114&gt;35,BY34+BX35-CG34,IF(A35&lt;'Données projet'!$A$114,$BV$205^A35,IF(A35='Données projet'!$A$114,'Données projet'!$B$114,BY34+BX35-CG34)))</f>
        <v>307.31857142857137</v>
      </c>
      <c r="BZ35" s="13">
        <f>BY35*VLOOKUP('Données projet'!$B$12,Paramètres!$A$1:$I$89,3,0)*VLOOKUP('Données projet'!$B$12,Paramètres!$A$1:$I$89,5,0)</f>
        <v>139.82994999999997</v>
      </c>
      <c r="CA35" s="13">
        <f t="shared" si="39"/>
        <v>36.258046672792332</v>
      </c>
      <c r="CB35" s="20">
        <f t="shared" si="10"/>
        <v>306.68659420511329</v>
      </c>
      <c r="CC35" s="59">
        <f t="shared" si="11"/>
        <v>547.65909668563859</v>
      </c>
      <c r="CD35" s="59">
        <f ca="1">AVERAGE(OFFSET($CC$3,0,0,'Données projet'!$E$12+1,1))-AVERAGE(OFFSET($H$3,0,0,'Données projet'!$E$12+1,1))</f>
        <v>341.60063595566282</v>
      </c>
      <c r="CE35" s="59">
        <f t="shared" si="40"/>
        <v>317.05609766344219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9.6690117800313313</v>
      </c>
      <c r="CL35" s="21">
        <f>EXP(-LN(2)/25)*CL34+(1-EXP(-LN(2)/25))/(LN(2)/25)*Calculateur!CG35*Calculateur!CI35*VLOOKUP('Données projet'!$B$12,Paramètres!$A$1:$I$89,3,0)*0.475*44/12</f>
        <v>14.887162981816575</v>
      </c>
      <c r="CM35" s="21">
        <f>EXP(-LN(2)/2)*CM34+(1-EXP(-LN(2)/2))/(LN(2)/2)*CG35*CJ35*VLOOKUP('Données projet'!$B$12,Paramètres!$A$1:$I$89,3,0)*0.475*44/12</f>
        <v>2.9566572243373539</v>
      </c>
      <c r="CN35" s="22">
        <f t="shared" si="12"/>
        <v>27.512831986185262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6.7939999999999996</v>
      </c>
      <c r="CT35" s="12">
        <f>IF('Données projet'!$A$140&gt;35,CT34+CS35-DB34,IF(A35&lt;'Données projet'!$A$140,$CQ$205^A35,IF(A35='Données projet'!$A$140,'Données projet'!$B$140,CT34+CS35-DB34)))</f>
        <v>94.357999999999933</v>
      </c>
      <c r="CU35" s="17">
        <f>CT35*VLOOKUP('Données projet'!$B$13,Paramètres!$A$1:$I$89,3,0)*VLOOKUP('Données projet'!$B$13,Paramètres!$A$1:$I$89,5,0)</f>
        <v>98.622981599999946</v>
      </c>
      <c r="CV35" s="13">
        <f t="shared" si="41"/>
        <v>26.633677634118438</v>
      </c>
      <c r="CW35" s="20">
        <f t="shared" si="13"/>
        <v>218.15534816608951</v>
      </c>
      <c r="CX35" s="59">
        <f t="shared" si="14"/>
        <v>459.12785064661483</v>
      </c>
      <c r="CY35" s="59">
        <f ca="1">AVERAGE(OFFSET($CX$3,0,0,'Données projet'!$E$13+1,1))-AVERAGE(OFFSET($H$3,0,0,'Données projet'!$E$13+1,1))</f>
        <v>287.73449456153207</v>
      </c>
      <c r="CZ35" s="59">
        <f t="shared" si="42"/>
        <v>296.74833899433281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2.2654680064954911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2.2654680064954911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4.3352272727272725</v>
      </c>
      <c r="DO35" s="12">
        <f>IF('Données projet'!$A$166&gt;35,DO34+DN35-DW34,IF(A35&lt;'Données projet'!$A$166,$DL$205^A35,IF(A35='Données projet'!$A$166,'Données projet'!$B$166,DO34+DN35-DW34)))</f>
        <v>138.72727272727266</v>
      </c>
      <c r="DP35" s="17">
        <f>DO35*VLOOKUP('Données projet'!$B$14,Paramètres!$A$1:$I$89,3,0)*VLOOKUP('Données projet'!$B$14,Paramètres!$A$1:$I$89,5,0)</f>
        <v>140.66945454545447</v>
      </c>
      <c r="DQ35" s="13">
        <f t="shared" si="43"/>
        <v>36.450325525239947</v>
      </c>
      <c r="DR35" s="20">
        <f t="shared" si="16"/>
        <v>308.48361695645946</v>
      </c>
      <c r="DS35" s="59">
        <f t="shared" si="17"/>
        <v>549.45611943698475</v>
      </c>
      <c r="DT35" s="59">
        <f ca="1">AVERAGE(OFFSET($DS$3,0,0,'Données projet'!$E$14+1,1))-AVERAGE(OFFSET($H$3,0,0,'Données projet'!$E$14+1,1))</f>
        <v>532.34688562681413</v>
      </c>
      <c r="DU35" s="59">
        <f t="shared" si="44"/>
        <v>345.42627129678556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4.4860000000000015</v>
      </c>
      <c r="EJ35" s="12">
        <f>IF('Données projet'!$A$192&gt;35,EJ34+EI35-ER34,IF(A35&lt;'Données projet'!$A$192,$EG$205^A35,IF(A35='Données projet'!$A$192,'Données projet'!$B$192,EJ34+EI35-ER34)))</f>
        <v>157.69199999999998</v>
      </c>
      <c r="EK35" s="17">
        <f>EJ35*VLOOKUP('Données projet'!$B$15,Paramètres!$A$1:$I$89,3,0)*VLOOKUP('Données projet'!$B$15,Paramètres!$A$1:$I$89,5,0)</f>
        <v>142.67972159999999</v>
      </c>
      <c r="EL35" s="13">
        <f t="shared" si="45"/>
        <v>36.910213037325548</v>
      </c>
      <c r="EM35" s="20">
        <f t="shared" si="19"/>
        <v>312.78580282667531</v>
      </c>
      <c r="EN35" s="59">
        <f t="shared" si="20"/>
        <v>553.75830530720066</v>
      </c>
      <c r="EO35" s="59">
        <f ca="1">AVERAGE(OFFSET($EN$3,0,0,'Données projet'!$E$15+1,1))-AVERAGE(OFFSET($H$3,0,0,'Données projet'!$E$15+1,1))</f>
        <v>256.20286603823035</v>
      </c>
      <c r="EP35" s="59">
        <f t="shared" si="46"/>
        <v>364.83827155069434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0.81333292074316588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0.81333292074316588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4.3352272727272725</v>
      </c>
      <c r="FE35" s="12">
        <f>IF('Données projet'!$A$218&gt;35,FE34+FD35-FM34,IF(A35&lt;'Données projet'!$A$218,$FB$205^A35,IF(A35='Données projet'!$A$218,'Données projet'!$B$218,FE34+FD35-FM34)))</f>
        <v>138.72727272727266</v>
      </c>
      <c r="FF35" s="17">
        <f>FE35*VLOOKUP('Données projet'!$B$16,Paramètres!$A$1:$I$89,3,0)*VLOOKUP('Données projet'!$B$16,Paramètres!$A$1:$I$89,5,0)</f>
        <v>93.058254545454503</v>
      </c>
      <c r="FG35" s="13">
        <f t="shared" si="47"/>
        <v>25.301361782885696</v>
      </c>
      <c r="FH35" s="20">
        <f t="shared" si="22"/>
        <v>206.14299843852584</v>
      </c>
      <c r="FI35" s="59">
        <f t="shared" si="23"/>
        <v>447.11550091905116</v>
      </c>
      <c r="FJ35" s="59">
        <f ca="1">AVERAGE(OFFSET($FI$3,0,0,'Données projet'!$E$16+1,1))-AVERAGE(OFFSET($H$3,0,0,'Données projet'!$E$16+1,1))</f>
        <v>380.73695370216979</v>
      </c>
      <c r="FK35" s="59">
        <f t="shared" si="48"/>
        <v>249.34467160415713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4.3352272727272725</v>
      </c>
      <c r="FZ35" s="12">
        <f>IF('Données projet'!$A$244&gt;35,FZ34+FY35-GH34,IF(A35&lt;'Données projet'!$A$244,$FW$205^A35,IF(A35='Données projet'!$A$244,'Données projet'!$B$244,FZ34+FY35-GH34)))</f>
        <v>138.72727272727266</v>
      </c>
      <c r="GA35" s="17">
        <f>FZ35*VLOOKUP('Données projet'!$B$17,Paramètres!$A$1:$I$89,3,0)*VLOOKUP('Données projet'!$B$17,Paramètres!$A$1:$I$89,5,0)</f>
        <v>134.17701818181811</v>
      </c>
      <c r="GB35" s="13">
        <f t="shared" si="49"/>
        <v>34.95976189898763</v>
      </c>
      <c r="GC35" s="20">
        <f t="shared" si="25"/>
        <v>294.57989197406999</v>
      </c>
      <c r="GD35" s="59">
        <f t="shared" si="26"/>
        <v>535.55239445459529</v>
      </c>
      <c r="GE35" s="59">
        <f ca="1">AVERAGE(OFFSET($GD$3,0,0,'Données projet'!$E$17+1,1))-AVERAGE(OFFSET($H$3,0,0,'Données projet'!$E$17+1,1))</f>
        <v>511.7458522930001</v>
      </c>
      <c r="GF35" s="59">
        <f t="shared" si="50"/>
        <v>332.37317679966122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10.8</v>
      </c>
      <c r="GU35" s="12">
        <f>IF('Données projet'!$A$270&gt;35,GU34+GT35-HC34,IF(A35&lt;'Données projet'!$A$270,$GR$205^A35,IF(A35='Données projet'!$A$270,'Données projet'!$B$270,GU34+GT35-HC34)))</f>
        <v>139.6</v>
      </c>
      <c r="GV35" s="17">
        <f>GU35*VLOOKUP('Données projet'!$B$18,Paramètres!$A$1:$I$89,3,0)*VLOOKUP('Données projet'!$B$18,Paramètres!$A$1:$I$89,5,0)</f>
        <v>121.95456</v>
      </c>
      <c r="GW35" s="13">
        <f t="shared" si="51"/>
        <v>32.130438767300902</v>
      </c>
      <c r="GX35" s="20">
        <f t="shared" si="28"/>
        <v>268.36470618638242</v>
      </c>
      <c r="GY35" s="59">
        <f t="shared" si="29"/>
        <v>509.33720866690771</v>
      </c>
      <c r="GZ35" s="59">
        <f ca="1">AVERAGE(OFFSET($GY$3,0,0,'Données projet'!$E$18+1,1))-AVERAGE(OFFSET($H$3,0,0,'Données projet'!$E$18+1,1))</f>
        <v>348.77506423101278</v>
      </c>
      <c r="HA35" s="59">
        <f t="shared" si="52"/>
        <v>336.13747591329548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2.7550019990804633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2.7550019990804633</v>
      </c>
    </row>
    <row r="36" spans="1:218" x14ac:dyDescent="0.2">
      <c r="A36" s="10">
        <f t="shared" si="31"/>
        <v>33</v>
      </c>
      <c r="B36" s="71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5">
        <f t="shared" si="1"/>
        <v>183.33333333333334</v>
      </c>
      <c r="I36" s="6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9.9228571428571435</v>
      </c>
      <c r="N36" s="13">
        <f>IF('Données projet'!$A$36&gt;35,N35+M36-V35,IF(A36&lt;'Données projet'!$A$36,$K$205^A36,IF(A36='Données projet'!$A$36,'Données projet'!$B$36,N35+M36-V35)))</f>
        <v>327.45428571428567</v>
      </c>
      <c r="O36" s="13">
        <f>N36*VLOOKUP('Données projet'!$B$9,Paramètres!$A$1:$I$89,3,0)*VLOOKUP('Données projet'!$B$9,Paramètres!$A$1:$I$89,5,0)</f>
        <v>153.2486057142857</v>
      </c>
      <c r="P36" s="13">
        <f t="shared" si="33"/>
        <v>39.315919798378474</v>
      </c>
      <c r="Q36" s="20">
        <f t="shared" si="53"/>
        <v>335.38321526789008</v>
      </c>
      <c r="R36" s="59">
        <f t="shared" si="0"/>
        <v>577.26406110243079</v>
      </c>
      <c r="S36" s="59">
        <f ca="1">AVERAGE(OFFSET($R$3,0,0,'Données projet'!$E$9+1,1))-AVERAGE(OFFSET($H$3,0,0,'Données projet'!$E$9+1,1))</f>
        <v>387.50901594883317</v>
      </c>
      <c r="T36" s="59">
        <f t="shared" si="34"/>
        <v>361.3623790401972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217.34</v>
      </c>
      <c r="AG36" s="12">
        <f>VLOOKUP(A36,'Données projet'!$A$61:$I$81,9,0)</f>
        <v>16.614999999999998</v>
      </c>
      <c r="AH36" s="12">
        <f t="array" ref="AH36">INDEX(AG:AG,MIN(IF(ISNUMBER(AG36:AG232),ROW(AG36:AG232),"")))</f>
        <v>16.614999999999998</v>
      </c>
      <c r="AI36" s="13">
        <f>IF('Données projet'!$A$62&gt;35,AI35+AH36-AQ35,IF(A36&lt;'Données projet'!$A$62,$AF$205^A36,IF(A36='Données projet'!$A$62,'Données projet'!$B$62,AI35+AH36-AQ35)))</f>
        <v>217.34000000000003</v>
      </c>
      <c r="AJ36" s="13">
        <f>AI36*VLOOKUP('Données projet'!$B$10,Paramètres!$A$1:$I$89,3,0)*VLOOKUP('Données projet'!$B$10,Paramètres!$A$1:$I$89,5,0)</f>
        <v>129.96932000000001</v>
      </c>
      <c r="AK36" s="13">
        <f t="shared" si="35"/>
        <v>33.989269987755954</v>
      </c>
      <c r="AL36" s="20">
        <f t="shared" si="4"/>
        <v>285.56121089534162</v>
      </c>
      <c r="AM36" s="59">
        <f t="shared" si="5"/>
        <v>527.44205672988232</v>
      </c>
      <c r="AN36" s="59">
        <f ca="1">AVERAGE(OFFSET($AM$3,0,0,'Données projet'!$E$10+1,1))-AVERAGE(OFFSET($H$3,0,0,'Données projet'!$E$10+1,1))</f>
        <v>373.47758082856359</v>
      </c>
      <c r="AO36" s="59">
        <f t="shared" si="36"/>
        <v>277.24895424120166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50.41</v>
      </c>
      <c r="AR36" s="16">
        <f>IF(ISNA(VLOOKUP(A36,'Données projet'!$A$61:$I$81,5,0)),0%,VLOOKUP(A36,'Données projet'!$A$61:$I$81,5,0)*VLOOKUP('Données projet'!$B$10,Paramètres!$A$1:$I$89,7,0))</f>
        <v>0.18000000000000002</v>
      </c>
      <c r="AS36" s="16">
        <f>IF(ISNA(VLOOKUP(A36,'Données projet'!$A$61:$I$81,6,0)),0%,VLOOKUP(A36,'Données projet'!$A$61:$I$81,6,0)*VLOOKUP('Données projet'!$B$10,Paramètres!$A$1:$I$89,7,0))</f>
        <v>0.15300000000000002</v>
      </c>
      <c r="AT36" s="16">
        <f>IF(ISNA(VLOOKUP(A36,'Données projet'!$A$61:$I$81,7,0)),0%,VLOOKUP(A36,'Données projet'!$A$61:$I$81,7,0))</f>
        <v>0.26</v>
      </c>
      <c r="AU36" s="21">
        <f>EXP(-LN(2)/35)*AU35+(1-EXP(-LN(2)/35))/(LN(2)/35)*AQ36*AR36*VLOOKUP('Données projet'!$B$10,Paramètres!$A$1:$I$89,3,0)*0.475*44/12</f>
        <v>13.805891464338831</v>
      </c>
      <c r="AV36" s="21">
        <f>EXP(-LN(2)/25)*AV35+(1-EXP(-LN(2)/25))/(LN(2)/25)*Calculateur!AQ36*Calculateur!AS36*VLOOKUP('Données projet'!$B$10,Paramètres!$A$1:$I$89,3,0)*0.475*44/12</f>
        <v>16.719138874177087</v>
      </c>
      <c r="AW36" s="21">
        <f>EXP(-LN(2)/2)*AW35+(1-EXP(-LN(2)/2))/(LN(2)/2)*AQ36*AT36*VLOOKUP('Données projet'!$B$10,Paramètres!$A$1:$I$89,3,0)*0.475*44/12</f>
        <v>10.141389146152656</v>
      </c>
      <c r="AX36" s="21">
        <f t="shared" si="6"/>
        <v>40.666419484668573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20.572857142857142</v>
      </c>
      <c r="BD36" s="12">
        <f>IF('Données projet'!$A$88&gt;35,BD35+BC36-BL35,IF(A36&lt;'Données projet'!$A$88,$BA$205^A36,IF(A36='Données projet'!$A$88,'Données projet'!$B$88,BD35+BC36-BL35)))</f>
        <v>254.82857142857142</v>
      </c>
      <c r="BE36" s="13">
        <f>BD36*VLOOKUP('Données projet'!$B$11,Paramètres!$A$1:$I$89,3,0)*VLOOKUP('Données projet'!$B$11,Paramètres!$A$1:$I$89,5,0)</f>
        <v>152.38748571428573</v>
      </c>
      <c r="BF36" s="13">
        <f t="shared" si="37"/>
        <v>39.120650666923964</v>
      </c>
      <c r="BG36" s="20">
        <f t="shared" si="7"/>
        <v>333.54333753060683</v>
      </c>
      <c r="BH36" s="59">
        <f t="shared" si="8"/>
        <v>575.42418336514754</v>
      </c>
      <c r="BI36" s="59">
        <f ca="1">AVERAGE(OFFSET($BH$3,0,0,'Données projet'!$E$11+1,1))-AVERAGE(OFFSET($H$3,0,0,'Données projet'!$E$11+1,1))</f>
        <v>460.88622650237176</v>
      </c>
      <c r="BJ36" s="59">
        <f t="shared" si="38"/>
        <v>396.05161661639647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15.537128247688512</v>
      </c>
      <c r="BQ36" s="21">
        <f>EXP(-LN(2)/25)*BQ35+(1-EXP(-LN(2)/25))/(LN(2)/25)*Calculateur!BL36*Calculateur!BN36*VLOOKUP('Données projet'!$B$11,Paramètres!$A$1:$I$89,3,0)*0.475*44/12</f>
        <v>17.322407587511698</v>
      </c>
      <c r="BR36" s="21">
        <f>EXP(-LN(2)/2)*BR35+(1-EXP(-LN(2)/2))/(LN(2)/2)*BL36*BO36*VLOOKUP('Données projet'!$B$11,Paramètres!$A$1:$I$89,3,0)*0.475*44/12</f>
        <v>4.6710715018530076</v>
      </c>
      <c r="BS36" s="22">
        <f t="shared" si="9"/>
        <v>37.530607337053219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23.267142857142858</v>
      </c>
      <c r="BY36" s="12">
        <f>IF('Données projet'!$A$114&gt;35,BY35+BX36-CG35,IF(A36&lt;'Données projet'!$A$114,$BV$205^A36,IF(A36='Données projet'!$A$114,'Données projet'!$B$114,BY35+BX36-CG35)))</f>
        <v>330.58571428571423</v>
      </c>
      <c r="BZ36" s="13">
        <f>BY36*VLOOKUP('Données projet'!$B$12,Paramètres!$A$1:$I$89,3,0)*VLOOKUP('Données projet'!$B$12,Paramètres!$A$1:$I$89,5,0)</f>
        <v>150.41649999999996</v>
      </c>
      <c r="CA36" s="13">
        <f t="shared" si="39"/>
        <v>38.673221460378869</v>
      </c>
      <c r="CB36" s="20">
        <f t="shared" si="10"/>
        <v>329.33126487682642</v>
      </c>
      <c r="CC36" s="59">
        <f t="shared" si="11"/>
        <v>571.21211071136713</v>
      </c>
      <c r="CD36" s="59">
        <f ca="1">AVERAGE(OFFSET($CC$3,0,0,'Données projet'!$E$12+1,1))-AVERAGE(OFFSET($H$3,0,0,'Données projet'!$E$12+1,1))</f>
        <v>341.60063595566282</v>
      </c>
      <c r="CE36" s="59">
        <f t="shared" si="40"/>
        <v>317.05609766344219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9.4794083565397713</v>
      </c>
      <c r="CL36" s="21">
        <f>EXP(-LN(2)/25)*CL35+(1-EXP(-LN(2)/25))/(LN(2)/25)*Calculateur!CG36*Calculateur!CI36*VLOOKUP('Données projet'!$B$12,Paramètres!$A$1:$I$89,3,0)*0.475*44/12</f>
        <v>14.480072727196925</v>
      </c>
      <c r="CM36" s="21">
        <f>EXP(-LN(2)/2)*CM35+(1-EXP(-LN(2)/2))/(LN(2)/2)*CG36*CJ36*VLOOKUP('Données projet'!$B$12,Paramètres!$A$1:$I$89,3,0)*0.475*44/12</f>
        <v>2.0906723729731382</v>
      </c>
      <c r="CN36" s="22">
        <f t="shared" si="12"/>
        <v>26.050153456709836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6.7939999999999996</v>
      </c>
      <c r="CT36" s="12">
        <f>IF('Données projet'!$A$140&gt;35,CT35+CS36-DB35,IF(A36&lt;'Données projet'!$A$140,$CQ$205^A36,IF(A36='Données projet'!$A$140,'Données projet'!$B$140,CT35+CS36-DB35)))</f>
        <v>101.15199999999993</v>
      </c>
      <c r="CU36" s="17">
        <f>CT36*VLOOKUP('Données projet'!$B$13,Paramètres!$A$1:$I$89,3,0)*VLOOKUP('Données projet'!$B$13,Paramètres!$A$1:$I$89,5,0)</f>
        <v>105.72407039999993</v>
      </c>
      <c r="CV36" s="13">
        <f t="shared" si="41"/>
        <v>28.321229350157381</v>
      </c>
      <c r="CW36" s="20">
        <f t="shared" si="13"/>
        <v>233.46223039819063</v>
      </c>
      <c r="CX36" s="59">
        <f t="shared" si="14"/>
        <v>475.34307623273139</v>
      </c>
      <c r="CY36" s="59">
        <f ca="1">AVERAGE(OFFSET($CX$3,0,0,'Données projet'!$E$13+1,1))-AVERAGE(OFFSET($H$3,0,0,'Données projet'!$E$13+1,1))</f>
        <v>287.73449456153207</v>
      </c>
      <c r="CZ36" s="59">
        <f t="shared" si="42"/>
        <v>296.74833899433281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2.221043560687157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2.221043560687157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4.3352272727272725</v>
      </c>
      <c r="DO36" s="12">
        <f>IF('Données projet'!$A$166&gt;35,DO35+DN36-DW35,IF(A36&lt;'Données projet'!$A$166,$DL$205^A36,IF(A36='Données projet'!$A$166,'Données projet'!$B$166,DO35+DN36-DW35)))</f>
        <v>143.06249999999994</v>
      </c>
      <c r="DP36" s="17">
        <f>DO36*VLOOKUP('Données projet'!$B$14,Paramètres!$A$1:$I$89,3,0)*VLOOKUP('Données projet'!$B$14,Paramètres!$A$1:$I$89,5,0)</f>
        <v>145.06537499999996</v>
      </c>
      <c r="DQ36" s="13">
        <f t="shared" si="43"/>
        <v>37.455000537347836</v>
      </c>
      <c r="DR36" s="20">
        <f t="shared" si="16"/>
        <v>317.88965406088073</v>
      </c>
      <c r="DS36" s="59">
        <f t="shared" si="17"/>
        <v>559.77049989542149</v>
      </c>
      <c r="DT36" s="59">
        <f ca="1">AVERAGE(OFFSET($DS$3,0,0,'Données projet'!$E$14+1,1))-AVERAGE(OFFSET($H$3,0,0,'Données projet'!$E$14+1,1))</f>
        <v>532.34688562681413</v>
      </c>
      <c r="DU36" s="59">
        <f t="shared" si="44"/>
        <v>345.42627129678556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4.4860000000000015</v>
      </c>
      <c r="EJ36" s="12">
        <f>IF('Données projet'!$A$192&gt;35,EJ35+EI36-ER35,IF(A36&lt;'Données projet'!$A$192,$EG$205^A36,IF(A36='Données projet'!$A$192,'Données projet'!$B$192,EJ35+EI36-ER35)))</f>
        <v>162.17799999999997</v>
      </c>
      <c r="EK36" s="17">
        <f>EJ36*VLOOKUP('Données projet'!$B$15,Paramètres!$A$1:$I$89,3,0)*VLOOKUP('Données projet'!$B$15,Paramètres!$A$1:$I$89,5,0)</f>
        <v>146.73865439999997</v>
      </c>
      <c r="EL36" s="13">
        <f t="shared" si="45"/>
        <v>37.836487597725537</v>
      </c>
      <c r="EM36" s="20">
        <f t="shared" si="19"/>
        <v>321.46837231270524</v>
      </c>
      <c r="EN36" s="59">
        <f t="shared" si="20"/>
        <v>563.34921814724601</v>
      </c>
      <c r="EO36" s="59">
        <f ca="1">AVERAGE(OFFSET($EN$3,0,0,'Données projet'!$E$15+1,1))-AVERAGE(OFFSET($H$3,0,0,'Données projet'!$E$15+1,1))</f>
        <v>256.20286603823035</v>
      </c>
      <c r="EP36" s="59">
        <f t="shared" si="46"/>
        <v>364.83827155069434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0.79738395825148978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0.79738395825148978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4.3352272727272725</v>
      </c>
      <c r="FE36" s="12">
        <f>IF('Données projet'!$A$218&gt;35,FE35+FD36-FM35,IF(A36&lt;'Données projet'!$A$218,$FB$205^A36,IF(A36='Données projet'!$A$218,'Données projet'!$B$218,FE35+FD36-FM35)))</f>
        <v>143.06249999999994</v>
      </c>
      <c r="FF36" s="17">
        <f>FE36*VLOOKUP('Données projet'!$B$16,Paramètres!$A$1:$I$89,3,0)*VLOOKUP('Données projet'!$B$16,Paramètres!$A$1:$I$89,5,0)</f>
        <v>95.966324999999969</v>
      </c>
      <c r="FG36" s="13">
        <f t="shared" si="47"/>
        <v>25.998739531623929</v>
      </c>
      <c r="FH36" s="20">
        <f t="shared" si="22"/>
        <v>212.42248739257829</v>
      </c>
      <c r="FI36" s="59">
        <f t="shared" si="23"/>
        <v>454.30333322711903</v>
      </c>
      <c r="FJ36" s="59">
        <f ca="1">AVERAGE(OFFSET($FI$3,0,0,'Données projet'!$E$16+1,1))-AVERAGE(OFFSET($H$3,0,0,'Données projet'!$E$16+1,1))</f>
        <v>380.73695370216979</v>
      </c>
      <c r="FK36" s="59">
        <f t="shared" si="48"/>
        <v>249.34467160415713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4.3352272727272725</v>
      </c>
      <c r="FZ36" s="12">
        <f>IF('Données projet'!$A$244&gt;35,FZ35+FY36-GH35,IF(A36&lt;'Données projet'!$A$244,$FW$205^A36,IF(A36='Données projet'!$A$244,'Données projet'!$B$244,FZ35+FY36-GH35)))</f>
        <v>143.06249999999994</v>
      </c>
      <c r="GA36" s="17">
        <f>FZ36*VLOOKUP('Données projet'!$B$17,Paramètres!$A$1:$I$89,3,0)*VLOOKUP('Données projet'!$B$17,Paramètres!$A$1:$I$89,5,0)</f>
        <v>138.37004999999994</v>
      </c>
      <c r="GB36" s="13">
        <f t="shared" si="49"/>
        <v>35.923352723021132</v>
      </c>
      <c r="GC36" s="20">
        <f t="shared" si="25"/>
        <v>303.56100974259505</v>
      </c>
      <c r="GD36" s="59">
        <f t="shared" si="26"/>
        <v>545.44185557713581</v>
      </c>
      <c r="GE36" s="59">
        <f ca="1">AVERAGE(OFFSET($GD$3,0,0,'Données projet'!$E$17+1,1))-AVERAGE(OFFSET($H$3,0,0,'Données projet'!$E$17+1,1))</f>
        <v>511.7458522930001</v>
      </c>
      <c r="GF36" s="59">
        <f t="shared" si="50"/>
        <v>332.37317679966122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10.8</v>
      </c>
      <c r="GU36" s="12">
        <f>IF('Données projet'!$A$270&gt;35,GU35+GT36-HC35,IF(A36&lt;'Données projet'!$A$270,$GR$205^A36,IF(A36='Données projet'!$A$270,'Données projet'!$B$270,GU35+GT36-HC35)))</f>
        <v>150.4</v>
      </c>
      <c r="GV36" s="17">
        <f>GU36*VLOOKUP('Données projet'!$B$18,Paramètres!$A$1:$I$89,3,0)*VLOOKUP('Données projet'!$B$18,Paramètres!$A$1:$I$89,5,0)</f>
        <v>131.38944000000004</v>
      </c>
      <c r="GW36" s="13">
        <f t="shared" si="51"/>
        <v>34.317219199328761</v>
      </c>
      <c r="GX36" s="20">
        <f t="shared" si="28"/>
        <v>288.60576477216426</v>
      </c>
      <c r="GY36" s="59">
        <f t="shared" si="29"/>
        <v>530.48661060670497</v>
      </c>
      <c r="GZ36" s="59">
        <f ca="1">AVERAGE(OFFSET($GY$3,0,0,'Données projet'!$E$18+1,1))-AVERAGE(OFFSET($H$3,0,0,'Données projet'!$E$18+1,1))</f>
        <v>348.77506423101278</v>
      </c>
      <c r="HA36" s="59">
        <f t="shared" si="52"/>
        <v>336.13747591329548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2.7009780902637908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2.7009780902637908</v>
      </c>
    </row>
    <row r="37" spans="1:218" x14ac:dyDescent="0.2">
      <c r="A37" s="10">
        <f t="shared" si="31"/>
        <v>34</v>
      </c>
      <c r="B37" s="71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5">
        <f t="shared" si="1"/>
        <v>183.33333333333334</v>
      </c>
      <c r="I37" s="6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9.9228571428571435</v>
      </c>
      <c r="N37" s="13">
        <f>IF('Données projet'!$A$36&gt;35,N36+M37-V36,IF(A37&lt;'Données projet'!$A$36,$K$205^A37,IF(A37='Données projet'!$A$36,'Données projet'!$B$36,N36+M37-V36)))</f>
        <v>337.37714285714281</v>
      </c>
      <c r="O37" s="13">
        <f>N37*VLOOKUP('Données projet'!$B$9,Paramètres!$A$1:$I$89,3,0)*VLOOKUP('Données projet'!$B$9,Paramètres!$A$1:$I$89,5,0)</f>
        <v>157.89250285714283</v>
      </c>
      <c r="P37" s="13">
        <f t="shared" si="33"/>
        <v>40.366797338912775</v>
      </c>
      <c r="Q37" s="20">
        <f t="shared" si="53"/>
        <v>345.30161450813017</v>
      </c>
      <c r="R37" s="59">
        <f t="shared" si="0"/>
        <v>588.07504597024581</v>
      </c>
      <c r="S37" s="59">
        <f ca="1">AVERAGE(OFFSET($R$3,0,0,'Données projet'!$E$9+1,1))-AVERAGE(OFFSET($H$3,0,0,'Données projet'!$E$9+1,1))</f>
        <v>387.50901594883317</v>
      </c>
      <c r="T37" s="59">
        <f t="shared" si="34"/>
        <v>361.3623790401972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16.701250000000002</v>
      </c>
      <c r="AI37" s="13">
        <f>IF('Données projet'!$A$62&gt;35,AI36+AH37-AQ36,IF(A37&lt;'Données projet'!$A$62,$AF$205^A37,IF(A37='Données projet'!$A$62,'Données projet'!$B$62,AI36+AH37-AQ36)))</f>
        <v>183.63125000000005</v>
      </c>
      <c r="AJ37" s="13">
        <f>AI37*VLOOKUP('Données projet'!$B$10,Paramètres!$A$1:$I$89,3,0)*VLOOKUP('Données projet'!$B$10,Paramètres!$A$1:$I$89,5,0)</f>
        <v>109.81148750000004</v>
      </c>
      <c r="AK37" s="13">
        <f t="shared" si="35"/>
        <v>29.286565124423376</v>
      </c>
      <c r="AL37" s="20">
        <f t="shared" si="4"/>
        <v>242.26244165420408</v>
      </c>
      <c r="AM37" s="59">
        <f t="shared" si="5"/>
        <v>485.03587311631964</v>
      </c>
      <c r="AN37" s="59">
        <f ca="1">AVERAGE(OFFSET($AM$3,0,0,'Données projet'!$E$10+1,1))-AVERAGE(OFFSET($H$3,0,0,'Données projet'!$E$10+1,1))</f>
        <v>373.47758082856359</v>
      </c>
      <c r="AO37" s="59">
        <f t="shared" si="36"/>
        <v>277.24895424120166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13.535166353485458</v>
      </c>
      <c r="AV37" s="21">
        <f>EXP(-LN(2)/25)*AV36+(1-EXP(-LN(2)/25))/(LN(2)/25)*Calculateur!AQ37*Calculateur!AS37*VLOOKUP('Données projet'!$B$10,Paramètres!$A$1:$I$89,3,0)*0.475*44/12</f>
        <v>16.261953142441413</v>
      </c>
      <c r="AW37" s="21">
        <f>EXP(-LN(2)/2)*AW36+(1-EXP(-LN(2)/2))/(LN(2)/2)*AQ37*AT37*VLOOKUP('Données projet'!$B$10,Paramètres!$A$1:$I$89,3,0)*0.475*44/12</f>
        <v>7.1710450358961948</v>
      </c>
      <c r="AX37" s="21">
        <f t="shared" si="6"/>
        <v>36.968164531823064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20.572857142857142</v>
      </c>
      <c r="BD37" s="12">
        <f>IF('Données projet'!$A$88&gt;35,BD36+BC37-BL36,IF(A37&lt;'Données projet'!$A$88,$BA$205^A37,IF(A37='Données projet'!$A$88,'Données projet'!$B$88,BD36+BC37-BL36)))</f>
        <v>275.40142857142854</v>
      </c>
      <c r="BE37" s="13">
        <f>BD37*VLOOKUP('Données projet'!$B$11,Paramètres!$A$1:$I$89,3,0)*VLOOKUP('Données projet'!$B$11,Paramètres!$A$1:$I$89,5,0)</f>
        <v>164.69005428571427</v>
      </c>
      <c r="BF37" s="13">
        <f t="shared" si="37"/>
        <v>41.898584920743353</v>
      </c>
      <c r="BG37" s="20">
        <f t="shared" si="7"/>
        <v>359.80854661791369</v>
      </c>
      <c r="BH37" s="59">
        <f t="shared" si="8"/>
        <v>602.58197808002933</v>
      </c>
      <c r="BI37" s="59">
        <f ca="1">AVERAGE(OFFSET($BH$3,0,0,'Données projet'!$E$11+1,1))-AVERAGE(OFFSET($H$3,0,0,'Données projet'!$E$11+1,1))</f>
        <v>460.88622650237176</v>
      </c>
      <c r="BJ37" s="59">
        <f t="shared" si="38"/>
        <v>396.05161661639647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15.232454639463825</v>
      </c>
      <c r="BQ37" s="21">
        <f>EXP(-LN(2)/25)*BQ36+(1-EXP(-LN(2)/25))/(LN(2)/25)*Calculateur!BL37*Calculateur!BN37*VLOOKUP('Données projet'!$B$11,Paramètres!$A$1:$I$89,3,0)*0.475*44/12</f>
        <v>16.848725441085367</v>
      </c>
      <c r="BR37" s="21">
        <f>EXP(-LN(2)/2)*BR36+(1-EXP(-LN(2)/2))/(LN(2)/2)*BL37*BO37*VLOOKUP('Données projet'!$B$11,Paramètres!$A$1:$I$89,3,0)*0.475*44/12</f>
        <v>3.3029463343674927</v>
      </c>
      <c r="BS37" s="22">
        <f t="shared" si="9"/>
        <v>35.384126414916679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23.267142857142858</v>
      </c>
      <c r="BY37" s="12">
        <f>IF('Données projet'!$A$114&gt;35,BY36+BX37-CG36,IF(A37&lt;'Données projet'!$A$114,$BV$205^A37,IF(A37='Données projet'!$A$114,'Données projet'!$B$114,BY36+BX37-CG36)))</f>
        <v>353.85285714285709</v>
      </c>
      <c r="BZ37" s="13">
        <f>BY37*VLOOKUP('Données projet'!$B$12,Paramètres!$A$1:$I$89,3,0)*VLOOKUP('Données projet'!$B$12,Paramètres!$A$1:$I$89,5,0)</f>
        <v>161.00304999999997</v>
      </c>
      <c r="CA37" s="13">
        <f t="shared" si="39"/>
        <v>41.068673779916033</v>
      </c>
      <c r="CB37" s="20">
        <f t="shared" si="10"/>
        <v>351.94158558335363</v>
      </c>
      <c r="CC37" s="59">
        <f t="shared" si="11"/>
        <v>594.71501704546927</v>
      </c>
      <c r="CD37" s="59">
        <f ca="1">AVERAGE(OFFSET($CC$3,0,0,'Données projet'!$E$12+1,1))-AVERAGE(OFFSET($H$3,0,0,'Données projet'!$E$12+1,1))</f>
        <v>341.60063595566282</v>
      </c>
      <c r="CE37" s="59">
        <f t="shared" si="40"/>
        <v>317.05609766344219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9.2935229405362119</v>
      </c>
      <c r="CL37" s="21">
        <f>EXP(-LN(2)/25)*CL36+(1-EXP(-LN(2)/25))/(LN(2)/25)*Calculateur!CG37*Calculateur!CI37*VLOOKUP('Données projet'!$B$12,Paramètres!$A$1:$I$89,3,0)*0.475*44/12</f>
        <v>14.084114376997794</v>
      </c>
      <c r="CM37" s="21">
        <f>EXP(-LN(2)/2)*CM36+(1-EXP(-LN(2)/2))/(LN(2)/2)*CG37*CJ37*VLOOKUP('Données projet'!$B$12,Paramètres!$A$1:$I$89,3,0)*0.475*44/12</f>
        <v>1.4783286121686769</v>
      </c>
      <c r="CN37" s="22">
        <f t="shared" si="12"/>
        <v>24.855965929702684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6.7939999999999996</v>
      </c>
      <c r="CT37" s="12">
        <f>IF('Données projet'!$A$140&gt;35,CT36+CS37-DB36,IF(A37&lt;'Données projet'!$A$140,$CQ$205^A37,IF(A37='Données projet'!$A$140,'Données projet'!$B$140,CT36+CS37-DB36)))</f>
        <v>107.94599999999993</v>
      </c>
      <c r="CU37" s="17">
        <f>CT37*VLOOKUP('Données projet'!$B$13,Paramètres!$A$1:$I$89,3,0)*VLOOKUP('Données projet'!$B$13,Paramètres!$A$1:$I$89,5,0)</f>
        <v>112.82515919999993</v>
      </c>
      <c r="CV37" s="13">
        <f t="shared" si="41"/>
        <v>29.995628537306743</v>
      </c>
      <c r="CW37" s="20">
        <f t="shared" si="13"/>
        <v>248.7462053091424</v>
      </c>
      <c r="CX37" s="59">
        <f t="shared" si="14"/>
        <v>491.51963677125798</v>
      </c>
      <c r="CY37" s="59">
        <f ca="1">AVERAGE(OFFSET($CX$3,0,0,'Données projet'!$E$13+1,1))-AVERAGE(OFFSET($H$3,0,0,'Données projet'!$E$13+1,1))</f>
        <v>287.73449456153207</v>
      </c>
      <c r="CZ37" s="59">
        <f t="shared" si="42"/>
        <v>296.74833899433281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2.1774902511648881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2.1774902511648881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4.3352272727272725</v>
      </c>
      <c r="DO37" s="12">
        <f>IF('Données projet'!$A$166&gt;35,DO36+DN37-DW36,IF(A37&lt;'Données projet'!$A$166,$DL$205^A37,IF(A37='Données projet'!$A$166,'Données projet'!$B$166,DO36+DN37-DW36)))</f>
        <v>147.39772727272722</v>
      </c>
      <c r="DP37" s="17">
        <f>DO37*VLOOKUP('Données projet'!$B$14,Paramètres!$A$1:$I$89,3,0)*VLOOKUP('Données projet'!$B$14,Paramètres!$A$1:$I$89,5,0)</f>
        <v>149.46129545454542</v>
      </c>
      <c r="DQ37" s="13">
        <f t="shared" si="43"/>
        <v>38.456137457131177</v>
      </c>
      <c r="DR37" s="20">
        <f t="shared" si="16"/>
        <v>327.28952898783672</v>
      </c>
      <c r="DS37" s="59">
        <f t="shared" si="17"/>
        <v>570.06296044995224</v>
      </c>
      <c r="DT37" s="59">
        <f ca="1">AVERAGE(OFFSET($DS$3,0,0,'Données projet'!$E$14+1,1))-AVERAGE(OFFSET($H$3,0,0,'Données projet'!$E$14+1,1))</f>
        <v>532.34688562681413</v>
      </c>
      <c r="DU37" s="59">
        <f t="shared" si="44"/>
        <v>345.42627129678556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4.4860000000000015</v>
      </c>
      <c r="EJ37" s="12">
        <f>IF('Données projet'!$A$192&gt;35,EJ36+EI37-ER36,IF(A37&lt;'Données projet'!$A$192,$EG$205^A37,IF(A37='Données projet'!$A$192,'Données projet'!$B$192,EJ36+EI37-ER36)))</f>
        <v>166.66399999999996</v>
      </c>
      <c r="EK37" s="17">
        <f>EJ37*VLOOKUP('Données projet'!$B$15,Paramètres!$A$1:$I$89,3,0)*VLOOKUP('Données projet'!$B$15,Paramètres!$A$1:$I$89,5,0)</f>
        <v>150.79758719999995</v>
      </c>
      <c r="EL37" s="13">
        <f t="shared" si="45"/>
        <v>38.759784193036779</v>
      </c>
      <c r="EM37" s="20">
        <f t="shared" si="19"/>
        <v>330.14575517620568</v>
      </c>
      <c r="EN37" s="59">
        <f t="shared" si="20"/>
        <v>572.91918663832121</v>
      </c>
      <c r="EO37" s="59">
        <f ca="1">AVERAGE(OFFSET($EN$3,0,0,'Données projet'!$E$15+1,1))-AVERAGE(OFFSET($H$3,0,0,'Données projet'!$E$15+1,1))</f>
        <v>256.20286603823035</v>
      </c>
      <c r="EP37" s="59">
        <f t="shared" si="46"/>
        <v>364.83827155069434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0.78174774518636891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0.78174774518636891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4.3352272727272725</v>
      </c>
      <c r="FE37" s="12">
        <f>IF('Données projet'!$A$218&gt;35,FE36+FD37-FM36,IF(A37&lt;'Données projet'!$A$218,$FB$205^A37,IF(A37='Données projet'!$A$218,'Données projet'!$B$218,FE36+FD37-FM36)))</f>
        <v>147.39772727272722</v>
      </c>
      <c r="FF37" s="17">
        <f>FE37*VLOOKUP('Données projet'!$B$16,Paramètres!$A$1:$I$89,3,0)*VLOOKUP('Données projet'!$B$16,Paramètres!$A$1:$I$89,5,0)</f>
        <v>98.874395454545422</v>
      </c>
      <c r="FG37" s="13">
        <f t="shared" si="47"/>
        <v>26.693661374889839</v>
      </c>
      <c r="FH37" s="20">
        <f t="shared" si="22"/>
        <v>218.69769897793307</v>
      </c>
      <c r="FI37" s="59">
        <f t="shared" si="23"/>
        <v>461.47113044004868</v>
      </c>
      <c r="FJ37" s="59">
        <f ca="1">AVERAGE(OFFSET($FI$3,0,0,'Données projet'!$E$16+1,1))-AVERAGE(OFFSET($H$3,0,0,'Données projet'!$E$16+1,1))</f>
        <v>380.73695370216979</v>
      </c>
      <c r="FK37" s="59">
        <f t="shared" si="48"/>
        <v>249.34467160415713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4.3352272727272725</v>
      </c>
      <c r="FZ37" s="12">
        <f>IF('Données projet'!$A$244&gt;35,FZ36+FY37-GH36,IF(A37&lt;'Données projet'!$A$244,$FW$205^A37,IF(A37='Données projet'!$A$244,'Données projet'!$B$244,FZ36+FY37-GH36)))</f>
        <v>147.39772727272722</v>
      </c>
      <c r="GA37" s="17">
        <f>FZ37*VLOOKUP('Données projet'!$B$17,Paramètres!$A$1:$I$89,3,0)*VLOOKUP('Données projet'!$B$17,Paramètres!$A$1:$I$89,5,0)</f>
        <v>142.56308181818179</v>
      </c>
      <c r="GB37" s="13">
        <f t="shared" si="49"/>
        <v>36.883550137984614</v>
      </c>
      <c r="GC37" s="20">
        <f t="shared" si="25"/>
        <v>312.53621732365644</v>
      </c>
      <c r="GD37" s="59">
        <f t="shared" si="26"/>
        <v>555.30964878577197</v>
      </c>
      <c r="GE37" s="59">
        <f ca="1">AVERAGE(OFFSET($GD$3,0,0,'Données projet'!$E$17+1,1))-AVERAGE(OFFSET($H$3,0,0,'Données projet'!$E$17+1,1))</f>
        <v>511.7458522930001</v>
      </c>
      <c r="GF37" s="59">
        <f t="shared" si="50"/>
        <v>332.37317679966122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10.8</v>
      </c>
      <c r="GU37" s="12">
        <f>IF('Données projet'!$A$270&gt;35,GU36+GT37-HC36,IF(A37&lt;'Données projet'!$A$270,$GR$205^A37,IF(A37='Données projet'!$A$270,'Données projet'!$B$270,GU36+GT37-HC36)))</f>
        <v>161.20000000000002</v>
      </c>
      <c r="GV37" s="17">
        <f>GU37*VLOOKUP('Données projet'!$B$18,Paramètres!$A$1:$I$89,3,0)*VLOOKUP('Données projet'!$B$18,Paramètres!$A$1:$I$89,5,0)</f>
        <v>140.82432000000003</v>
      </c>
      <c r="GW37" s="13">
        <f t="shared" si="51"/>
        <v>36.485781060837802</v>
      </c>
      <c r="GX37" s="20">
        <f t="shared" si="28"/>
        <v>308.81509268095925</v>
      </c>
      <c r="GY37" s="59">
        <f t="shared" si="29"/>
        <v>551.58852414307489</v>
      </c>
      <c r="GZ37" s="59">
        <f ca="1">AVERAGE(OFFSET($GY$3,0,0,'Données projet'!$E$18+1,1))-AVERAGE(OFFSET($H$3,0,0,'Données projet'!$E$18+1,1))</f>
        <v>348.77506423101278</v>
      </c>
      <c r="HA37" s="59">
        <f t="shared" si="52"/>
        <v>336.13747591329548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2.6480135573476824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2.6480135573476824</v>
      </c>
    </row>
    <row r="38" spans="1:218" x14ac:dyDescent="0.2">
      <c r="A38" s="10">
        <f t="shared" si="31"/>
        <v>35</v>
      </c>
      <c r="B38" s="71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5">
        <f t="shared" si="1"/>
        <v>183.33333333333334</v>
      </c>
      <c r="I38" s="6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9.9228571428571435</v>
      </c>
      <c r="N38" s="13">
        <f>IF('Données projet'!$A$36&gt;35,N37+M38-V37,IF(A38&lt;'Données projet'!$A$36,$K$205^A38,IF(A38='Données projet'!$A$36,'Données projet'!$B$36,N37+M38-V37)))</f>
        <v>347.29999999999995</v>
      </c>
      <c r="O38" s="13">
        <f>N38*VLOOKUP('Données projet'!$B$9,Paramètres!$A$1:$I$89,3,0)*VLOOKUP('Données projet'!$B$9,Paramètres!$A$1:$I$89,5,0)</f>
        <v>162.53639999999999</v>
      </c>
      <c r="P38" s="13">
        <f t="shared" si="33"/>
        <v>41.414082773478739</v>
      </c>
      <c r="Q38" s="20">
        <f t="shared" si="53"/>
        <v>355.21375749714207</v>
      </c>
      <c r="R38" s="59">
        <f t="shared" si="0"/>
        <v>598.8642902217166</v>
      </c>
      <c r="S38" s="59">
        <f ca="1">AVERAGE(OFFSET($R$3,0,0,'Données projet'!$E$9+1,1))-AVERAGE(OFFSET($H$3,0,0,'Données projet'!$E$9+1,1))</f>
        <v>387.50901594883317</v>
      </c>
      <c r="T38" s="59">
        <f t="shared" si="34"/>
        <v>361.3623790401972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16.701250000000002</v>
      </c>
      <c r="AI38" s="13">
        <f>IF('Données projet'!$A$62&gt;35,AI37+AH38-AQ37,IF(A38&lt;'Données projet'!$A$62,$AF$205^A38,IF(A38='Données projet'!$A$62,'Données projet'!$B$62,AI37+AH38-AQ37)))</f>
        <v>200.33250000000004</v>
      </c>
      <c r="AJ38" s="13">
        <f>AI38*VLOOKUP('Données projet'!$B$10,Paramètres!$A$1:$I$89,3,0)*VLOOKUP('Données projet'!$B$10,Paramètres!$A$1:$I$89,5,0)</f>
        <v>119.79883500000003</v>
      </c>
      <c r="AK38" s="13">
        <f t="shared" si="35"/>
        <v>31.628076280921128</v>
      </c>
      <c r="AL38" s="20">
        <f t="shared" si="4"/>
        <v>263.73520381427102</v>
      </c>
      <c r="AM38" s="59">
        <f t="shared" si="5"/>
        <v>507.38573653884555</v>
      </c>
      <c r="AN38" s="59">
        <f ca="1">AVERAGE(OFFSET($AM$3,0,0,'Données projet'!$E$10+1,1))-AVERAGE(OFFSET($H$3,0,0,'Données projet'!$E$10+1,1))</f>
        <v>373.47758082856359</v>
      </c>
      <c r="AO38" s="59">
        <f t="shared" si="36"/>
        <v>277.24895424120166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13.269749996929907</v>
      </c>
      <c r="AV38" s="21">
        <f>EXP(-LN(2)/25)*AV37+(1-EXP(-LN(2)/25))/(LN(2)/25)*Calculateur!AQ38*Calculateur!AS38*VLOOKUP('Données projet'!$B$10,Paramètres!$A$1:$I$89,3,0)*0.475*44/12</f>
        <v>15.817269178582404</v>
      </c>
      <c r="AW38" s="21">
        <f>EXP(-LN(2)/2)*AW37+(1-EXP(-LN(2)/2))/(LN(2)/2)*AQ38*AT38*VLOOKUP('Données projet'!$B$10,Paramètres!$A$1:$I$89,3,0)*0.475*44/12</f>
        <v>5.0706945730763291</v>
      </c>
      <c r="AX38" s="21">
        <f t="shared" si="6"/>
        <v>34.157713748588641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20.572857142857142</v>
      </c>
      <c r="BD38" s="12">
        <f>IF('Données projet'!$A$88&gt;35,BD37+BC38-BL37,IF(A38&lt;'Données projet'!$A$88,$BA$205^A38,IF(A38='Données projet'!$A$88,'Données projet'!$B$88,BD37+BC38-BL37)))</f>
        <v>295.97428571428566</v>
      </c>
      <c r="BE38" s="13">
        <f>BD38*VLOOKUP('Données projet'!$B$11,Paramètres!$A$1:$I$89,3,0)*VLOOKUP('Données projet'!$B$11,Paramètres!$A$1:$I$89,5,0)</f>
        <v>176.99262285714283</v>
      </c>
      <c r="BF38" s="13">
        <f t="shared" si="37"/>
        <v>44.652445469250452</v>
      </c>
      <c r="BG38" s="20">
        <f t="shared" si="7"/>
        <v>386.03182733513495</v>
      </c>
      <c r="BH38" s="59">
        <f t="shared" si="8"/>
        <v>629.68236005970948</v>
      </c>
      <c r="BI38" s="59">
        <f ca="1">AVERAGE(OFFSET($BH$3,0,0,'Données projet'!$E$11+1,1))-AVERAGE(OFFSET($H$3,0,0,'Données projet'!$E$11+1,1))</f>
        <v>460.88622650237176</v>
      </c>
      <c r="BJ38" s="59">
        <f t="shared" si="38"/>
        <v>396.05161661639647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14.93375549486387</v>
      </c>
      <c r="BQ38" s="21">
        <f>EXP(-LN(2)/25)*BQ37+(1-EXP(-LN(2)/25))/(LN(2)/25)*Calculateur!BL38*Calculateur!BN38*VLOOKUP('Données projet'!$B$11,Paramètres!$A$1:$I$89,3,0)*0.475*44/12</f>
        <v>16.387996157862926</v>
      </c>
      <c r="BR38" s="21">
        <f>EXP(-LN(2)/2)*BR37+(1-EXP(-LN(2)/2))/(LN(2)/2)*BL38*BO38*VLOOKUP('Données projet'!$B$11,Paramètres!$A$1:$I$89,3,0)*0.475*44/12</f>
        <v>2.3355357509265042</v>
      </c>
      <c r="BS38" s="22">
        <f t="shared" si="9"/>
        <v>33.657287403653299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377.12</v>
      </c>
      <c r="BW38" s="12">
        <f>VLOOKUP(A38,'Données projet'!$A$113:$I$133,9,0)</f>
        <v>23.267142857142858</v>
      </c>
      <c r="BX38" s="12">
        <f t="array" ref="BX38">INDEX(BW:BW,MIN(IF(ISNUMBER(BW38:BW234),ROW(BW38:BW234),"")))</f>
        <v>23.267142857142858</v>
      </c>
      <c r="BY38" s="12">
        <f>IF('Données projet'!$A$114&gt;35,BY37+BX38-CG37,IF(A38&lt;'Données projet'!$A$114,$BV$205^A38,IF(A38='Données projet'!$A$114,'Données projet'!$B$114,BY37+BX38-CG37)))</f>
        <v>377.11999999999995</v>
      </c>
      <c r="BZ38" s="13">
        <f>BY38*VLOOKUP('Données projet'!$B$12,Paramètres!$A$1:$I$89,3,0)*VLOOKUP('Données projet'!$B$12,Paramètres!$A$1:$I$89,5,0)</f>
        <v>171.58959999999996</v>
      </c>
      <c r="CA38" s="13">
        <f t="shared" si="39"/>
        <v>43.445848030852709</v>
      </c>
      <c r="CB38" s="20">
        <f t="shared" si="10"/>
        <v>374.52007198706838</v>
      </c>
      <c r="CC38" s="59">
        <f t="shared" si="11"/>
        <v>618.17060471164291</v>
      </c>
      <c r="CD38" s="59">
        <f ca="1">AVERAGE(OFFSET($CC$3,0,0,'Données projet'!$E$12+1,1))-AVERAGE(OFFSET($H$3,0,0,'Données projet'!$E$12+1,1))</f>
        <v>341.60063595566282</v>
      </c>
      <c r="CE38" s="59">
        <f t="shared" si="40"/>
        <v>317.05609766344219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86.68</v>
      </c>
      <c r="CH38" s="16">
        <f>IF(ISNA(VLOOKUP(A38,'Données projet'!$A$113:$I$133,5,0)),0%,VLOOKUP(A38,'Données projet'!$A$113:$I$133,5,0)*VLOOKUP('Données projet'!$B$12,Paramètres!$A$1:$I$89,7,0))</f>
        <v>0.22000000000000003</v>
      </c>
      <c r="CI38" s="16">
        <f>IF(ISNA(VLOOKUP(A38,'Données projet'!$A$113:$I$133,6,0)),0%,VLOOKUP(A38,'Données projet'!$A$113:$I$133,6,0)*VLOOKUP('Données projet'!$B$12,Paramètres!$A$1:$I$89,7,0))</f>
        <v>0.18700000000000003</v>
      </c>
      <c r="CJ38" s="16">
        <f>IF(ISNA(VLOOKUP(A38,'Données projet'!$A$113:$I$133,7,0)),0%,VLOOKUP(A38,'Données projet'!$A$113:$I$133,7,0))</f>
        <v>0.26</v>
      </c>
      <c r="CK38" s="21">
        <f>EXP(-LN(2)/35)*CK37+(1-EXP(-LN(2)/35))/(LN(2)/35)*CG38*CH38*VLOOKUP('Données projet'!$B$12,Paramètres!$A$1:$I$89,3,0)*0.475*44/12</f>
        <v>20.621441984611263</v>
      </c>
      <c r="CL38" s="21">
        <f>EXP(-LN(2)/25)*CL37+(1-EXP(-LN(2)/25))/(LN(2)/25)*Calculateur!CG38*Calculateur!CI38*VLOOKUP('Données projet'!$B$12,Paramètres!$A$1:$I$89,3,0)*0.475*44/12</f>
        <v>23.444097084440493</v>
      </c>
      <c r="CM38" s="21">
        <f>EXP(-LN(2)/2)*CM37+(1-EXP(-LN(2)/2))/(LN(2)/2)*CG38*CJ38*VLOOKUP('Données projet'!$B$12,Paramètres!$A$1:$I$89,3,0)*0.475*44/12</f>
        <v>12.655522430003545</v>
      </c>
      <c r="CN38" s="22">
        <f t="shared" si="12"/>
        <v>56.721061499055295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114.74</v>
      </c>
      <c r="CR38" s="12">
        <f>VLOOKUP(A38,'Données projet'!$A$139:$I$159,9,0)</f>
        <v>6.7939999999999996</v>
      </c>
      <c r="CS38" s="12">
        <f t="array" ref="CS38">INDEX(CR:CR,MIN(IF(ISNUMBER(CR38:CR234),ROW(CR38:CR234),"")))</f>
        <v>6.7939999999999996</v>
      </c>
      <c r="CT38" s="12">
        <f>IF('Données projet'!$A$140&gt;35,CT37+CS38-DB37,IF(A38&lt;'Données projet'!$A$140,$CQ$205^A38,IF(A38='Données projet'!$A$140,'Données projet'!$B$140,CT37+CS38-DB37)))</f>
        <v>114.73999999999992</v>
      </c>
      <c r="CU38" s="17">
        <f>CT38*VLOOKUP('Données projet'!$B$13,Paramètres!$A$1:$I$89,3,0)*VLOOKUP('Données projet'!$B$13,Paramètres!$A$1:$I$89,5,0)</f>
        <v>119.92624799999993</v>
      </c>
      <c r="CV38" s="13">
        <f t="shared" si="41"/>
        <v>31.657797235836782</v>
      </c>
      <c r="CW38" s="20">
        <f t="shared" si="13"/>
        <v>264.00887878574889</v>
      </c>
      <c r="CX38" s="59">
        <f t="shared" si="14"/>
        <v>507.65941151032337</v>
      </c>
      <c r="CY38" s="59">
        <f ca="1">AVERAGE(OFFSET($CX$3,0,0,'Données projet'!$E$13+1,1))-AVERAGE(OFFSET($H$3,0,0,'Données projet'!$E$13+1,1))</f>
        <v>287.73449456153207</v>
      </c>
      <c r="CZ38" s="59">
        <f t="shared" si="42"/>
        <v>296.74833899433281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23.08</v>
      </c>
      <c r="DC38" s="16">
        <f>IF(ISNA(VLOOKUP(A38,'Données projet'!$A$139:$I$159,5,0)),0%,VLOOKUP(A38,'Données projet'!$A$139:$I$159,5,0)*VLOOKUP('Données projet'!$B$13,Paramètres!$A$1:$I$89,7,0))</f>
        <v>8.6000000000000007E-2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4.4281960597259342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4.4281960597259342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4.3352272727272725</v>
      </c>
      <c r="DO38" s="12">
        <f>IF('Données projet'!$A$166&gt;35,DO37+DN38-DW37,IF(A38&lt;'Données projet'!$A$166,$DL$205^A38,IF(A38='Données projet'!$A$166,'Données projet'!$B$166,DO37+DN38-DW37)))</f>
        <v>151.7329545454545</v>
      </c>
      <c r="DP38" s="17">
        <f>DO38*VLOOKUP('Données projet'!$B$14,Paramètres!$A$1:$I$89,3,0)*VLOOKUP('Données projet'!$B$14,Paramètres!$A$1:$I$89,5,0)</f>
        <v>153.85721590909085</v>
      </c>
      <c r="DQ38" s="13">
        <f t="shared" si="43"/>
        <v>39.453852294163745</v>
      </c>
      <c r="DR38" s="20">
        <f t="shared" si="16"/>
        <v>336.68344378733508</v>
      </c>
      <c r="DS38" s="59">
        <f t="shared" si="17"/>
        <v>580.33397651190955</v>
      </c>
      <c r="DT38" s="59">
        <f ca="1">AVERAGE(OFFSET($DS$3,0,0,'Données projet'!$E$14+1,1))-AVERAGE(OFFSET($H$3,0,0,'Données projet'!$E$14+1,1))</f>
        <v>532.34688562681413</v>
      </c>
      <c r="DU38" s="59">
        <f t="shared" si="44"/>
        <v>345.42627129678556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171.15</v>
      </c>
      <c r="EH38" s="12">
        <f>VLOOKUP(A38,'Données projet'!$A$191:$I$211,9,0)</f>
        <v>4.4860000000000015</v>
      </c>
      <c r="EI38" s="12">
        <f t="array" ref="EI38">INDEX(EH:EH,MIN(IF(ISNUMBER(EH38:EH234),ROW(EH38:EH234),"")))</f>
        <v>4.4860000000000015</v>
      </c>
      <c r="EJ38" s="12">
        <f>IF('Données projet'!$A$192&gt;35,EJ37+EI38-ER37,IF(A38&lt;'Données projet'!$A$192,$EG$205^A38,IF(A38='Données projet'!$A$192,'Données projet'!$B$192,EJ37+EI38-ER37)))</f>
        <v>171.14999999999995</v>
      </c>
      <c r="EK38" s="17">
        <f>EJ38*VLOOKUP('Données projet'!$B$15,Paramètres!$A$1:$I$89,3,0)*VLOOKUP('Données projet'!$B$15,Paramètres!$A$1:$I$89,5,0)</f>
        <v>154.85651999999996</v>
      </c>
      <c r="EL38" s="13">
        <f t="shared" si="45"/>
        <v>39.680192191444007</v>
      </c>
      <c r="EM38" s="20">
        <f t="shared" si="19"/>
        <v>338.81810706676487</v>
      </c>
      <c r="EN38" s="59">
        <f t="shared" si="20"/>
        <v>582.46863979133934</v>
      </c>
      <c r="EO38" s="59">
        <f ca="1">AVERAGE(OFFSET($EN$3,0,0,'Données projet'!$E$15+1,1))-AVERAGE(OFFSET($H$3,0,0,'Données projet'!$E$15+1,1))</f>
        <v>256.20286603823035</v>
      </c>
      <c r="EP38" s="59">
        <f t="shared" si="46"/>
        <v>364.83827155069434</v>
      </c>
      <c r="EQ38" s="15">
        <f>IF(ISNA(VLOOKUP(A38,'Données projet'!$A$191:$I$211,3,0)),0,VLOOKUP(A38,'Données projet'!$A$191:$I$211,3,0))</f>
        <v>7</v>
      </c>
      <c r="ER38" s="15">
        <f>IF(ISNA(VLOOKUP(A38,'Données projet'!$A$191:$I$211,4,0)),0,VLOOKUP(A38,'Données projet'!$A$191:$I$211,4,0))</f>
        <v>5.77</v>
      </c>
      <c r="ES38" s="16">
        <f>IF(ISNA(VLOOKUP(A38,'Données projet'!$A$191:$I$211,5,0)),0%,VLOOKUP(A38,'Données projet'!$A$191:$I$211,5,0)*VLOOKUP('Données projet'!$B$15,Paramètres!$A$1:$I$89,7,0))</f>
        <v>0.18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1.8052566106606145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1.8052566106606145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4.3352272727272725</v>
      </c>
      <c r="FE38" s="12">
        <f>IF('Données projet'!$A$218&gt;35,FE37+FD38-FM37,IF(A38&lt;'Données projet'!$A$218,$FB$205^A38,IF(A38='Données projet'!$A$218,'Données projet'!$B$218,FE37+FD38-FM37)))</f>
        <v>151.7329545454545</v>
      </c>
      <c r="FF38" s="17">
        <f>FE38*VLOOKUP('Données projet'!$B$16,Paramètres!$A$1:$I$89,3,0)*VLOOKUP('Données projet'!$B$16,Paramètres!$A$1:$I$89,5,0)</f>
        <v>101.78246590909087</v>
      </c>
      <c r="FG38" s="13">
        <f t="shared" si="47"/>
        <v>27.386207838718622</v>
      </c>
      <c r="FH38" s="20">
        <f t="shared" si="22"/>
        <v>224.96877344410152</v>
      </c>
      <c r="FI38" s="59">
        <f t="shared" si="23"/>
        <v>468.61930616867602</v>
      </c>
      <c r="FJ38" s="59">
        <f ca="1">AVERAGE(OFFSET($FI$3,0,0,'Données projet'!$E$16+1,1))-AVERAGE(OFFSET($H$3,0,0,'Données projet'!$E$16+1,1))</f>
        <v>380.73695370216979</v>
      </c>
      <c r="FK38" s="59">
        <f t="shared" si="48"/>
        <v>249.34467160415713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4.3352272727272725</v>
      </c>
      <c r="FZ38" s="12">
        <f>IF('Données projet'!$A$244&gt;35,FZ37+FY38-GH37,IF(A38&lt;'Données projet'!$A$244,$FW$205^A38,IF(A38='Données projet'!$A$244,'Données projet'!$B$244,FZ37+FY38-GH37)))</f>
        <v>151.7329545454545</v>
      </c>
      <c r="GA38" s="17">
        <f>FZ38*VLOOKUP('Données projet'!$B$17,Paramètres!$A$1:$I$89,3,0)*VLOOKUP('Données projet'!$B$17,Paramètres!$A$1:$I$89,5,0)</f>
        <v>146.75611363636361</v>
      </c>
      <c r="GB38" s="13">
        <f t="shared" si="49"/>
        <v>37.840465409470795</v>
      </c>
      <c r="GC38" s="20">
        <f t="shared" si="25"/>
        <v>321.50570850482819</v>
      </c>
      <c r="GD38" s="59">
        <f t="shared" si="26"/>
        <v>565.15624122940267</v>
      </c>
      <c r="GE38" s="59">
        <f ca="1">AVERAGE(OFFSET($GD$3,0,0,'Données projet'!$E$17+1,1))-AVERAGE(OFFSET($H$3,0,0,'Données projet'!$E$17+1,1))</f>
        <v>511.7458522930001</v>
      </c>
      <c r="GF38" s="59">
        <f t="shared" si="50"/>
        <v>332.37317679966122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172</v>
      </c>
      <c r="GS38" s="12">
        <f>VLOOKUP(A38,'Données projet'!$A$269:$I$289,9,0)</f>
        <v>10.8</v>
      </c>
      <c r="GT38" s="12">
        <f t="array" ref="GT38">INDEX(GS:GS,MIN(IF(ISNUMBER(GS38:GS234),ROW(GS38:GS234),"")))</f>
        <v>10.8</v>
      </c>
      <c r="GU38" s="12">
        <f>IF('Données projet'!$A$270&gt;35,GU37+GT38-HC37,IF(A38&lt;'Données projet'!$A$270,$GR$205^A38,IF(A38='Données projet'!$A$270,'Données projet'!$B$270,GU37+GT38-HC37)))</f>
        <v>172.00000000000003</v>
      </c>
      <c r="GV38" s="17">
        <f>GU38*VLOOKUP('Données projet'!$B$18,Paramètres!$A$1:$I$89,3,0)*VLOOKUP('Données projet'!$B$18,Paramètres!$A$1:$I$89,5,0)</f>
        <v>150.25920000000005</v>
      </c>
      <c r="GW38" s="13">
        <f t="shared" si="51"/>
        <v>38.637483830798729</v>
      </c>
      <c r="GX38" s="20">
        <f t="shared" si="28"/>
        <v>328.99505767197456</v>
      </c>
      <c r="GY38" s="59">
        <f t="shared" si="29"/>
        <v>572.6455903965491</v>
      </c>
      <c r="GZ38" s="59">
        <f ca="1">AVERAGE(OFFSET($GY$3,0,0,'Données projet'!$E$18+1,1))-AVERAGE(OFFSET($H$3,0,0,'Données projet'!$E$18+1,1))</f>
        <v>348.77506423101278</v>
      </c>
      <c r="HA38" s="59">
        <f t="shared" si="52"/>
        <v>336.13747591329548</v>
      </c>
      <c r="HB38" s="15">
        <f>IF(ISNA(VLOOKUP(A38,'Données projet'!$A$269:$I$289,3,0)),0,VLOOKUP(A38,'Données projet'!$A$269:$I$289,3,0))</f>
        <v>5</v>
      </c>
      <c r="HC38" s="15">
        <f>IF(ISNA(VLOOKUP(A38,'Données projet'!$A$269:$I$289,4,0)),0,VLOOKUP(A38,'Données projet'!$A$269:$I$289,4,0))</f>
        <v>28</v>
      </c>
      <c r="HD38" s="16">
        <f>IF(ISNA(VLOOKUP(A38,'Données projet'!$A$269:$I$289,5,0)),0%,VLOOKUP(A38,'Données projet'!$A$269:$I$289,5,0)*VLOOKUP('Données projet'!$B$18,Paramètres!$A$1:$I$89,7,0))</f>
        <v>0.159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6.8955573143059379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6.8955573143059379</v>
      </c>
    </row>
    <row r="39" spans="1:218" x14ac:dyDescent="0.2">
      <c r="A39" s="10">
        <f t="shared" si="31"/>
        <v>36</v>
      </c>
      <c r="B39" s="71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5">
        <f t="shared" si="1"/>
        <v>183.33333333333334</v>
      </c>
      <c r="I39" s="6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9.9228571428571435</v>
      </c>
      <c r="N39" s="13">
        <f>IF('Données projet'!$A$36&gt;35,N38+M39-V38,IF(A39&lt;'Données projet'!$A$36,$K$205^A39,IF(A39='Données projet'!$A$36,'Données projet'!$B$36,N38+M39-V38)))</f>
        <v>357.22285714285709</v>
      </c>
      <c r="O39" s="13">
        <f>N39*VLOOKUP('Données projet'!$B$9,Paramètres!$A$1:$I$89,3,0)*VLOOKUP('Données projet'!$B$9,Paramètres!$A$1:$I$89,5,0)</f>
        <v>167.18029714285711</v>
      </c>
      <c r="P39" s="13">
        <f t="shared" si="33"/>
        <v>42.457890521224527</v>
      </c>
      <c r="Q39" s="20">
        <f t="shared" si="53"/>
        <v>365.1198435149422</v>
      </c>
      <c r="R39" s="59">
        <f t="shared" si="0"/>
        <v>609.63226175597663</v>
      </c>
      <c r="S39" s="59">
        <f ca="1">AVERAGE(OFFSET($R$3,0,0,'Données projet'!$E$9+1,1))-AVERAGE(OFFSET($H$3,0,0,'Données projet'!$E$9+1,1))</f>
        <v>387.50901594883317</v>
      </c>
      <c r="T39" s="59">
        <f t="shared" si="34"/>
        <v>361.3623790401972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16.701250000000002</v>
      </c>
      <c r="AI39" s="13">
        <f>IF('Données projet'!$A$62&gt;35,AI38+AH39-AQ38,IF(A39&lt;'Données projet'!$A$62,$AF$205^A39,IF(A39='Données projet'!$A$62,'Données projet'!$B$62,AI38+AH39-AQ38)))</f>
        <v>217.03375000000005</v>
      </c>
      <c r="AJ39" s="13">
        <f>AI39*VLOOKUP('Données projet'!$B$10,Paramètres!$A$1:$I$89,3,0)*VLOOKUP('Données projet'!$B$10,Paramètres!$A$1:$I$89,5,0)</f>
        <v>129.78618250000005</v>
      </c>
      <c r="AK39" s="13">
        <f t="shared" si="35"/>
        <v>33.946947653586037</v>
      </c>
      <c r="AL39" s="20">
        <f t="shared" si="4"/>
        <v>285.1685350174958</v>
      </c>
      <c r="AM39" s="59">
        <f t="shared" si="5"/>
        <v>529.68095325853028</v>
      </c>
      <c r="AN39" s="59">
        <f ca="1">AVERAGE(OFFSET($AM$3,0,0,'Données projet'!$E$10+1,1))-AVERAGE(OFFSET($H$3,0,0,'Données projet'!$E$10+1,1))</f>
        <v>373.47758082856359</v>
      </c>
      <c r="AO39" s="59">
        <f t="shared" si="36"/>
        <v>277.24895424120166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13.009538293238418</v>
      </c>
      <c r="AV39" s="21">
        <f>EXP(-LN(2)/25)*AV38+(1-EXP(-LN(2)/25))/(LN(2)/25)*Calculateur!AQ39*Calculateur!AS39*VLOOKUP('Données projet'!$B$10,Paramètres!$A$1:$I$89,3,0)*0.475*44/12</f>
        <v>15.384745121100032</v>
      </c>
      <c r="AW39" s="21">
        <f>EXP(-LN(2)/2)*AW38+(1-EXP(-LN(2)/2))/(LN(2)/2)*AQ39*AT39*VLOOKUP('Données projet'!$B$10,Paramètres!$A$1:$I$89,3,0)*0.475*44/12</f>
        <v>3.5855225179480983</v>
      </c>
      <c r="AX39" s="21">
        <f t="shared" si="6"/>
        <v>31.979805932286549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20.572857142857142</v>
      </c>
      <c r="BD39" s="12">
        <f>IF('Données projet'!$A$88&gt;35,BD38+BC39-BL38,IF(A39&lt;'Données projet'!$A$88,$BA$205^A39,IF(A39='Données projet'!$A$88,'Données projet'!$B$88,BD38+BC39-BL38)))</f>
        <v>316.54714285714277</v>
      </c>
      <c r="BE39" s="13">
        <f>BD39*VLOOKUP('Données projet'!$B$11,Paramètres!$A$1:$I$89,3,0)*VLOOKUP('Données projet'!$B$11,Paramètres!$A$1:$I$89,5,0)</f>
        <v>189.29519142857137</v>
      </c>
      <c r="BF39" s="13">
        <f t="shared" si="37"/>
        <v>47.384095995290963</v>
      </c>
      <c r="BG39" s="20">
        <f t="shared" si="7"/>
        <v>412.21642559656016</v>
      </c>
      <c r="BH39" s="59">
        <f t="shared" si="8"/>
        <v>656.72884383759458</v>
      </c>
      <c r="BI39" s="59">
        <f ca="1">AVERAGE(OFFSET($BH$3,0,0,'Données projet'!$E$11+1,1))-AVERAGE(OFFSET($H$3,0,0,'Données projet'!$E$11+1,1))</f>
        <v>460.88622650237176</v>
      </c>
      <c r="BJ39" s="59">
        <f t="shared" si="38"/>
        <v>396.05161661639647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14.640913658301033</v>
      </c>
      <c r="BQ39" s="21">
        <f>EXP(-LN(2)/25)*BQ38+(1-EXP(-LN(2)/25))/(LN(2)/25)*Calculateur!BL39*Calculateur!BN39*VLOOKUP('Données projet'!$B$11,Paramètres!$A$1:$I$89,3,0)*0.475*44/12</f>
        <v>15.939865541118902</v>
      </c>
      <c r="BR39" s="21">
        <f>EXP(-LN(2)/2)*BR38+(1-EXP(-LN(2)/2))/(LN(2)/2)*BL39*BO39*VLOOKUP('Données projet'!$B$11,Paramètres!$A$1:$I$89,3,0)*0.475*44/12</f>
        <v>1.6514731671837466</v>
      </c>
      <c r="BS39" s="22">
        <f t="shared" si="9"/>
        <v>32.232252366603682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22.82714285714286</v>
      </c>
      <c r="BY39" s="12">
        <f>IF('Données projet'!$A$114&gt;35,BY38+BX39-CG38,IF(A39&lt;'Données projet'!$A$114,$BV$205^A39,IF(A39='Données projet'!$A$114,'Données projet'!$B$114,BY38+BX39-CG38)))</f>
        <v>313.2671428571428</v>
      </c>
      <c r="BZ39" s="13">
        <f>BY39*VLOOKUP('Données projet'!$B$12,Paramètres!$A$1:$I$89,3,0)*VLOOKUP('Données projet'!$B$12,Paramètres!$A$1:$I$89,5,0)</f>
        <v>142.53654999999998</v>
      </c>
      <c r="CA39" s="13">
        <f t="shared" si="39"/>
        <v>36.877484827110109</v>
      </c>
      <c r="CB39" s="20">
        <f t="shared" si="10"/>
        <v>312.47944399055007</v>
      </c>
      <c r="CC39" s="59">
        <f t="shared" si="11"/>
        <v>556.99186223158449</v>
      </c>
      <c r="CD39" s="59">
        <f ca="1">AVERAGE(OFFSET($CC$3,0,0,'Données projet'!$E$12+1,1))-AVERAGE(OFFSET($H$3,0,0,'Données projet'!$E$12+1,1))</f>
        <v>341.60063595566282</v>
      </c>
      <c r="CE39" s="59">
        <f t="shared" si="40"/>
        <v>317.05609766344219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20.217068085130688</v>
      </c>
      <c r="CL39" s="21">
        <f>EXP(-LN(2)/25)*CL38+(1-EXP(-LN(2)/25))/(LN(2)/25)*Calculateur!CG39*Calculateur!CI39*VLOOKUP('Données projet'!$B$12,Paramètres!$A$1:$I$89,3,0)*0.475*44/12</f>
        <v>22.803017016794985</v>
      </c>
      <c r="CM39" s="21">
        <f>EXP(-LN(2)/2)*CM38+(1-EXP(-LN(2)/2))/(LN(2)/2)*CG39*CJ39*VLOOKUP('Données projet'!$B$12,Paramètres!$A$1:$I$89,3,0)*0.475*44/12</f>
        <v>8.9488057297139623</v>
      </c>
      <c r="CN39" s="22">
        <f t="shared" si="12"/>
        <v>51.968890831639634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6.1560000000000006</v>
      </c>
      <c r="CT39" s="12">
        <f>IF('Données projet'!$A$140&gt;35,CT38+CS39-DB38,IF(A39&lt;'Données projet'!$A$140,$CQ$205^A39,IF(A39='Données projet'!$A$140,'Données projet'!$B$140,CT38+CS39-DB38)))</f>
        <v>97.815999999999931</v>
      </c>
      <c r="CU39" s="17">
        <f>CT39*VLOOKUP('Données projet'!$B$13,Paramètres!$A$1:$I$89,3,0)*VLOOKUP('Données projet'!$B$13,Paramètres!$A$1:$I$89,5,0)</f>
        <v>102.23728319999994</v>
      </c>
      <c r="CV39" s="13">
        <f t="shared" si="41"/>
        <v>27.494311108997</v>
      </c>
      <c r="CW39" s="20">
        <f t="shared" si="13"/>
        <v>225.94919342150297</v>
      </c>
      <c r="CX39" s="59">
        <f t="shared" si="14"/>
        <v>470.46161166253739</v>
      </c>
      <c r="CY39" s="59">
        <f ca="1">AVERAGE(OFFSET($CX$3,0,0,'Données projet'!$E$13+1,1))-AVERAGE(OFFSET($H$3,0,0,'Données projet'!$E$13+1,1))</f>
        <v>287.73449456153207</v>
      </c>
      <c r="CZ39" s="59">
        <f t="shared" si="42"/>
        <v>296.74833899433281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4.3413618359276098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4.3413618359276098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4.3352272727272725</v>
      </c>
      <c r="DO39" s="12">
        <f>IF('Données projet'!$A$166&gt;35,DO38+DN39-DW38,IF(A39&lt;'Données projet'!$A$166,$DL$205^A39,IF(A39='Données projet'!$A$166,'Données projet'!$B$166,DO38+DN39-DW38)))</f>
        <v>156.06818181818178</v>
      </c>
      <c r="DP39" s="17">
        <f>DO39*VLOOKUP('Données projet'!$B$14,Paramètres!$A$1:$I$89,3,0)*VLOOKUP('Données projet'!$B$14,Paramètres!$A$1:$I$89,5,0)</f>
        <v>158.25313636363634</v>
      </c>
      <c r="DQ39" s="13">
        <f t="shared" si="43"/>
        <v>40.448254051853773</v>
      </c>
      <c r="DR39" s="20">
        <f t="shared" si="16"/>
        <v>346.07158830697864</v>
      </c>
      <c r="DS39" s="59">
        <f t="shared" si="17"/>
        <v>590.58400654801312</v>
      </c>
      <c r="DT39" s="59">
        <f ca="1">AVERAGE(OFFSET($DS$3,0,0,'Données projet'!$E$14+1,1))-AVERAGE(OFFSET($H$3,0,0,'Données projet'!$E$14+1,1))</f>
        <v>532.34688562681413</v>
      </c>
      <c r="DU39" s="59">
        <f t="shared" si="44"/>
        <v>345.42627129678556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3.9759999999999991</v>
      </c>
      <c r="EJ39" s="12">
        <f>IF('Données projet'!$A$192&gt;35,EJ38+EI39-ER38,IF(A39&lt;'Données projet'!$A$192,$EG$205^A39,IF(A39='Données projet'!$A$192,'Données projet'!$B$192,EJ38+EI39-ER38)))</f>
        <v>169.35599999999994</v>
      </c>
      <c r="EK39" s="17">
        <f>EJ39*VLOOKUP('Données projet'!$B$15,Paramètres!$A$1:$I$89,3,0)*VLOOKUP('Données projet'!$B$15,Paramètres!$A$1:$I$89,5,0)</f>
        <v>153.23330879999992</v>
      </c>
      <c r="EL39" s="13">
        <f t="shared" si="45"/>
        <v>39.312452158633867</v>
      </c>
      <c r="EM39" s="20">
        <f t="shared" si="19"/>
        <v>335.35053366962052</v>
      </c>
      <c r="EN39" s="59">
        <f t="shared" si="20"/>
        <v>579.86295191065494</v>
      </c>
      <c r="EO39" s="59">
        <f ca="1">AVERAGE(OFFSET($EN$3,0,0,'Données projet'!$E$15+1,1))-AVERAGE(OFFSET($H$3,0,0,'Données projet'!$E$15+1,1))</f>
        <v>256.20286603823035</v>
      </c>
      <c r="EP39" s="59">
        <f t="shared" si="46"/>
        <v>364.83827155069434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1.769856629623368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1.769856629623368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4.3352272727272725</v>
      </c>
      <c r="FE39" s="12">
        <f>IF('Données projet'!$A$218&gt;35,FE38+FD39-FM38,IF(A39&lt;'Données projet'!$A$218,$FB$205^A39,IF(A39='Données projet'!$A$218,'Données projet'!$B$218,FE38+FD39-FM38)))</f>
        <v>156.06818181818178</v>
      </c>
      <c r="FF39" s="17">
        <f>FE39*VLOOKUP('Données projet'!$B$16,Paramètres!$A$1:$I$89,3,0)*VLOOKUP('Données projet'!$B$16,Paramètres!$A$1:$I$89,5,0)</f>
        <v>104.69053636363634</v>
      </c>
      <c r="FG39" s="13">
        <f t="shared" si="47"/>
        <v>28.07645458593716</v>
      </c>
      <c r="FH39" s="20">
        <f t="shared" si="22"/>
        <v>231.2358425705072</v>
      </c>
      <c r="FI39" s="59">
        <f t="shared" si="23"/>
        <v>475.74826081154163</v>
      </c>
      <c r="FJ39" s="59">
        <f ca="1">AVERAGE(OFFSET($FI$3,0,0,'Données projet'!$E$16+1,1))-AVERAGE(OFFSET($H$3,0,0,'Données projet'!$E$16+1,1))</f>
        <v>380.73695370216979</v>
      </c>
      <c r="FK39" s="59">
        <f t="shared" si="48"/>
        <v>249.34467160415713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4.3352272727272725</v>
      </c>
      <c r="FZ39" s="12">
        <f>IF('Données projet'!$A$244&gt;35,FZ38+FY39-GH38,IF(A39&lt;'Données projet'!$A$244,$FW$205^A39,IF(A39='Données projet'!$A$244,'Données projet'!$B$244,FZ38+FY39-GH38)))</f>
        <v>156.06818181818178</v>
      </c>
      <c r="GA39" s="17">
        <f>FZ39*VLOOKUP('Données projet'!$B$17,Paramètres!$A$1:$I$89,3,0)*VLOOKUP('Données projet'!$B$17,Paramètres!$A$1:$I$89,5,0)</f>
        <v>150.94914545454543</v>
      </c>
      <c r="GB39" s="13">
        <f t="shared" si="49"/>
        <v>38.794203083410245</v>
      </c>
      <c r="GC39" s="20">
        <f t="shared" si="25"/>
        <v>330.46966537027282</v>
      </c>
      <c r="GD39" s="59">
        <f t="shared" si="26"/>
        <v>574.98208361130719</v>
      </c>
      <c r="GE39" s="59">
        <f ca="1">AVERAGE(OFFSET($GD$3,0,0,'Données projet'!$E$17+1,1))-AVERAGE(OFFSET($H$3,0,0,'Données projet'!$E$17+1,1))</f>
        <v>511.7458522930001</v>
      </c>
      <c r="GF39" s="59">
        <f t="shared" si="50"/>
        <v>332.37317679966122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9.6</v>
      </c>
      <c r="GU39" s="12">
        <f>IF('Données projet'!$A$270&gt;35,GU38+GT39-HC38,IF(A39&lt;'Données projet'!$A$270,$GR$205^A39,IF(A39='Données projet'!$A$270,'Données projet'!$B$270,GU38+GT39-HC38)))</f>
        <v>153.60000000000002</v>
      </c>
      <c r="GV39" s="17">
        <f>GU39*VLOOKUP('Données projet'!$B$18,Paramètres!$A$1:$I$89,3,0)*VLOOKUP('Données projet'!$B$18,Paramètres!$A$1:$I$89,5,0)</f>
        <v>134.18496000000005</v>
      </c>
      <c r="GW39" s="13">
        <f t="shared" si="51"/>
        <v>34.961590270648216</v>
      </c>
      <c r="GX39" s="20">
        <f t="shared" si="28"/>
        <v>294.59690838804573</v>
      </c>
      <c r="GY39" s="59">
        <f t="shared" si="29"/>
        <v>539.10932662908021</v>
      </c>
      <c r="GZ39" s="59">
        <f ca="1">AVERAGE(OFFSET($GY$3,0,0,'Données projet'!$E$18+1,1))-AVERAGE(OFFSET($H$3,0,0,'Données projet'!$E$18+1,1))</f>
        <v>348.77506423101278</v>
      </c>
      <c r="HA39" s="59">
        <f t="shared" si="52"/>
        <v>336.13747591329548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6.7603396412470644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6.7603396412470644</v>
      </c>
    </row>
    <row r="40" spans="1:218" x14ac:dyDescent="0.2">
      <c r="A40" s="10">
        <f t="shared" si="31"/>
        <v>37</v>
      </c>
      <c r="B40" s="71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5">
        <f t="shared" si="1"/>
        <v>183.33333333333334</v>
      </c>
      <c r="I40" s="6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9.9228571428571435</v>
      </c>
      <c r="N40" s="13">
        <f>IF('Données projet'!$A$36&gt;35,N39+M40-V39,IF(A40&lt;'Données projet'!$A$36,$K$205^A40,IF(A40='Données projet'!$A$36,'Données projet'!$B$36,N39+M40-V39)))</f>
        <v>367.14571428571423</v>
      </c>
      <c r="O40" s="13">
        <f>N40*VLOOKUP('Données projet'!$B$9,Paramètres!$A$1:$I$89,3,0)*VLOOKUP('Données projet'!$B$9,Paramètres!$A$1:$I$89,5,0)</f>
        <v>171.82419428571427</v>
      </c>
      <c r="P40" s="13">
        <f t="shared" si="33"/>
        <v>43.498328282974661</v>
      </c>
      <c r="Q40" s="20">
        <f t="shared" si="53"/>
        <v>375.02006014046651</v>
      </c>
      <c r="R40" s="59">
        <f t="shared" si="0"/>
        <v>620.37941211113764</v>
      </c>
      <c r="S40" s="59">
        <f ca="1">AVERAGE(OFFSET($R$3,0,0,'Données projet'!$E$9+1,1))-AVERAGE(OFFSET($H$3,0,0,'Données projet'!$E$9+1,1))</f>
        <v>387.50901594883317</v>
      </c>
      <c r="T40" s="59">
        <f t="shared" si="34"/>
        <v>361.3623790401972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16.701250000000002</v>
      </c>
      <c r="AI40" s="13">
        <f>IF('Données projet'!$A$62&gt;35,AI39+AH40-AQ39,IF(A40&lt;'Données projet'!$A$62,$AF$205^A40,IF(A40='Données projet'!$A$62,'Données projet'!$B$62,AI39+AH40-AQ39)))</f>
        <v>233.73500000000007</v>
      </c>
      <c r="AJ40" s="13">
        <f>AI40*VLOOKUP('Données projet'!$B$10,Paramètres!$A$1:$I$89,3,0)*VLOOKUP('Données projet'!$B$10,Paramètres!$A$1:$I$89,5,0)</f>
        <v>139.77353000000005</v>
      </c>
      <c r="AK40" s="13">
        <f t="shared" si="35"/>
        <v>36.245119510821418</v>
      </c>
      <c r="AL40" s="20">
        <f t="shared" si="4"/>
        <v>306.56581456468069</v>
      </c>
      <c r="AM40" s="59">
        <f t="shared" si="5"/>
        <v>551.92516653535176</v>
      </c>
      <c r="AN40" s="59">
        <f ca="1">AVERAGE(OFFSET($AM$3,0,0,'Données projet'!$E$10+1,1))-AVERAGE(OFFSET($H$3,0,0,'Données projet'!$E$10+1,1))</f>
        <v>373.47758082856359</v>
      </c>
      <c r="AO40" s="59">
        <f t="shared" si="36"/>
        <v>277.24895424120166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12.754429182342852</v>
      </c>
      <c r="AV40" s="21">
        <f>EXP(-LN(2)/25)*AV39+(1-EXP(-LN(2)/25))/(LN(2)/25)*Calculateur!AQ40*Calculateur!AS40*VLOOKUP('Données projet'!$B$10,Paramètres!$A$1:$I$89,3,0)*0.475*44/12</f>
        <v>14.964048456714968</v>
      </c>
      <c r="AW40" s="21">
        <f>EXP(-LN(2)/2)*AW39+(1-EXP(-LN(2)/2))/(LN(2)/2)*AQ40*AT40*VLOOKUP('Données projet'!$B$10,Paramètres!$A$1:$I$89,3,0)*0.475*44/12</f>
        <v>2.535347286538165</v>
      </c>
      <c r="AX40" s="21">
        <f t="shared" si="6"/>
        <v>30.253824925595985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337.12</v>
      </c>
      <c r="BB40" s="12">
        <f>VLOOKUP(A40,'Données projet'!$A$87:$I$107,9,0)</f>
        <v>20.572857142857142</v>
      </c>
      <c r="BC40" s="12">
        <f t="array" ref="BC40">INDEX(BB:BB,MIN(IF(ISNUMBER(BB40:BB236),ROW(BB40:BB236),"")))</f>
        <v>20.572857142857142</v>
      </c>
      <c r="BD40" s="12">
        <f>IF('Données projet'!$A$88&gt;35,BD39+BC40-BL39,IF(A40&lt;'Données projet'!$A$88,$BA$205^A40,IF(A40='Données projet'!$A$88,'Données projet'!$B$88,BD39+BC40-BL39)))</f>
        <v>337.11999999999989</v>
      </c>
      <c r="BE40" s="13">
        <f>BD40*VLOOKUP('Données projet'!$B$11,Paramètres!$A$1:$I$89,3,0)*VLOOKUP('Données projet'!$B$11,Paramètres!$A$1:$I$89,5,0)</f>
        <v>201.59775999999997</v>
      </c>
      <c r="BF40" s="13">
        <f t="shared" si="37"/>
        <v>50.095144235750958</v>
      </c>
      <c r="BG40" s="20">
        <f t="shared" si="7"/>
        <v>438.36514154393285</v>
      </c>
      <c r="BH40" s="59">
        <f t="shared" si="8"/>
        <v>683.72449351460398</v>
      </c>
      <c r="BI40" s="59">
        <f ca="1">AVERAGE(OFFSET($BH$3,0,0,'Données projet'!$E$11+1,1))-AVERAGE(OFFSET($H$3,0,0,'Données projet'!$E$11+1,1))</f>
        <v>460.88622650237176</v>
      </c>
      <c r="BJ40" s="59">
        <f t="shared" si="38"/>
        <v>396.05161661639647</v>
      </c>
      <c r="BK40" s="15">
        <f>IF(ISNA(VLOOKUP(A40,'Données projet'!$A$87:$I$107,3,0)),0,VLOOKUP(A40,'Données projet'!$A$87:$I$107,3,0))</f>
        <v>4</v>
      </c>
      <c r="BL40" s="15">
        <f>IF(ISNA(VLOOKUP(A40,'Données projet'!$A$87:$I$107,4,0)),0,VLOOKUP(A40,'Données projet'!$A$87:$I$107,4,0))</f>
        <v>54.63</v>
      </c>
      <c r="BM40" s="16">
        <f>IF(ISNA(VLOOKUP(A40,'Données projet'!$A$87:$I$107,5,0)),0%,VLOOKUP(A40,'Données projet'!$A$87:$I$107,5,0)*VLOOKUP('Données projet'!$B$11,Paramètres!$A$1:$I$89,7,0))</f>
        <v>0.22500000000000001</v>
      </c>
      <c r="BN40" s="16">
        <f>IF(ISNA(VLOOKUP(A40,'Données projet'!$A$87:$I$107,6,0)),0%,VLOOKUP(A40,'Données projet'!$A$87:$I$107,6,0)*VLOOKUP('Données projet'!$B$11,Paramètres!$A$1:$I$89,7,0))</f>
        <v>0.12600000000000003</v>
      </c>
      <c r="BO40" s="16">
        <f>IF(ISNA(VLOOKUP(A40,'Données projet'!$A$87:$I$107,7,0)),0%,VLOOKUP(A40,'Données projet'!$A$87:$I$107,7,0))</f>
        <v>0.22</v>
      </c>
      <c r="BP40" s="21">
        <f>EXP(-LN(2)/35)*BP39+(1-EXP(-LN(2)/35))/(LN(2)/35)*BL40*BM40*VLOOKUP('Données projet'!$B$11,Paramètres!$A$1:$I$89,3,0)*0.475*44/12</f>
        <v>24.104681861336395</v>
      </c>
      <c r="BQ40" s="21">
        <f>EXP(-LN(2)/25)*BQ39+(1-EXP(-LN(2)/25))/(LN(2)/25)*Calculateur!BL40*Calculateur!BN40*VLOOKUP('Données projet'!$B$11,Paramètres!$A$1:$I$89,3,0)*0.475*44/12</f>
        <v>20.942974916542589</v>
      </c>
      <c r="BR40" s="21">
        <f>EXP(-LN(2)/2)*BR39+(1-EXP(-LN(2)/2))/(LN(2)/2)*BL40*BO40*VLOOKUP('Données projet'!$B$11,Paramètres!$A$1:$I$89,3,0)*0.475*44/12</f>
        <v>9.3052604359120981</v>
      </c>
      <c r="BS40" s="22">
        <f t="shared" si="9"/>
        <v>54.352917213791081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22.82714285714286</v>
      </c>
      <c r="BY40" s="12">
        <f>IF('Données projet'!$A$114&gt;35,BY39+BX40-CG39,IF(A40&lt;'Données projet'!$A$114,$BV$205^A40,IF(A40='Données projet'!$A$114,'Données projet'!$B$114,BY39+BX40-CG39)))</f>
        <v>336.09428571428566</v>
      </c>
      <c r="BZ40" s="13">
        <f>BY40*VLOOKUP('Données projet'!$B$12,Paramètres!$A$1:$I$89,3,0)*VLOOKUP('Données projet'!$B$12,Paramètres!$A$1:$I$89,5,0)</f>
        <v>152.92289999999997</v>
      </c>
      <c r="CA40" s="13">
        <f t="shared" si="39"/>
        <v>39.242077236940112</v>
      </c>
      <c r="CB40" s="20">
        <f t="shared" si="10"/>
        <v>334.68733535433728</v>
      </c>
      <c r="CC40" s="59">
        <f t="shared" si="11"/>
        <v>580.04668732500841</v>
      </c>
      <c r="CD40" s="59">
        <f ca="1">AVERAGE(OFFSET($CC$3,0,0,'Données projet'!$E$12+1,1))-AVERAGE(OFFSET($H$3,0,0,'Données projet'!$E$12+1,1))</f>
        <v>341.60063595566282</v>
      </c>
      <c r="CE40" s="59">
        <f t="shared" si="40"/>
        <v>317.05609766344219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19.820623711175202</v>
      </c>
      <c r="CL40" s="21">
        <f>EXP(-LN(2)/25)*CL39+(1-EXP(-LN(2)/25))/(LN(2)/25)*Calculateur!CG40*Calculateur!CI40*VLOOKUP('Données projet'!$B$12,Paramètres!$A$1:$I$89,3,0)*0.475*44/12</f>
        <v>22.179467317312177</v>
      </c>
      <c r="CM40" s="21">
        <f>EXP(-LN(2)/2)*CM39+(1-EXP(-LN(2)/2))/(LN(2)/2)*CG40*CJ40*VLOOKUP('Données projet'!$B$12,Paramètres!$A$1:$I$89,3,0)*0.475*44/12</f>
        <v>6.3277612150017735</v>
      </c>
      <c r="CN40" s="22">
        <f t="shared" si="12"/>
        <v>48.327852243489147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6.1560000000000006</v>
      </c>
      <c r="CT40" s="12">
        <f>IF('Données projet'!$A$140&gt;35,CT39+CS40-DB39,IF(A40&lt;'Données projet'!$A$140,$CQ$205^A40,IF(A40='Données projet'!$A$140,'Données projet'!$B$140,CT39+CS40-DB39)))</f>
        <v>103.97199999999994</v>
      </c>
      <c r="CU40" s="17">
        <f>CT40*VLOOKUP('Données projet'!$B$13,Paramètres!$A$1:$I$89,3,0)*VLOOKUP('Données projet'!$B$13,Paramètres!$A$1:$I$89,5,0)</f>
        <v>108.67153439999994</v>
      </c>
      <c r="CV40" s="13">
        <f t="shared" si="41"/>
        <v>29.017766721515876</v>
      </c>
      <c r="CW40" s="20">
        <f t="shared" si="13"/>
        <v>239.80886611997335</v>
      </c>
      <c r="CX40" s="59">
        <f t="shared" si="14"/>
        <v>485.16821809064447</v>
      </c>
      <c r="CY40" s="59">
        <f ca="1">AVERAGE(OFFSET($CX$3,0,0,'Données projet'!$E$13+1,1))-AVERAGE(OFFSET($H$3,0,0,'Données projet'!$E$13+1,1))</f>
        <v>287.73449456153207</v>
      </c>
      <c r="CZ40" s="59">
        <f t="shared" si="42"/>
        <v>296.74833899433281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4.2562303782943243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4.2562303782943243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4.3352272727272725</v>
      </c>
      <c r="DO40" s="12">
        <f>IF('Données projet'!$A$166&gt;35,DO39+DN40-DW39,IF(A40&lt;'Données projet'!$A$166,$DL$205^A40,IF(A40='Données projet'!$A$166,'Données projet'!$B$166,DO39+DN40-DW39)))</f>
        <v>160.40340909090907</v>
      </c>
      <c r="DP40" s="17">
        <f>DO40*VLOOKUP('Données projet'!$B$14,Paramètres!$A$1:$I$89,3,0)*VLOOKUP('Données projet'!$B$14,Paramètres!$A$1:$I$89,5,0)</f>
        <v>162.6490568181818</v>
      </c>
      <c r="DQ40" s="13">
        <f t="shared" si="43"/>
        <v>41.439445333280581</v>
      </c>
      <c r="DR40" s="20">
        <f t="shared" si="16"/>
        <v>355.45414124713034</v>
      </c>
      <c r="DS40" s="59">
        <f t="shared" si="17"/>
        <v>600.81349321780147</v>
      </c>
      <c r="DT40" s="59">
        <f ca="1">AVERAGE(OFFSET($DS$3,0,0,'Données projet'!$E$14+1,1))-AVERAGE(OFFSET($H$3,0,0,'Données projet'!$E$14+1,1))</f>
        <v>532.34688562681413</v>
      </c>
      <c r="DU40" s="59">
        <f t="shared" si="44"/>
        <v>345.42627129678556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3.9759999999999991</v>
      </c>
      <c r="EJ40" s="12">
        <f>IF('Données projet'!$A$192&gt;35,EJ39+EI40-ER39,IF(A40&lt;'Données projet'!$A$192,$EG$205^A40,IF(A40='Données projet'!$A$192,'Données projet'!$B$192,EJ39+EI40-ER39)))</f>
        <v>173.33199999999994</v>
      </c>
      <c r="EK40" s="17">
        <f>EJ40*VLOOKUP('Données projet'!$B$15,Paramètres!$A$1:$I$89,3,0)*VLOOKUP('Données projet'!$B$15,Paramètres!$A$1:$I$89,5,0)</f>
        <v>156.83079359999994</v>
      </c>
      <c r="EL40" s="13">
        <f t="shared" si="45"/>
        <v>40.126861870797647</v>
      </c>
      <c r="EM40" s="20">
        <f t="shared" si="19"/>
        <v>343.03458327830577</v>
      </c>
      <c r="EN40" s="59">
        <f t="shared" si="20"/>
        <v>588.39393524897685</v>
      </c>
      <c r="EO40" s="59">
        <f ca="1">AVERAGE(OFFSET($EN$3,0,0,'Données projet'!$E$15+1,1))-AVERAGE(OFFSET($H$3,0,0,'Données projet'!$E$15+1,1))</f>
        <v>256.20286603823035</v>
      </c>
      <c r="EP40" s="59">
        <f t="shared" si="46"/>
        <v>364.83827155069434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1.7351508206224056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1.7351508206224056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4.3352272727272725</v>
      </c>
      <c r="FE40" s="12">
        <f>IF('Données projet'!$A$218&gt;35,FE39+FD40-FM39,IF(A40&lt;'Données projet'!$A$218,$FB$205^A40,IF(A40='Données projet'!$A$218,'Données projet'!$B$218,FE39+FD40-FM39)))</f>
        <v>160.40340909090907</v>
      </c>
      <c r="FF40" s="17">
        <f>FE40*VLOOKUP('Données projet'!$B$16,Paramètres!$A$1:$I$89,3,0)*VLOOKUP('Données projet'!$B$16,Paramètres!$A$1:$I$89,5,0)</f>
        <v>107.59860681818179</v>
      </c>
      <c r="FG40" s="13">
        <f t="shared" si="47"/>
        <v>28.764472836694765</v>
      </c>
      <c r="FH40" s="20">
        <f t="shared" si="22"/>
        <v>237.49903039891001</v>
      </c>
      <c r="FI40" s="59">
        <f t="shared" si="23"/>
        <v>482.85838236958114</v>
      </c>
      <c r="FJ40" s="59">
        <f ca="1">AVERAGE(OFFSET($FI$3,0,0,'Données projet'!$E$16+1,1))-AVERAGE(OFFSET($H$3,0,0,'Données projet'!$E$16+1,1))</f>
        <v>380.73695370216979</v>
      </c>
      <c r="FK40" s="59">
        <f t="shared" si="48"/>
        <v>249.34467160415713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4.3352272727272725</v>
      </c>
      <c r="FZ40" s="12">
        <f>IF('Données projet'!$A$244&gt;35,FZ39+FY40-GH39,IF(A40&lt;'Données projet'!$A$244,$FW$205^A40,IF(A40='Données projet'!$A$244,'Données projet'!$B$244,FZ39+FY40-GH39)))</f>
        <v>160.40340909090907</v>
      </c>
      <c r="GA40" s="17">
        <f>FZ40*VLOOKUP('Données projet'!$B$17,Paramètres!$A$1:$I$89,3,0)*VLOOKUP('Données projet'!$B$17,Paramètres!$A$1:$I$89,5,0)</f>
        <v>155.14217727272725</v>
      </c>
      <c r="GB40" s="13">
        <f t="shared" si="49"/>
        <v>39.744861567133228</v>
      </c>
      <c r="GC40" s="20">
        <f t="shared" si="25"/>
        <v>339.42825931275695</v>
      </c>
      <c r="GD40" s="59">
        <f t="shared" si="26"/>
        <v>584.78761128342808</v>
      </c>
      <c r="GE40" s="59">
        <f ca="1">AVERAGE(OFFSET($GD$3,0,0,'Données projet'!$E$17+1,1))-AVERAGE(OFFSET($H$3,0,0,'Données projet'!$E$17+1,1))</f>
        <v>511.7458522930001</v>
      </c>
      <c r="GF40" s="59">
        <f t="shared" si="50"/>
        <v>332.37317679966122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9.6</v>
      </c>
      <c r="GU40" s="12">
        <f>IF('Données projet'!$A$270&gt;35,GU39+GT40-HC39,IF(A40&lt;'Données projet'!$A$270,$GR$205^A40,IF(A40='Données projet'!$A$270,'Données projet'!$B$270,GU39+GT40-HC39)))</f>
        <v>163.20000000000002</v>
      </c>
      <c r="GV40" s="17">
        <f>GU40*VLOOKUP('Données projet'!$B$18,Paramètres!$A$1:$I$89,3,0)*VLOOKUP('Données projet'!$B$18,Paramètres!$A$1:$I$89,5,0)</f>
        <v>142.57152000000005</v>
      </c>
      <c r="GW40" s="13">
        <f t="shared" si="51"/>
        <v>36.885479122455578</v>
      </c>
      <c r="GX40" s="20">
        <f t="shared" si="28"/>
        <v>312.5542734716102</v>
      </c>
      <c r="GY40" s="59">
        <f t="shared" si="29"/>
        <v>557.91362544228127</v>
      </c>
      <c r="GZ40" s="59">
        <f ca="1">AVERAGE(OFFSET($GY$3,0,0,'Données projet'!$E$18+1,1))-AVERAGE(OFFSET($H$3,0,0,'Données projet'!$E$18+1,1))</f>
        <v>348.77506423101278</v>
      </c>
      <c r="HA40" s="59">
        <f t="shared" si="52"/>
        <v>336.13747591329548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6.6277735042822385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6.6277735042822385</v>
      </c>
    </row>
    <row r="41" spans="1:218" x14ac:dyDescent="0.2">
      <c r="A41" s="10">
        <f t="shared" si="31"/>
        <v>38</v>
      </c>
      <c r="B41" s="71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5">
        <f t="shared" si="1"/>
        <v>183.33333333333334</v>
      </c>
      <c r="I41" s="6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9.9228571428571435</v>
      </c>
      <c r="N41" s="13">
        <f>IF('Données projet'!$A$36&gt;35,N40+M41-V40,IF(A41&lt;'Données projet'!$A$36,$K$205^A41,IF(A41='Données projet'!$A$36,'Données projet'!$B$36,N40+M41-V40)))</f>
        <v>377.06857142857137</v>
      </c>
      <c r="O41" s="13">
        <f>N41*VLOOKUP('Données projet'!$B$9,Paramètres!$A$1:$I$89,3,0)*VLOOKUP('Données projet'!$B$9,Paramètres!$A$1:$I$89,5,0)</f>
        <v>176.4680914285714</v>
      </c>
      <c r="P41" s="13">
        <f t="shared" si="33"/>
        <v>44.535497606483588</v>
      </c>
      <c r="Q41" s="20">
        <f t="shared" si="53"/>
        <v>384.91458423605405</v>
      </c>
      <c r="R41" s="59">
        <f t="shared" si="0"/>
        <v>631.10617752961275</v>
      </c>
      <c r="S41" s="59">
        <f ca="1">AVERAGE(OFFSET($R$3,0,0,'Données projet'!$E$9+1,1))-AVERAGE(OFFSET($H$3,0,0,'Données projet'!$E$9+1,1))</f>
        <v>387.50901594883317</v>
      </c>
      <c r="T41" s="59">
        <f t="shared" si="34"/>
        <v>361.3623790401972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16.701250000000002</v>
      </c>
      <c r="AI41" s="13">
        <f>IF('Données projet'!$A$62&gt;35,AI40+AH41-AQ40,IF(A41&lt;'Données projet'!$A$62,$AF$205^A41,IF(A41='Données projet'!$A$62,'Données projet'!$B$62,AI40+AH41-AQ40)))</f>
        <v>250.43625000000009</v>
      </c>
      <c r="AJ41" s="13">
        <f>AI41*VLOOKUP('Données projet'!$B$10,Paramètres!$A$1:$I$89,3,0)*VLOOKUP('Données projet'!$B$10,Paramètres!$A$1:$I$89,5,0)</f>
        <v>149.76087750000008</v>
      </c>
      <c r="AK41" s="13">
        <f t="shared" si="35"/>
        <v>38.524239129902824</v>
      </c>
      <c r="AL41" s="20">
        <f t="shared" si="4"/>
        <v>327.9299114637476</v>
      </c>
      <c r="AM41" s="59">
        <f t="shared" si="5"/>
        <v>574.1215047573063</v>
      </c>
      <c r="AN41" s="59">
        <f ca="1">AVERAGE(OFFSET($AM$3,0,0,'Données projet'!$E$10+1,1))-AVERAGE(OFFSET($H$3,0,0,'Données projet'!$E$10+1,1))</f>
        <v>373.47758082856359</v>
      </c>
      <c r="AO41" s="59">
        <f t="shared" si="36"/>
        <v>277.24895424120166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12.504322605510755</v>
      </c>
      <c r="AV41" s="21">
        <f>EXP(-LN(2)/25)*AV40+(1-EXP(-LN(2)/25))/(LN(2)/25)*Calculateur!AQ41*Calculateur!AS41*VLOOKUP('Données projet'!$B$10,Paramètres!$A$1:$I$89,3,0)*0.475*44/12</f>
        <v>14.55485576474099</v>
      </c>
      <c r="AW41" s="21">
        <f>EXP(-LN(2)/2)*AW40+(1-EXP(-LN(2)/2))/(LN(2)/2)*AQ41*AT41*VLOOKUP('Données projet'!$B$10,Paramètres!$A$1:$I$89,3,0)*0.475*44/12</f>
        <v>1.7927612589740494</v>
      </c>
      <c r="AX41" s="21">
        <f t="shared" si="6"/>
        <v>28.851939629225793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20.418888888888887</v>
      </c>
      <c r="BD41" s="12">
        <f>IF('Données projet'!$A$88&gt;35,BD40+BC41-BL40,IF(A41&lt;'Données projet'!$A$88,$BA$205^A41,IF(A41='Données projet'!$A$88,'Données projet'!$B$88,BD40+BC41-BL40)))</f>
        <v>302.90888888888878</v>
      </c>
      <c r="BE41" s="13">
        <f>BD41*VLOOKUP('Données projet'!$B$11,Paramètres!$A$1:$I$89,3,0)*VLOOKUP('Données projet'!$B$11,Paramètres!$A$1:$I$89,5,0)</f>
        <v>181.1395155555555</v>
      </c>
      <c r="BF41" s="13">
        <f t="shared" si="37"/>
        <v>45.575614194457899</v>
      </c>
      <c r="BG41" s="20">
        <f t="shared" si="7"/>
        <v>394.86218431460662</v>
      </c>
      <c r="BH41" s="59">
        <f t="shared" si="8"/>
        <v>641.05377760816532</v>
      </c>
      <c r="BI41" s="59">
        <f ca="1">AVERAGE(OFFSET($BH$3,0,0,'Données projet'!$E$11+1,1))-AVERAGE(OFFSET($H$3,0,0,'Données projet'!$E$11+1,1))</f>
        <v>460.88622650237176</v>
      </c>
      <c r="BJ41" s="59">
        <f t="shared" si="38"/>
        <v>396.05161661639647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23.632003752439783</v>
      </c>
      <c r="BQ41" s="21">
        <f>EXP(-LN(2)/25)*BQ40+(1-EXP(-LN(2)/25))/(LN(2)/25)*Calculateur!BL41*Calculateur!BN41*VLOOKUP('Données projet'!$B$11,Paramètres!$A$1:$I$89,3,0)*0.475*44/12</f>
        <v>20.370288166106548</v>
      </c>
      <c r="BR41" s="21">
        <f>EXP(-LN(2)/2)*BR40+(1-EXP(-LN(2)/2))/(LN(2)/2)*BL41*BO41*VLOOKUP('Données projet'!$B$11,Paramètres!$A$1:$I$89,3,0)*0.475*44/12</f>
        <v>6.5798127549403338</v>
      </c>
      <c r="BS41" s="22">
        <f t="shared" si="9"/>
        <v>50.582104673486668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22.82714285714286</v>
      </c>
      <c r="BY41" s="12">
        <f>IF('Données projet'!$A$114&gt;35,BY40+BX41-CG40,IF(A41&lt;'Données projet'!$A$114,$BV$205^A41,IF(A41='Données projet'!$A$114,'Données projet'!$B$114,BY40+BX41-CG40)))</f>
        <v>358.92142857142852</v>
      </c>
      <c r="BZ41" s="13">
        <f>BY41*VLOOKUP('Données projet'!$B$12,Paramètres!$A$1:$I$89,3,0)*VLOOKUP('Données projet'!$B$12,Paramètres!$A$1:$I$89,5,0)</f>
        <v>163.30924999999996</v>
      </c>
      <c r="CA41" s="13">
        <f t="shared" si="39"/>
        <v>41.588034338088264</v>
      </c>
      <c r="CB41" s="20">
        <f t="shared" si="10"/>
        <v>356.86277022217035</v>
      </c>
      <c r="CC41" s="59">
        <f t="shared" si="11"/>
        <v>603.05436351572905</v>
      </c>
      <c r="CD41" s="59">
        <f ca="1">AVERAGE(OFFSET($CC$3,0,0,'Données projet'!$E$12+1,1))-AVERAGE(OFFSET($H$3,0,0,'Données projet'!$E$12+1,1))</f>
        <v>341.60063595566282</v>
      </c>
      <c r="CE41" s="59">
        <f t="shared" si="40"/>
        <v>317.05609766344219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19.431953369585791</v>
      </c>
      <c r="CL41" s="21">
        <f>EXP(-LN(2)/25)*CL40+(1-EXP(-LN(2)/25))/(LN(2)/25)*Calculateur!CG41*Calculateur!CI41*VLOOKUP('Données projet'!$B$12,Paramètres!$A$1:$I$89,3,0)*0.475*44/12</f>
        <v>21.572968617152782</v>
      </c>
      <c r="CM41" s="21">
        <f>EXP(-LN(2)/2)*CM40+(1-EXP(-LN(2)/2))/(LN(2)/2)*CG41*CJ41*VLOOKUP('Données projet'!$B$12,Paramètres!$A$1:$I$89,3,0)*0.475*44/12</f>
        <v>4.4744028648569811</v>
      </c>
      <c r="CN41" s="22">
        <f t="shared" si="12"/>
        <v>45.479324851595557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6.1560000000000006</v>
      </c>
      <c r="CT41" s="12">
        <f>IF('Données projet'!$A$140&gt;35,CT40+CS41-DB40,IF(A41&lt;'Données projet'!$A$140,$CQ$205^A41,IF(A41='Données projet'!$A$140,'Données projet'!$B$140,CT40+CS41-DB40)))</f>
        <v>110.12799999999994</v>
      </c>
      <c r="CU41" s="17">
        <f>CT41*VLOOKUP('Données projet'!$B$13,Paramètres!$A$1:$I$89,3,0)*VLOOKUP('Données projet'!$B$13,Paramètres!$A$1:$I$89,5,0)</f>
        <v>115.10578559999995</v>
      </c>
      <c r="CV41" s="13">
        <f t="shared" si="41"/>
        <v>30.5307525623037</v>
      </c>
      <c r="CW41" s="20">
        <f t="shared" si="13"/>
        <v>253.65030396601219</v>
      </c>
      <c r="CX41" s="59">
        <f t="shared" si="14"/>
        <v>499.84189725957094</v>
      </c>
      <c r="CY41" s="59">
        <f ca="1">AVERAGE(OFFSET($CX$3,0,0,'Données projet'!$E$13+1,1))-AVERAGE(OFFSET($H$3,0,0,'Données projet'!$E$13+1,1))</f>
        <v>287.73449456153207</v>
      </c>
      <c r="CZ41" s="59">
        <f t="shared" si="42"/>
        <v>296.74833899433281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4.1727682966201654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4.1727682966201654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4.3352272727272725</v>
      </c>
      <c r="DO41" s="12">
        <f>IF('Données projet'!$A$166&gt;35,DO40+DN41-DW40,IF(A41&lt;'Données projet'!$A$166,$DL$205^A41,IF(A41='Données projet'!$A$166,'Données projet'!$B$166,DO40+DN41-DW40)))</f>
        <v>164.73863636363635</v>
      </c>
      <c r="DP41" s="17">
        <f>DO41*VLOOKUP('Données projet'!$B$14,Paramètres!$A$1:$I$89,3,0)*VLOOKUP('Données projet'!$B$14,Paramètres!$A$1:$I$89,5,0)</f>
        <v>167.04497727272727</v>
      </c>
      <c r="DQ41" s="13">
        <f t="shared" si="43"/>
        <v>42.427522879693463</v>
      </c>
      <c r="DR41" s="20">
        <f t="shared" si="16"/>
        <v>364.83127109879939</v>
      </c>
      <c r="DS41" s="59">
        <f t="shared" si="17"/>
        <v>611.02286439235809</v>
      </c>
      <c r="DT41" s="59">
        <f ca="1">AVERAGE(OFFSET($DS$3,0,0,'Données projet'!$E$14+1,1))-AVERAGE(OFFSET($H$3,0,0,'Données projet'!$E$14+1,1))</f>
        <v>532.34688562681413</v>
      </c>
      <c r="DU41" s="59">
        <f t="shared" si="44"/>
        <v>345.42627129678556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3.9759999999999991</v>
      </c>
      <c r="EJ41" s="12">
        <f>IF('Données projet'!$A$192&gt;35,EJ40+EI41-ER40,IF(A41&lt;'Données projet'!$A$192,$EG$205^A41,IF(A41='Données projet'!$A$192,'Données projet'!$B$192,EJ40+EI41-ER40)))</f>
        <v>177.30799999999994</v>
      </c>
      <c r="EK41" s="17">
        <f>EJ41*VLOOKUP('Données projet'!$B$15,Paramètres!$A$1:$I$89,3,0)*VLOOKUP('Données projet'!$B$15,Paramètres!$A$1:$I$89,5,0)</f>
        <v>160.42827839999993</v>
      </c>
      <c r="EL41" s="13">
        <f t="shared" si="45"/>
        <v>40.939099761394424</v>
      </c>
      <c r="EM41" s="20">
        <f t="shared" si="19"/>
        <v>350.71485029776181</v>
      </c>
      <c r="EN41" s="59">
        <f t="shared" si="20"/>
        <v>596.90644359132057</v>
      </c>
      <c r="EO41" s="59">
        <f ca="1">AVERAGE(OFFSET($EN$3,0,0,'Données projet'!$E$15+1,1))-AVERAGE(OFFSET($H$3,0,0,'Données projet'!$E$15+1,1))</f>
        <v>256.20286603823035</v>
      </c>
      <c r="EP41" s="59">
        <f t="shared" si="46"/>
        <v>364.83827155069434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1.7011255713674986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1.7011255713674986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4.3352272727272725</v>
      </c>
      <c r="FE41" s="12">
        <f>IF('Données projet'!$A$218&gt;35,FE40+FD41-FM40,IF(A41&lt;'Données projet'!$A$218,$FB$205^A41,IF(A41='Données projet'!$A$218,'Données projet'!$B$218,FE40+FD41-FM40)))</f>
        <v>164.73863636363635</v>
      </c>
      <c r="FF41" s="17">
        <f>FE41*VLOOKUP('Données projet'!$B$16,Paramètres!$A$1:$I$89,3,0)*VLOOKUP('Données projet'!$B$16,Paramètres!$A$1:$I$89,5,0)</f>
        <v>110.50667727272726</v>
      </c>
      <c r="FG41" s="13">
        <f t="shared" si="47"/>
        <v>29.450329742253217</v>
      </c>
      <c r="FH41" s="20">
        <f t="shared" si="22"/>
        <v>243.75845388442437</v>
      </c>
      <c r="FI41" s="59">
        <f t="shared" si="23"/>
        <v>489.95004717798309</v>
      </c>
      <c r="FJ41" s="59">
        <f ca="1">AVERAGE(OFFSET($FI$3,0,0,'Données projet'!$E$16+1,1))-AVERAGE(OFFSET($H$3,0,0,'Données projet'!$E$16+1,1))</f>
        <v>380.73695370216979</v>
      </c>
      <c r="FK41" s="59">
        <f t="shared" si="48"/>
        <v>249.34467160415713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4.3352272727272725</v>
      </c>
      <c r="FZ41" s="12">
        <f>IF('Données projet'!$A$244&gt;35,FZ40+FY41-GH40,IF(A41&lt;'Données projet'!$A$244,$FW$205^A41,IF(A41='Données projet'!$A$244,'Données projet'!$B$244,FZ40+FY41-GH40)))</f>
        <v>164.73863636363635</v>
      </c>
      <c r="GA41" s="17">
        <f>FZ41*VLOOKUP('Données projet'!$B$17,Paramètres!$A$1:$I$89,3,0)*VLOOKUP('Données projet'!$B$17,Paramètres!$A$1:$I$89,5,0)</f>
        <v>159.33520909090907</v>
      </c>
      <c r="GB41" s="13">
        <f t="shared" si="49"/>
        <v>40.692533645847895</v>
      </c>
      <c r="GC41" s="20">
        <f t="shared" si="25"/>
        <v>348.38165193318508</v>
      </c>
      <c r="GD41" s="59">
        <f t="shared" si="26"/>
        <v>594.57324522674378</v>
      </c>
      <c r="GE41" s="59">
        <f ca="1">AVERAGE(OFFSET($GD$3,0,0,'Données projet'!$E$17+1,1))-AVERAGE(OFFSET($H$3,0,0,'Données projet'!$E$17+1,1))</f>
        <v>511.7458522930001</v>
      </c>
      <c r="GF41" s="59">
        <f t="shared" si="50"/>
        <v>332.37317679966122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9.6</v>
      </c>
      <c r="GU41" s="12">
        <f>IF('Données projet'!$A$270&gt;35,GU40+GT41-HC40,IF(A41&lt;'Données projet'!$A$270,$GR$205^A41,IF(A41='Données projet'!$A$270,'Données projet'!$B$270,GU40+GT41-HC40)))</f>
        <v>172.8</v>
      </c>
      <c r="GV41" s="17">
        <f>GU41*VLOOKUP('Données projet'!$B$18,Paramètres!$A$1:$I$89,3,0)*VLOOKUP('Données projet'!$B$18,Paramètres!$A$1:$I$89,5,0)</f>
        <v>150.95808000000002</v>
      </c>
      <c r="GW41" s="13">
        <f t="shared" si="51"/>
        <v>38.796231993724774</v>
      </c>
      <c r="GX41" s="20">
        <f t="shared" si="28"/>
        <v>330.48876005573732</v>
      </c>
      <c r="GY41" s="59">
        <f t="shared" si="29"/>
        <v>576.68035334929607</v>
      </c>
      <c r="GZ41" s="59">
        <f ca="1">AVERAGE(OFFSET($GY$3,0,0,'Données projet'!$E$18+1,1))-AVERAGE(OFFSET($H$3,0,0,'Données projet'!$E$18+1,1))</f>
        <v>348.77506423101278</v>
      </c>
      <c r="HA41" s="59">
        <f t="shared" si="52"/>
        <v>336.13747591329548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6.4978069084059333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6.4978069084059333</v>
      </c>
    </row>
    <row r="42" spans="1:218" x14ac:dyDescent="0.2">
      <c r="A42" s="10">
        <f t="shared" si="31"/>
        <v>39</v>
      </c>
      <c r="B42" s="71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5">
        <f t="shared" si="1"/>
        <v>183.33333333333334</v>
      </c>
      <c r="I42" s="6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9.9228571428571435</v>
      </c>
      <c r="N42" s="13">
        <f>IF('Données projet'!$A$36&gt;35,N41+M42-V41,IF(A42&lt;'Données projet'!$A$36,$K$205^A42,IF(A42='Données projet'!$A$36,'Données projet'!$B$36,N41+M42-V41)))</f>
        <v>386.99142857142851</v>
      </c>
      <c r="O42" s="13">
        <f>N42*VLOOKUP('Données projet'!$B$9,Paramètres!$A$1:$I$89,3,0)*VLOOKUP('Données projet'!$B$9,Paramètres!$A$1:$I$89,5,0)</f>
        <v>181.11198857142855</v>
      </c>
      <c r="P42" s="13">
        <f t="shared" si="33"/>
        <v>45.569494390515281</v>
      </c>
      <c r="Q42" s="20">
        <f t="shared" si="53"/>
        <v>394.80358282538549</v>
      </c>
      <c r="R42" s="59">
        <f t="shared" si="0"/>
        <v>641.81297991549263</v>
      </c>
      <c r="S42" s="59">
        <f ca="1">AVERAGE(OFFSET($R$3,0,0,'Données projet'!$E$9+1,1))-AVERAGE(OFFSET($H$3,0,0,'Données projet'!$E$9+1,1))</f>
        <v>387.50901594883317</v>
      </c>
      <c r="T42" s="59">
        <f t="shared" si="34"/>
        <v>361.3623790401972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16.701250000000002</v>
      </c>
      <c r="AI42" s="13">
        <f>IF('Données projet'!$A$62&gt;35,AI41+AH42-AQ41,IF(A42&lt;'Données projet'!$A$62,$AF$205^A42,IF(A42='Données projet'!$A$62,'Données projet'!$B$62,AI41+AH42-AQ41)))</f>
        <v>267.1375000000001</v>
      </c>
      <c r="AJ42" s="13">
        <f>AI42*VLOOKUP('Données projet'!$B$10,Paramètres!$A$1:$I$89,3,0)*VLOOKUP('Données projet'!$B$10,Paramètres!$A$1:$I$89,5,0)</f>
        <v>159.74822500000008</v>
      </c>
      <c r="AK42" s="13">
        <f t="shared" si="35"/>
        <v>40.785721648734771</v>
      </c>
      <c r="AL42" s="20">
        <f t="shared" si="4"/>
        <v>349.26329041321316</v>
      </c>
      <c r="AM42" s="59">
        <f t="shared" si="5"/>
        <v>596.2726875033203</v>
      </c>
      <c r="AN42" s="59">
        <f ca="1">AVERAGE(OFFSET($AM$3,0,0,'Données projet'!$E$10+1,1))-AVERAGE(OFFSET($H$3,0,0,'Données projet'!$E$10+1,1))</f>
        <v>373.47758082856359</v>
      </c>
      <c r="AO42" s="59">
        <f t="shared" si="36"/>
        <v>277.24895424120166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12.259120466100386</v>
      </c>
      <c r="AV42" s="21">
        <f>EXP(-LN(2)/25)*AV41+(1-EXP(-LN(2)/25))/(LN(2)/25)*Calculateur!AQ42*Calculateur!AS42*VLOOKUP('Données projet'!$B$10,Paramètres!$A$1:$I$89,3,0)*0.475*44/12</f>
        <v>14.156852468447548</v>
      </c>
      <c r="AW42" s="21">
        <f>EXP(-LN(2)/2)*AW41+(1-EXP(-LN(2)/2))/(LN(2)/2)*AQ42*AT42*VLOOKUP('Données projet'!$B$10,Paramètres!$A$1:$I$89,3,0)*0.475*44/12</f>
        <v>1.2676736432690827</v>
      </c>
      <c r="AX42" s="21">
        <f t="shared" si="6"/>
        <v>27.683646577817015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20.418888888888887</v>
      </c>
      <c r="BD42" s="12">
        <f>IF('Données projet'!$A$88&gt;35,BD41+BC42-BL41,IF(A42&lt;'Données projet'!$A$88,$BA$205^A42,IF(A42='Données projet'!$A$88,'Données projet'!$B$88,BD41+BC42-BL41)))</f>
        <v>323.32777777777767</v>
      </c>
      <c r="BE42" s="13">
        <f>BD42*VLOOKUP('Données projet'!$B$11,Paramètres!$A$1:$I$89,3,0)*VLOOKUP('Données projet'!$B$11,Paramètres!$A$1:$I$89,5,0)</f>
        <v>193.35001111111109</v>
      </c>
      <c r="BF42" s="13">
        <f t="shared" si="37"/>
        <v>48.279837668419283</v>
      </c>
      <c r="BG42" s="20">
        <f t="shared" si="7"/>
        <v>420.83865329101536</v>
      </c>
      <c r="BH42" s="59">
        <f t="shared" si="8"/>
        <v>667.84805038112245</v>
      </c>
      <c r="BI42" s="59">
        <f ca="1">AVERAGE(OFFSET($BH$3,0,0,'Données projet'!$E$11+1,1))-AVERAGE(OFFSET($H$3,0,0,'Données projet'!$E$11+1,1))</f>
        <v>460.88622650237176</v>
      </c>
      <c r="BJ42" s="59">
        <f t="shared" si="38"/>
        <v>396.05161661639647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23.168594572953452</v>
      </c>
      <c r="BQ42" s="21">
        <f>EXP(-LN(2)/25)*BQ41+(1-EXP(-LN(2)/25))/(LN(2)/25)*Calculateur!BL42*Calculateur!BN42*VLOOKUP('Données projet'!$B$11,Paramètres!$A$1:$I$89,3,0)*0.475*44/12</f>
        <v>19.813261564977466</v>
      </c>
      <c r="BR42" s="21">
        <f>EXP(-LN(2)/2)*BR41+(1-EXP(-LN(2)/2))/(LN(2)/2)*BL42*BO42*VLOOKUP('Données projet'!$B$11,Paramètres!$A$1:$I$89,3,0)*0.475*44/12</f>
        <v>4.652630217956049</v>
      </c>
      <c r="BS42" s="22">
        <f t="shared" si="9"/>
        <v>47.63448635588697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22.82714285714286</v>
      </c>
      <c r="BY42" s="12">
        <f>IF('Données projet'!$A$114&gt;35,BY41+BX42-CG41,IF(A42&lt;'Données projet'!$A$114,$BV$205^A42,IF(A42='Données projet'!$A$114,'Données projet'!$B$114,BY41+BX42-CG41)))</f>
        <v>381.74857142857138</v>
      </c>
      <c r="BZ42" s="13">
        <f>BY42*VLOOKUP('Données projet'!$B$12,Paramètres!$A$1:$I$89,3,0)*VLOOKUP('Données projet'!$B$12,Paramètres!$A$1:$I$89,5,0)</f>
        <v>173.69559999999996</v>
      </c>
      <c r="CA42" s="13">
        <f t="shared" si="39"/>
        <v>43.916676229332495</v>
      </c>
      <c r="CB42" s="20">
        <f t="shared" si="10"/>
        <v>379.00804776608726</v>
      </c>
      <c r="CC42" s="59">
        <f t="shared" si="11"/>
        <v>626.0174448561944</v>
      </c>
      <c r="CD42" s="59">
        <f ca="1">AVERAGE(OFFSET($CC$3,0,0,'Données projet'!$E$12+1,1))-AVERAGE(OFFSET($H$3,0,0,'Données projet'!$E$12+1,1))</f>
        <v>341.60063595566282</v>
      </c>
      <c r="CE42" s="59">
        <f t="shared" si="40"/>
        <v>317.05609766344219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19.050904616329451</v>
      </c>
      <c r="CL42" s="21">
        <f>EXP(-LN(2)/25)*CL41+(1-EXP(-LN(2)/25))/(LN(2)/25)*Calculateur!CG42*Calculateur!CI42*VLOOKUP('Données projet'!$B$12,Paramètres!$A$1:$I$89,3,0)*0.475*44/12</f>
        <v>20.983054655843624</v>
      </c>
      <c r="CM42" s="21">
        <f>EXP(-LN(2)/2)*CM41+(1-EXP(-LN(2)/2))/(LN(2)/2)*CG42*CJ42*VLOOKUP('Données projet'!$B$12,Paramètres!$A$1:$I$89,3,0)*0.475*44/12</f>
        <v>3.1638806075008867</v>
      </c>
      <c r="CN42" s="22">
        <f t="shared" si="12"/>
        <v>43.197839879673964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6.1560000000000006</v>
      </c>
      <c r="CT42" s="12">
        <f>IF('Données projet'!$A$140&gt;35,CT41+CS42-DB41,IF(A42&lt;'Données projet'!$A$140,$CQ$205^A42,IF(A42='Données projet'!$A$140,'Données projet'!$B$140,CT41+CS42-DB41)))</f>
        <v>116.28399999999995</v>
      </c>
      <c r="CU42" s="17">
        <f>CT42*VLOOKUP('Données projet'!$B$13,Paramètres!$A$1:$I$89,3,0)*VLOOKUP('Données projet'!$B$13,Paramètres!$A$1:$I$89,5,0)</f>
        <v>121.54003679999995</v>
      </c>
      <c r="CV42" s="13">
        <f t="shared" si="41"/>
        <v>32.03392057594759</v>
      </c>
      <c r="CW42" s="20">
        <f t="shared" si="13"/>
        <v>267.47464242977532</v>
      </c>
      <c r="CX42" s="59">
        <f t="shared" si="14"/>
        <v>514.48403951988246</v>
      </c>
      <c r="CY42" s="59">
        <f ca="1">AVERAGE(OFFSET($CX$3,0,0,'Données projet'!$E$13+1,1))-AVERAGE(OFFSET($H$3,0,0,'Données projet'!$E$13+1,1))</f>
        <v>287.73449456153207</v>
      </c>
      <c r="CZ42" s="59">
        <f t="shared" si="42"/>
        <v>296.74833899433281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4.0909428554607938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4.0909428554607938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4.3352272727272725</v>
      </c>
      <c r="DO42" s="12">
        <f>IF('Données projet'!$A$166&gt;35,DO41+DN42-DW41,IF(A42&lt;'Données projet'!$A$166,$DL$205^A42,IF(A42='Données projet'!$A$166,'Données projet'!$B$166,DO41+DN42-DW41)))</f>
        <v>169.07386363636363</v>
      </c>
      <c r="DP42" s="17">
        <f>DO42*VLOOKUP('Données projet'!$B$14,Paramètres!$A$1:$I$89,3,0)*VLOOKUP('Données projet'!$B$14,Paramètres!$A$1:$I$89,5,0)</f>
        <v>171.44089772727273</v>
      </c>
      <c r="DQ42" s="13">
        <f t="shared" si="43"/>
        <v>43.412578050731845</v>
      </c>
      <c r="DR42" s="20">
        <f t="shared" si="16"/>
        <v>374.20313698002457</v>
      </c>
      <c r="DS42" s="59">
        <f t="shared" si="17"/>
        <v>621.21253407013171</v>
      </c>
      <c r="DT42" s="59">
        <f ca="1">AVERAGE(OFFSET($DS$3,0,0,'Données projet'!$E$14+1,1))-AVERAGE(OFFSET($H$3,0,0,'Données projet'!$E$14+1,1))</f>
        <v>532.34688562681413</v>
      </c>
      <c r="DU42" s="59">
        <f t="shared" si="44"/>
        <v>345.42627129678556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3.9759999999999991</v>
      </c>
      <c r="EJ42" s="12">
        <f>IF('Données projet'!$A$192&gt;35,EJ41+EI42-ER41,IF(A42&lt;'Données projet'!$A$192,$EG$205^A42,IF(A42='Données projet'!$A$192,'Données projet'!$B$192,EJ41+EI42-ER41)))</f>
        <v>181.28399999999993</v>
      </c>
      <c r="EK42" s="17">
        <f>EJ42*VLOOKUP('Données projet'!$B$15,Paramètres!$A$1:$I$89,3,0)*VLOOKUP('Données projet'!$B$15,Paramètres!$A$1:$I$89,5,0)</f>
        <v>164.02576319999991</v>
      </c>
      <c r="EL42" s="13">
        <f t="shared" si="45"/>
        <v>41.749220139059801</v>
      </c>
      <c r="EM42" s="20">
        <f t="shared" si="19"/>
        <v>358.39142931552897</v>
      </c>
      <c r="EN42" s="59">
        <f t="shared" si="20"/>
        <v>605.40082640563605</v>
      </c>
      <c r="EO42" s="59">
        <f ca="1">AVERAGE(OFFSET($EN$3,0,0,'Données projet'!$E$15+1,1))-AVERAGE(OFFSET($H$3,0,0,'Données projet'!$E$15+1,1))</f>
        <v>256.20286603823035</v>
      </c>
      <c r="EP42" s="59">
        <f t="shared" si="46"/>
        <v>364.83827155069434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1.6677675364971276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1.6677675364971276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4.3352272727272725</v>
      </c>
      <c r="FE42" s="12">
        <f>IF('Données projet'!$A$218&gt;35,FE41+FD42-FM41,IF(A42&lt;'Données projet'!$A$218,$FB$205^A42,IF(A42='Données projet'!$A$218,'Données projet'!$B$218,FE41+FD42-FM41)))</f>
        <v>169.07386363636363</v>
      </c>
      <c r="FF42" s="17">
        <f>FE42*VLOOKUP('Données projet'!$B$16,Paramètres!$A$1:$I$89,3,0)*VLOOKUP('Données projet'!$B$16,Paramètres!$A$1:$I$89,5,0)</f>
        <v>113.41474772727274</v>
      </c>
      <c r="FG42" s="13">
        <f t="shared" si="47"/>
        <v>30.134088718322893</v>
      </c>
      <c r="FH42" s="20">
        <f t="shared" si="22"/>
        <v>250.01422347607908</v>
      </c>
      <c r="FI42" s="59">
        <f t="shared" si="23"/>
        <v>497.0236205661862</v>
      </c>
      <c r="FJ42" s="59">
        <f ca="1">AVERAGE(OFFSET($FI$3,0,0,'Données projet'!$E$16+1,1))-AVERAGE(OFFSET($H$3,0,0,'Données projet'!$E$16+1,1))</f>
        <v>380.73695370216979</v>
      </c>
      <c r="FK42" s="59">
        <f t="shared" si="48"/>
        <v>249.34467160415713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4.3352272727272725</v>
      </c>
      <c r="FZ42" s="12">
        <f>IF('Données projet'!$A$244&gt;35,FZ41+FY42-GH41,IF(A42&lt;'Données projet'!$A$244,$FW$205^A42,IF(A42='Données projet'!$A$244,'Données projet'!$B$244,FZ41+FY42-GH41)))</f>
        <v>169.07386363636363</v>
      </c>
      <c r="GA42" s="17">
        <f>FZ42*VLOOKUP('Données projet'!$B$17,Paramètres!$A$1:$I$89,3,0)*VLOOKUP('Données projet'!$B$17,Paramètres!$A$1:$I$89,5,0)</f>
        <v>163.5282409090909</v>
      </c>
      <c r="GB42" s="13">
        <f t="shared" si="49"/>
        <v>41.637306943222796</v>
      </c>
      <c r="GC42" s="20">
        <f t="shared" si="25"/>
        <v>357.32999584277968</v>
      </c>
      <c r="GD42" s="59">
        <f t="shared" si="26"/>
        <v>604.33939293288677</v>
      </c>
      <c r="GE42" s="59">
        <f ca="1">AVERAGE(OFFSET($GD$3,0,0,'Données projet'!$E$17+1,1))-AVERAGE(OFFSET($H$3,0,0,'Données projet'!$E$17+1,1))</f>
        <v>511.7458522930001</v>
      </c>
      <c r="GF42" s="59">
        <f t="shared" si="50"/>
        <v>332.37317679966122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9.6</v>
      </c>
      <c r="GU42" s="12">
        <f>IF('Données projet'!$A$270&gt;35,GU41+GT42-HC41,IF(A42&lt;'Données projet'!$A$270,$GR$205^A42,IF(A42='Données projet'!$A$270,'Données projet'!$B$270,GU41+GT42-HC41)))</f>
        <v>182.4</v>
      </c>
      <c r="GV42" s="17">
        <f>GU42*VLOOKUP('Données projet'!$B$18,Paramètres!$A$1:$I$89,3,0)*VLOOKUP('Données projet'!$B$18,Paramètres!$A$1:$I$89,5,0)</f>
        <v>159.34464000000003</v>
      </c>
      <c r="GW42" s="13">
        <f t="shared" si="51"/>
        <v>40.694661837553809</v>
      </c>
      <c r="GX42" s="20">
        <f t="shared" si="28"/>
        <v>348.4017840337396</v>
      </c>
      <c r="GY42" s="59">
        <f t="shared" si="29"/>
        <v>595.41118112384675</v>
      </c>
      <c r="GZ42" s="59">
        <f ca="1">AVERAGE(OFFSET($GY$3,0,0,'Données projet'!$E$18+1,1))-AVERAGE(OFFSET($H$3,0,0,'Données projet'!$E$18+1,1))</f>
        <v>348.77506423101278</v>
      </c>
      <c r="HA42" s="59">
        <f t="shared" si="52"/>
        <v>336.13747591329548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6.3703888782029665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6.3703888782029665</v>
      </c>
    </row>
    <row r="43" spans="1:218" x14ac:dyDescent="0.2">
      <c r="A43" s="10">
        <f t="shared" si="31"/>
        <v>40</v>
      </c>
      <c r="B43" s="71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5">
        <f t="shared" si="1"/>
        <v>183.33333333333334</v>
      </c>
      <c r="I43" s="6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9.9228571428571435</v>
      </c>
      <c r="N43" s="13">
        <f>IF('Données projet'!$A$36&gt;35,N42+M43-V42,IF(A43&lt;'Données projet'!$A$36,$K$205^A43,IF(A43='Données projet'!$A$36,'Données projet'!$B$36,N42+M43-V42)))</f>
        <v>396.91428571428565</v>
      </c>
      <c r="O43" s="13">
        <f>N43*VLOOKUP('Données projet'!$B$9,Paramètres!$A$1:$I$89,3,0)*VLOOKUP('Données projet'!$B$9,Paramètres!$A$1:$I$89,5,0)</f>
        <v>185.75588571428571</v>
      </c>
      <c r="P43" s="13">
        <f t="shared" si="33"/>
        <v>46.60040933576763</v>
      </c>
      <c r="Q43" s="20">
        <f t="shared" si="53"/>
        <v>404.6872138788429</v>
      </c>
      <c r="R43" s="59">
        <f t="shared" si="0"/>
        <v>652.50022769796374</v>
      </c>
      <c r="S43" s="59">
        <f ca="1">AVERAGE(OFFSET($R$3,0,0,'Données projet'!$E$9+1,1))-AVERAGE(OFFSET($H$3,0,0,'Données projet'!$E$9+1,1))</f>
        <v>387.50901594883317</v>
      </c>
      <c r="T43" s="59">
        <f t="shared" si="34"/>
        <v>361.3623790401972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16.701250000000002</v>
      </c>
      <c r="AI43" s="13">
        <f>IF('Données projet'!$A$62&gt;35,AI42+AH43-AQ42,IF(A43&lt;'Données projet'!$A$62,$AF$205^A43,IF(A43='Données projet'!$A$62,'Données projet'!$B$62,AI42+AH43-AQ42)))</f>
        <v>283.83875000000012</v>
      </c>
      <c r="AJ43" s="13">
        <f>AI43*VLOOKUP('Données projet'!$B$10,Paramètres!$A$1:$I$89,3,0)*VLOOKUP('Données projet'!$B$10,Paramètres!$A$1:$I$89,5,0)</f>
        <v>169.73557250000007</v>
      </c>
      <c r="AK43" s="13">
        <f t="shared" si="35"/>
        <v>43.030795257249402</v>
      </c>
      <c r="AL43" s="20">
        <f t="shared" si="4"/>
        <v>370.56809051054279</v>
      </c>
      <c r="AM43" s="59">
        <f t="shared" si="5"/>
        <v>618.38110432966357</v>
      </c>
      <c r="AN43" s="59">
        <f ca="1">AVERAGE(OFFSET($AM$3,0,0,'Données projet'!$E$10+1,1))-AVERAGE(OFFSET($H$3,0,0,'Données projet'!$E$10+1,1))</f>
        <v>373.47758082856359</v>
      </c>
      <c r="AO43" s="59">
        <f t="shared" si="36"/>
        <v>277.24895424120166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12.018726591085317</v>
      </c>
      <c r="AV43" s="21">
        <f>EXP(-LN(2)/25)*AV42+(1-EXP(-LN(2)/25))/(LN(2)/25)*Calculateur!AQ43*Calculateur!AS43*VLOOKUP('Données projet'!$B$10,Paramètres!$A$1:$I$89,3,0)*0.475*44/12</f>
        <v>13.769732593221335</v>
      </c>
      <c r="AW43" s="21">
        <f>EXP(-LN(2)/2)*AW42+(1-EXP(-LN(2)/2))/(LN(2)/2)*AQ43*AT43*VLOOKUP('Données projet'!$B$10,Paramètres!$A$1:$I$89,3,0)*0.475*44/12</f>
        <v>0.89638062948702479</v>
      </c>
      <c r="AX43" s="21">
        <f t="shared" si="6"/>
        <v>26.684839813793676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20.418888888888887</v>
      </c>
      <c r="BD43" s="12">
        <f>IF('Données projet'!$A$88&gt;35,BD42+BC43-BL42,IF(A43&lt;'Données projet'!$A$88,$BA$205^A43,IF(A43='Données projet'!$A$88,'Données projet'!$B$88,BD42+BC43-BL42)))</f>
        <v>343.74666666666656</v>
      </c>
      <c r="BE43" s="13">
        <f>BD43*VLOOKUP('Données projet'!$B$11,Paramètres!$A$1:$I$89,3,0)*VLOOKUP('Données projet'!$B$11,Paramètres!$A$1:$I$89,5,0)</f>
        <v>205.56050666666661</v>
      </c>
      <c r="BF43" s="13">
        <f t="shared" si="37"/>
        <v>50.964241575970675</v>
      </c>
      <c r="BG43" s="20">
        <f t="shared" si="7"/>
        <v>446.78060318925992</v>
      </c>
      <c r="BH43" s="59">
        <f t="shared" si="8"/>
        <v>694.59361700838076</v>
      </c>
      <c r="BI43" s="59">
        <f ca="1">AVERAGE(OFFSET($BH$3,0,0,'Données projet'!$E$11+1,1))-AVERAGE(OFFSET($H$3,0,0,'Données projet'!$E$11+1,1))</f>
        <v>460.88622650237176</v>
      </c>
      <c r="BJ43" s="59">
        <f t="shared" si="38"/>
        <v>396.05161661639647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22.714272564825158</v>
      </c>
      <c r="BQ43" s="21">
        <f>EXP(-LN(2)/25)*BQ42+(1-EXP(-LN(2)/25))/(LN(2)/25)*Calculateur!BL43*Calculateur!BN43*VLOOKUP('Données projet'!$B$11,Paramètres!$A$1:$I$89,3,0)*0.475*44/12</f>
        <v>19.271466885549017</v>
      </c>
      <c r="BR43" s="21">
        <f>EXP(-LN(2)/2)*BR42+(1-EXP(-LN(2)/2))/(LN(2)/2)*BL43*BO43*VLOOKUP('Données projet'!$B$11,Paramètres!$A$1:$I$89,3,0)*0.475*44/12</f>
        <v>3.2899063774701669</v>
      </c>
      <c r="BS43" s="22">
        <f t="shared" si="9"/>
        <v>45.275645827844343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22.82714285714286</v>
      </c>
      <c r="BY43" s="12">
        <f>IF('Données projet'!$A$114&gt;35,BY42+BX43-CG42,IF(A43&lt;'Données projet'!$A$114,$BV$205^A43,IF(A43='Données projet'!$A$114,'Données projet'!$B$114,BY42+BX43-CG42)))</f>
        <v>404.57571428571424</v>
      </c>
      <c r="BZ43" s="13">
        <f>BY43*VLOOKUP('Données projet'!$B$12,Paramètres!$A$1:$I$89,3,0)*VLOOKUP('Données projet'!$B$12,Paramètres!$A$1:$I$89,5,0)</f>
        <v>184.08194999999998</v>
      </c>
      <c r="CA43" s="13">
        <f t="shared" si="39"/>
        <v>46.229156216087937</v>
      </c>
      <c r="CB43" s="20">
        <f t="shared" si="10"/>
        <v>401.12517665968647</v>
      </c>
      <c r="CC43" s="59">
        <f t="shared" si="11"/>
        <v>648.93819047880731</v>
      </c>
      <c r="CD43" s="59">
        <f ca="1">AVERAGE(OFFSET($CC$3,0,0,'Données projet'!$E$12+1,1))-AVERAGE(OFFSET($H$3,0,0,'Données projet'!$E$12+1,1))</f>
        <v>341.60063595566282</v>
      </c>
      <c r="CE43" s="59">
        <f t="shared" si="40"/>
        <v>317.05609766344219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18.677327996707675</v>
      </c>
      <c r="CL43" s="21">
        <f>EXP(-LN(2)/25)*CL42+(1-EXP(-LN(2)/25))/(LN(2)/25)*Calculateur!CG43*Calculateur!CI43*VLOOKUP('Données projet'!$B$12,Paramètres!$A$1:$I$89,3,0)*0.475*44/12</f>
        <v>20.409271922828694</v>
      </c>
      <c r="CM43" s="21">
        <f>EXP(-LN(2)/2)*CM42+(1-EXP(-LN(2)/2))/(LN(2)/2)*CG43*CJ43*VLOOKUP('Données projet'!$B$12,Paramètres!$A$1:$I$89,3,0)*0.475*44/12</f>
        <v>2.2372014324284906</v>
      </c>
      <c r="CN43" s="22">
        <f t="shared" si="12"/>
        <v>41.32380135196486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122.44</v>
      </c>
      <c r="CR43" s="12">
        <f>VLOOKUP(A43,'Données projet'!$A$139:$I$159,9,0)</f>
        <v>6.1560000000000006</v>
      </c>
      <c r="CS43" s="12">
        <f t="array" ref="CS43">INDEX(CR:CR,MIN(IF(ISNUMBER(CR43:CR239),ROW(CR43:CR239),"")))</f>
        <v>6.1560000000000006</v>
      </c>
      <c r="CT43" s="12">
        <f>IF('Données projet'!$A$140&gt;35,CT42+CS43-DB42,IF(A43&lt;'Données projet'!$A$140,$CQ$205^A43,IF(A43='Données projet'!$A$140,'Données projet'!$B$140,CT42+CS43-DB42)))</f>
        <v>122.43999999999996</v>
      </c>
      <c r="CU43" s="17">
        <f>CT43*VLOOKUP('Données projet'!$B$13,Paramètres!$A$1:$I$89,3,0)*VLOOKUP('Données projet'!$B$13,Paramètres!$A$1:$I$89,5,0)</f>
        <v>127.97428799999997</v>
      </c>
      <c r="CV43" s="13">
        <f t="shared" si="41"/>
        <v>33.527849781393023</v>
      </c>
      <c r="CW43" s="20">
        <f t="shared" si="13"/>
        <v>281.28288996925949</v>
      </c>
      <c r="CX43" s="59">
        <f t="shared" si="14"/>
        <v>529.09590378838027</v>
      </c>
      <c r="CY43" s="59">
        <f ca="1">AVERAGE(OFFSET($CX$3,0,0,'Données projet'!$E$13+1,1))-AVERAGE(OFFSET($H$3,0,0,'Données projet'!$E$13+1,1))</f>
        <v>287.73449456153207</v>
      </c>
      <c r="CZ43" s="59">
        <f t="shared" si="42"/>
        <v>296.74833899433281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21.15</v>
      </c>
      <c r="DC43" s="16">
        <f>IF(ISNA(VLOOKUP(A43,'Données projet'!$A$139:$I$159,5,0)),0%,VLOOKUP(A43,'Données projet'!$A$139:$I$159,5,0)*VLOOKUP('Données projet'!$B$13,Paramètres!$A$1:$I$89,7,0))</f>
        <v>0.129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7.1631602482646333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7.1631602482646333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4.3352272727272725</v>
      </c>
      <c r="DO43" s="12">
        <f>IF('Données projet'!$A$166&gt;35,DO42+DN43-DW42,IF(A43&lt;'Données projet'!$A$166,$DL$205^A43,IF(A43='Données projet'!$A$166,'Données projet'!$B$166,DO42+DN43-DW42)))</f>
        <v>173.40909090909091</v>
      </c>
      <c r="DP43" s="17">
        <f>DO43*VLOOKUP('Données projet'!$B$14,Paramètres!$A$1:$I$89,3,0)*VLOOKUP('Données projet'!$B$14,Paramètres!$A$1:$I$89,5,0)</f>
        <v>175.83681818181819</v>
      </c>
      <c r="DQ43" s="13">
        <f t="shared" si="43"/>
        <v>44.39469725400636</v>
      </c>
      <c r="DR43" s="20">
        <f t="shared" si="16"/>
        <v>383.56988938406107</v>
      </c>
      <c r="DS43" s="59">
        <f t="shared" si="17"/>
        <v>631.38290320318185</v>
      </c>
      <c r="DT43" s="59">
        <f ca="1">AVERAGE(OFFSET($DS$3,0,0,'Données projet'!$E$14+1,1))-AVERAGE(OFFSET($H$3,0,0,'Données projet'!$E$14+1,1))</f>
        <v>532.34688562681413</v>
      </c>
      <c r="DU43" s="59">
        <f t="shared" si="44"/>
        <v>345.42627129678556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185.26</v>
      </c>
      <c r="EH43" s="12">
        <f>VLOOKUP(A43,'Données projet'!$A$191:$I$211,9,0)</f>
        <v>3.9759999999999991</v>
      </c>
      <c r="EI43" s="12">
        <f t="array" ref="EI43">INDEX(EH:EH,MIN(IF(ISNUMBER(EH43:EH239),ROW(EH43:EH239),"")))</f>
        <v>3.9759999999999991</v>
      </c>
      <c r="EJ43" s="12">
        <f>IF('Données projet'!$A$192&gt;35,EJ42+EI43-ER42,IF(A43&lt;'Données projet'!$A$192,$EG$205^A43,IF(A43='Données projet'!$A$192,'Données projet'!$B$192,EJ42+EI43-ER42)))</f>
        <v>185.25999999999993</v>
      </c>
      <c r="EK43" s="17">
        <f>EJ43*VLOOKUP('Données projet'!$B$15,Paramètres!$A$1:$I$89,3,0)*VLOOKUP('Données projet'!$B$15,Paramètres!$A$1:$I$89,5,0)</f>
        <v>167.62324799999993</v>
      </c>
      <c r="EL43" s="13">
        <f t="shared" si="45"/>
        <v>42.557274794149713</v>
      </c>
      <c r="EM43" s="20">
        <f t="shared" si="19"/>
        <v>366.06441053314398</v>
      </c>
      <c r="EN43" s="59">
        <f t="shared" si="20"/>
        <v>613.87742435226482</v>
      </c>
      <c r="EO43" s="59">
        <f ca="1">AVERAGE(OFFSET($EN$3,0,0,'Données projet'!$E$15+1,1))-AVERAGE(OFFSET($H$3,0,0,'Données projet'!$E$15+1,1))</f>
        <v>256.20286603823035</v>
      </c>
      <c r="EP43" s="59">
        <f t="shared" si="46"/>
        <v>364.83827155069434</v>
      </c>
      <c r="EQ43" s="15">
        <f>IF(ISNA(VLOOKUP(A43,'Données projet'!$A$191:$I$211,3,0)),0,VLOOKUP(A43,'Données projet'!$A$191:$I$211,3,0))</f>
        <v>8</v>
      </c>
      <c r="ER43" s="15">
        <f>IF(ISNA(VLOOKUP(A43,'Données projet'!$A$191:$I$211,4,0)),0,VLOOKUP(A43,'Données projet'!$A$191:$I$211,4,0))</f>
        <v>4.49</v>
      </c>
      <c r="ES43" s="16">
        <f>IF(ISNA(VLOOKUP(A43,'Données projet'!$A$191:$I$211,5,0)),0%,VLOOKUP(A43,'Données projet'!$A$191:$I$211,5,0)*VLOOKUP('Données projet'!$B$15,Paramètres!$A$1:$I$89,7,0))</f>
        <v>0.21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2.5781801216197651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2.5781801216197651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4.3352272727272725</v>
      </c>
      <c r="FE43" s="12">
        <f>IF('Données projet'!$A$218&gt;35,FE42+FD43-FM42,IF(A43&lt;'Données projet'!$A$218,$FB$205^A43,IF(A43='Données projet'!$A$218,'Données projet'!$B$218,FE42+FD43-FM42)))</f>
        <v>173.40909090909091</v>
      </c>
      <c r="FF43" s="17">
        <f>FE43*VLOOKUP('Données projet'!$B$16,Paramètres!$A$1:$I$89,3,0)*VLOOKUP('Données projet'!$B$16,Paramètres!$A$1:$I$89,5,0)</f>
        <v>116.32281818181818</v>
      </c>
      <c r="FG43" s="13">
        <f t="shared" si="47"/>
        <v>30.815809743249307</v>
      </c>
      <c r="FH43" s="20">
        <f t="shared" si="22"/>
        <v>256.26644363615918</v>
      </c>
      <c r="FI43" s="59">
        <f t="shared" si="23"/>
        <v>504.07945745528002</v>
      </c>
      <c r="FJ43" s="59">
        <f ca="1">AVERAGE(OFFSET($FI$3,0,0,'Données projet'!$E$16+1,1))-AVERAGE(OFFSET($H$3,0,0,'Données projet'!$E$16+1,1))</f>
        <v>380.73695370216979</v>
      </c>
      <c r="FK43" s="59">
        <f t="shared" si="48"/>
        <v>249.34467160415713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4.3352272727272725</v>
      </c>
      <c r="FZ43" s="12">
        <f>IF('Données projet'!$A$244&gt;35,FZ42+FY43-GH42,IF(A43&lt;'Données projet'!$A$244,$FW$205^A43,IF(A43='Données projet'!$A$244,'Données projet'!$B$244,FZ42+FY43-GH42)))</f>
        <v>173.40909090909091</v>
      </c>
      <c r="GA43" s="17">
        <f>FZ43*VLOOKUP('Données projet'!$B$17,Paramètres!$A$1:$I$89,3,0)*VLOOKUP('Données projet'!$B$17,Paramètres!$A$1:$I$89,5,0)</f>
        <v>167.72127272727275</v>
      </c>
      <c r="GB43" s="13">
        <f t="shared" si="49"/>
        <v>42.579264333400957</v>
      </c>
      <c r="GC43" s="20">
        <f t="shared" si="25"/>
        <v>366.27343538067339</v>
      </c>
      <c r="GD43" s="59">
        <f t="shared" si="26"/>
        <v>614.08644919979417</v>
      </c>
      <c r="GE43" s="59">
        <f ca="1">AVERAGE(OFFSET($GD$3,0,0,'Données projet'!$E$17+1,1))-AVERAGE(OFFSET($H$3,0,0,'Données projet'!$E$17+1,1))</f>
        <v>511.7458522930001</v>
      </c>
      <c r="GF43" s="59">
        <f t="shared" si="50"/>
        <v>332.37317679966122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192</v>
      </c>
      <c r="GS43" s="12">
        <f>VLOOKUP(A43,'Données projet'!$A$269:$I$289,9,0)</f>
        <v>9.6</v>
      </c>
      <c r="GT43" s="12">
        <f t="array" ref="GT43">INDEX(GS:GS,MIN(IF(ISNUMBER(GS43:GS239),ROW(GS43:GS239),"")))</f>
        <v>9.6</v>
      </c>
      <c r="GU43" s="12">
        <f>IF('Données projet'!$A$270&gt;35,GU42+GT43-HC42,IF(A43&lt;'Données projet'!$A$270,$GR$205^A43,IF(A43='Données projet'!$A$270,'Données projet'!$B$270,GU42+GT43-HC42)))</f>
        <v>192</v>
      </c>
      <c r="GV43" s="17">
        <f>GU43*VLOOKUP('Données projet'!$B$18,Paramètres!$A$1:$I$89,3,0)*VLOOKUP('Données projet'!$B$18,Paramètres!$A$1:$I$89,5,0)</f>
        <v>167.73120000000003</v>
      </c>
      <c r="GW43" s="13">
        <f t="shared" si="51"/>
        <v>42.581491199832655</v>
      </c>
      <c r="GX43" s="20">
        <f t="shared" si="28"/>
        <v>366.29460383970854</v>
      </c>
      <c r="GY43" s="59">
        <f t="shared" si="29"/>
        <v>614.10761765882933</v>
      </c>
      <c r="GZ43" s="59">
        <f ca="1">AVERAGE(OFFSET($GY$3,0,0,'Données projet'!$E$18+1,1))-AVERAGE(OFFSET($H$3,0,0,'Données projet'!$E$18+1,1))</f>
        <v>348.77506423101278</v>
      </c>
      <c r="HA43" s="59">
        <f t="shared" si="52"/>
        <v>336.13747591329548</v>
      </c>
      <c r="HB43" s="15">
        <f>IF(ISNA(VLOOKUP(A43,'Données projet'!$A$269:$I$289,3,0)),0,VLOOKUP(A43,'Données projet'!$A$269:$I$289,3,0))</f>
        <v>6</v>
      </c>
      <c r="HC43" s="15">
        <f>IF(ISNA(VLOOKUP(A43,'Données projet'!$A$269:$I$289,4,0)),0,VLOOKUP(A43,'Données projet'!$A$269:$I$289,4,0))</f>
        <v>28</v>
      </c>
      <c r="HD43" s="16">
        <f>IF(ISNA(VLOOKUP(A43,'Données projet'!$A$269:$I$289,5,0)),0%,VLOOKUP(A43,'Données projet'!$A$269:$I$289,5,0)*VLOOKUP('Données projet'!$B$18,Paramètres!$A$1:$I$89,7,0))</f>
        <v>0.159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10.54493912554401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10.54493912554401</v>
      </c>
    </row>
    <row r="44" spans="1:218" x14ac:dyDescent="0.2">
      <c r="A44" s="10">
        <f t="shared" si="31"/>
        <v>41</v>
      </c>
      <c r="B44" s="71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5">
        <f t="shared" si="1"/>
        <v>183.33333333333334</v>
      </c>
      <c r="I44" s="6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9.9228571428571435</v>
      </c>
      <c r="N44" s="13">
        <f>IF('Données projet'!$A$36&gt;35,N43+M44-V43,IF(A44&lt;'Données projet'!$A$36,$K$205^A44,IF(A44='Données projet'!$A$36,'Données projet'!$B$36,N43+M44-V43)))</f>
        <v>406.83714285714279</v>
      </c>
      <c r="O44" s="13">
        <f>N44*VLOOKUP('Données projet'!$B$9,Paramètres!$A$1:$I$89,3,0)*VLOOKUP('Données projet'!$B$9,Paramètres!$A$1:$I$89,5,0)</f>
        <v>190.39978285714281</v>
      </c>
      <c r="P44" s="13">
        <f t="shared" si="33"/>
        <v>47.628328349435108</v>
      </c>
      <c r="Q44" s="20">
        <f t="shared" si="53"/>
        <v>414.56562701812322</v>
      </c>
      <c r="R44" s="59">
        <f t="shared" si="0"/>
        <v>663.16831661262722</v>
      </c>
      <c r="S44" s="59">
        <f ca="1">AVERAGE(OFFSET($R$3,0,0,'Données projet'!$E$9+1,1))-AVERAGE(OFFSET($H$3,0,0,'Données projet'!$E$9+1,1))</f>
        <v>387.50901594883317</v>
      </c>
      <c r="T44" s="59">
        <f t="shared" si="34"/>
        <v>361.3623790401972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300.54000000000002</v>
      </c>
      <c r="AG44" s="12">
        <f>VLOOKUP(A44,'Données projet'!$A$61:$I$81,9,0)</f>
        <v>16.701250000000002</v>
      </c>
      <c r="AH44" s="12">
        <f t="array" ref="AH44">INDEX(AG:AG,MIN(IF(ISNUMBER(AG44:AG240),ROW(AG44:AG240),"")))</f>
        <v>16.701250000000002</v>
      </c>
      <c r="AI44" s="13">
        <f>IF('Données projet'!$A$62&gt;35,AI43+AH44-AQ43,IF(A44&lt;'Données projet'!$A$62,$AF$205^A44,IF(A44='Données projet'!$A$62,'Données projet'!$B$62,AI43+AH44-AQ43)))</f>
        <v>300.54000000000013</v>
      </c>
      <c r="AJ44" s="13">
        <f>AI44*VLOOKUP('Données projet'!$B$10,Paramètres!$A$1:$I$89,3,0)*VLOOKUP('Données projet'!$B$10,Paramètres!$A$1:$I$89,5,0)</f>
        <v>179.72292000000007</v>
      </c>
      <c r="AK44" s="13">
        <f t="shared" si="35"/>
        <v>45.260535445550182</v>
      </c>
      <c r="AL44" s="20">
        <f t="shared" si="4"/>
        <v>391.84618490100002</v>
      </c>
      <c r="AM44" s="59">
        <f t="shared" si="5"/>
        <v>640.44887449550401</v>
      </c>
      <c r="AN44" s="59">
        <f ca="1">AVERAGE(OFFSET($AM$3,0,0,'Données projet'!$E$10+1,1))-AVERAGE(OFFSET($H$3,0,0,'Données projet'!$E$10+1,1))</f>
        <v>373.47758082856359</v>
      </c>
      <c r="AO44" s="59">
        <f t="shared" si="36"/>
        <v>277.24895424120166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72.13</v>
      </c>
      <c r="AR44" s="16">
        <f>IF(ISNA(VLOOKUP(A44,'Données projet'!$A$61:$I$81,5,0)),0%,VLOOKUP(A44,'Données projet'!$A$61:$I$81,5,0)*VLOOKUP('Données projet'!$B$10,Paramètres!$A$1:$I$89,7,0))</f>
        <v>0.22500000000000001</v>
      </c>
      <c r="AS44" s="16">
        <f>IF(ISNA(VLOOKUP(A44,'Données projet'!$A$61:$I$81,6,0)),0%,VLOOKUP(A44,'Données projet'!$A$61:$I$81,6,0)*VLOOKUP('Données projet'!$B$10,Paramètres!$A$1:$I$89,7,0))</f>
        <v>0.12600000000000003</v>
      </c>
      <c r="AT44" s="16">
        <f>IF(ISNA(VLOOKUP(A44,'Données projet'!$A$61:$I$81,7,0)),0%,VLOOKUP(A44,'Données projet'!$A$61:$I$81,7,0))</f>
        <v>0.22</v>
      </c>
      <c r="AU44" s="21">
        <f>EXP(-LN(2)/35)*AU43+(1-EXP(-LN(2)/35))/(LN(2)/35)*AQ44*AR44*VLOOKUP('Données projet'!$B$10,Paramètres!$A$1:$I$89,3,0)*0.475*44/12</f>
        <v>24.657476114021922</v>
      </c>
      <c r="AV44" s="21">
        <f>EXP(-LN(2)/25)*AV43+(1-EXP(-LN(2)/25))/(LN(2)/25)*Calculateur!AQ44*Calculateur!AS44*VLOOKUP('Données projet'!$B$10,Paramètres!$A$1:$I$89,3,0)*0.475*44/12</f>
        <v>20.574491747790432</v>
      </c>
      <c r="AW44" s="21">
        <f>EXP(-LN(2)/2)*AW43+(1-EXP(-LN(2)/2))/(LN(2)/2)*AQ44*AT44*VLOOKUP('Données projet'!$B$10,Paramètres!$A$1:$I$89,3,0)*0.475*44/12</f>
        <v>11.378067800678568</v>
      </c>
      <c r="AX44" s="21">
        <f t="shared" si="6"/>
        <v>56.610035662490915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20.418888888888887</v>
      </c>
      <c r="BD44" s="12">
        <f>IF('Données projet'!$A$88&gt;35,BD43+BC44-BL43,IF(A44&lt;'Données projet'!$A$88,$BA$205^A44,IF(A44='Données projet'!$A$88,'Données projet'!$B$88,BD43+BC44-BL43)))</f>
        <v>364.16555555555544</v>
      </c>
      <c r="BE44" s="13">
        <f>BD44*VLOOKUP('Données projet'!$B$11,Paramètres!$A$1:$I$89,3,0)*VLOOKUP('Données projet'!$B$11,Paramètres!$A$1:$I$89,5,0)</f>
        <v>217.77100222222217</v>
      </c>
      <c r="BF44" s="13">
        <f t="shared" si="37"/>
        <v>53.630137310633735</v>
      </c>
      <c r="BG44" s="20">
        <f t="shared" si="7"/>
        <v>472.69031801972392</v>
      </c>
      <c r="BH44" s="59">
        <f t="shared" si="8"/>
        <v>721.29300761422792</v>
      </c>
      <c r="BI44" s="59">
        <f ca="1">AVERAGE(OFFSET($BH$3,0,0,'Données projet'!$E$11+1,1))-AVERAGE(OFFSET($H$3,0,0,'Données projet'!$E$11+1,1))</f>
        <v>460.88622650237176</v>
      </c>
      <c r="BJ44" s="59">
        <f t="shared" si="38"/>
        <v>396.05161661639647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22.268859534167198</v>
      </c>
      <c r="BQ44" s="21">
        <f>EXP(-LN(2)/25)*BQ43+(1-EXP(-LN(2)/25))/(LN(2)/25)*Calculateur!BL44*Calculateur!BN44*VLOOKUP('Données projet'!$B$11,Paramètres!$A$1:$I$89,3,0)*0.475*44/12</f>
        <v>18.744487610121283</v>
      </c>
      <c r="BR44" s="21">
        <f>EXP(-LN(2)/2)*BR43+(1-EXP(-LN(2)/2))/(LN(2)/2)*BL44*BO44*VLOOKUP('Données projet'!$B$11,Paramètres!$A$1:$I$89,3,0)*0.475*44/12</f>
        <v>2.3263151089780245</v>
      </c>
      <c r="BS44" s="22">
        <f t="shared" si="9"/>
        <v>43.339662253266503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22.82714285714286</v>
      </c>
      <c r="BY44" s="12">
        <f>IF('Données projet'!$A$114&gt;35,BY43+BX44-CG43,IF(A44&lt;'Données projet'!$A$114,$BV$205^A44,IF(A44='Données projet'!$A$114,'Données projet'!$B$114,BY43+BX44-CG43)))</f>
        <v>427.4028571428571</v>
      </c>
      <c r="BZ44" s="13">
        <f>BY44*VLOOKUP('Données projet'!$B$12,Paramètres!$A$1:$I$89,3,0)*VLOOKUP('Données projet'!$B$12,Paramètres!$A$1:$I$89,5,0)</f>
        <v>194.46829999999997</v>
      </c>
      <c r="CA44" s="13">
        <f t="shared" si="39"/>
        <v>48.526490108528506</v>
      </c>
      <c r="CB44" s="20">
        <f t="shared" si="10"/>
        <v>423.21592610568717</v>
      </c>
      <c r="CC44" s="59">
        <f t="shared" si="11"/>
        <v>671.81861570019112</v>
      </c>
      <c r="CD44" s="59">
        <f ca="1">AVERAGE(OFFSET($CC$3,0,0,'Données projet'!$E$12+1,1))-AVERAGE(OFFSET($H$3,0,0,'Données projet'!$E$12+1,1))</f>
        <v>341.60063595566282</v>
      </c>
      <c r="CE44" s="59">
        <f t="shared" si="40"/>
        <v>317.05609766344219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18.311076986737444</v>
      </c>
      <c r="CL44" s="21">
        <f>EXP(-LN(2)/25)*CL43+(1-EXP(-LN(2)/25))/(LN(2)/25)*Calculateur!CG44*Calculateur!CI44*VLOOKUP('Données projet'!$B$12,Paramètres!$A$1:$I$89,3,0)*0.475*44/12</f>
        <v>19.85117930882198</v>
      </c>
      <c r="CM44" s="21">
        <f>EXP(-LN(2)/2)*CM43+(1-EXP(-LN(2)/2))/(LN(2)/2)*CG44*CJ44*VLOOKUP('Données projet'!$B$12,Paramètres!$A$1:$I$89,3,0)*0.475*44/12</f>
        <v>1.5819403037504434</v>
      </c>
      <c r="CN44" s="22">
        <f t="shared" si="12"/>
        <v>39.744196599309866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5.5120000000000005</v>
      </c>
      <c r="CT44" s="12">
        <f>IF('Données projet'!$A$140&gt;35,CT43+CS44-DB43,IF(A44&lt;'Données projet'!$A$140,$CQ$205^A44,IF(A44='Données projet'!$A$140,'Données projet'!$B$140,CT43+CS44-DB43)))</f>
        <v>106.80199999999996</v>
      </c>
      <c r="CU44" s="17">
        <f>CT44*VLOOKUP('Données projet'!$B$13,Paramètres!$A$1:$I$89,3,0)*VLOOKUP('Données projet'!$B$13,Paramètres!$A$1:$I$89,5,0)</f>
        <v>111.62945039999998</v>
      </c>
      <c r="CV44" s="13">
        <f t="shared" si="41"/>
        <v>29.714566626013831</v>
      </c>
      <c r="CW44" s="20">
        <f t="shared" si="13"/>
        <v>246.17416298697401</v>
      </c>
      <c r="CX44" s="59">
        <f t="shared" si="14"/>
        <v>494.77685258147801</v>
      </c>
      <c r="CY44" s="59">
        <f ca="1">AVERAGE(OFFSET($CX$3,0,0,'Données projet'!$E$13+1,1))-AVERAGE(OFFSET($H$3,0,0,'Données projet'!$E$13+1,1))</f>
        <v>287.73449456153207</v>
      </c>
      <c r="CZ44" s="59">
        <f t="shared" si="42"/>
        <v>296.74833899433281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7.0226950448925027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7.0226950448925027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4.3352272727272725</v>
      </c>
      <c r="DO44" s="12">
        <f>IF('Données projet'!$A$166&gt;35,DO43+DN44-DW43,IF(A44&lt;'Données projet'!$A$166,$DL$205^A44,IF(A44='Données projet'!$A$166,'Données projet'!$B$166,DO43+DN44-DW43)))</f>
        <v>177.74431818181819</v>
      </c>
      <c r="DP44" s="17">
        <f>DO44*VLOOKUP('Données projet'!$B$14,Paramètres!$A$1:$I$89,3,0)*VLOOKUP('Données projet'!$B$14,Paramètres!$A$1:$I$89,5,0)</f>
        <v>180.23273863636365</v>
      </c>
      <c r="DQ44" s="13">
        <f t="shared" si="43"/>
        <v>45.373962330512391</v>
      </c>
      <c r="DR44" s="20">
        <f t="shared" si="16"/>
        <v>392.93167085064243</v>
      </c>
      <c r="DS44" s="59">
        <f t="shared" si="17"/>
        <v>641.53436044514638</v>
      </c>
      <c r="DT44" s="59">
        <f ca="1">AVERAGE(OFFSET($DS$3,0,0,'Données projet'!$E$14+1,1))-AVERAGE(OFFSET($H$3,0,0,'Données projet'!$E$14+1,1))</f>
        <v>532.34688562681413</v>
      </c>
      <c r="DU44" s="59">
        <f t="shared" si="44"/>
        <v>345.42627129678556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3.8460000000000036</v>
      </c>
      <c r="EJ44" s="12">
        <f>IF('Données projet'!$A$192&gt;35,EJ43+EI44-ER43,IF(A44&lt;'Données projet'!$A$192,$EG$205^A44,IF(A44='Données projet'!$A$192,'Données projet'!$B$192,EJ43+EI44-ER43)))</f>
        <v>184.61599999999993</v>
      </c>
      <c r="EK44" s="17">
        <f>EJ44*VLOOKUP('Données projet'!$B$15,Paramètres!$A$1:$I$89,3,0)*VLOOKUP('Données projet'!$B$15,Paramètres!$A$1:$I$89,5,0)</f>
        <v>167.04055679999993</v>
      </c>
      <c r="EL44" s="13">
        <f t="shared" si="45"/>
        <v>42.426530816479541</v>
      </c>
      <c r="EM44" s="20">
        <f t="shared" si="19"/>
        <v>364.82184426536838</v>
      </c>
      <c r="EN44" s="59">
        <f t="shared" si="20"/>
        <v>613.42453385987233</v>
      </c>
      <c r="EO44" s="59">
        <f ca="1">AVERAGE(OFFSET($EN$3,0,0,'Données projet'!$E$15+1,1))-AVERAGE(OFFSET($H$3,0,0,'Données projet'!$E$15+1,1))</f>
        <v>256.20286603823035</v>
      </c>
      <c r="EP44" s="59">
        <f t="shared" si="46"/>
        <v>364.83827155069434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2.5276235819694008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2.5276235819694008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4.3352272727272725</v>
      </c>
      <c r="FE44" s="12">
        <f>IF('Données projet'!$A$218&gt;35,FE43+FD44-FM43,IF(A44&lt;'Données projet'!$A$218,$FB$205^A44,IF(A44='Données projet'!$A$218,'Données projet'!$B$218,FE43+FD44-FM43)))</f>
        <v>177.74431818181819</v>
      </c>
      <c r="FF44" s="17">
        <f>FE44*VLOOKUP('Données projet'!$B$16,Paramètres!$A$1:$I$89,3,0)*VLOOKUP('Données projet'!$B$16,Paramètres!$A$1:$I$89,5,0)</f>
        <v>119.23088863636364</v>
      </c>
      <c r="FG44" s="13">
        <f t="shared" si="47"/>
        <v>31.495549625541077</v>
      </c>
      <c r="FH44" s="20">
        <f t="shared" si="22"/>
        <v>262.51521330615071</v>
      </c>
      <c r="FI44" s="59">
        <f t="shared" si="23"/>
        <v>511.11790290065471</v>
      </c>
      <c r="FJ44" s="59">
        <f ca="1">AVERAGE(OFFSET($FI$3,0,0,'Données projet'!$E$16+1,1))-AVERAGE(OFFSET($H$3,0,0,'Données projet'!$E$16+1,1))</f>
        <v>380.73695370216979</v>
      </c>
      <c r="FK44" s="59">
        <f t="shared" si="48"/>
        <v>249.34467160415713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4.3352272727272725</v>
      </c>
      <c r="FZ44" s="12">
        <f>IF('Données projet'!$A$244&gt;35,FZ43+FY44-GH43,IF(A44&lt;'Données projet'!$A$244,$FW$205^A44,IF(A44='Données projet'!$A$244,'Données projet'!$B$244,FZ43+FY44-GH43)))</f>
        <v>177.74431818181819</v>
      </c>
      <c r="GA44" s="17">
        <f>FZ44*VLOOKUP('Données projet'!$B$17,Paramètres!$A$1:$I$89,3,0)*VLOOKUP('Données projet'!$B$17,Paramètres!$A$1:$I$89,5,0)</f>
        <v>171.91430454545454</v>
      </c>
      <c r="GB44" s="13">
        <f t="shared" si="49"/>
        <v>43.518484310652937</v>
      </c>
      <c r="GC44" s="20">
        <f t="shared" si="25"/>
        <v>375.21210725772056</v>
      </c>
      <c r="GD44" s="59">
        <f t="shared" si="26"/>
        <v>623.8147968522245</v>
      </c>
      <c r="GE44" s="59">
        <f ca="1">AVERAGE(OFFSET($GD$3,0,0,'Données projet'!$E$17+1,1))-AVERAGE(OFFSET($H$3,0,0,'Données projet'!$E$17+1,1))</f>
        <v>511.7458522930001</v>
      </c>
      <c r="GF44" s="59">
        <f t="shared" si="50"/>
        <v>332.37317679966122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8.1999999999999993</v>
      </c>
      <c r="GU44" s="12">
        <f>IF('Données projet'!$A$270&gt;35,GU43+GT44-HC43,IF(A44&lt;'Données projet'!$A$270,$GR$205^A44,IF(A44='Données projet'!$A$270,'Données projet'!$B$270,GU43+GT44-HC43)))</f>
        <v>172.2</v>
      </c>
      <c r="GV44" s="17">
        <f>GU44*VLOOKUP('Données projet'!$B$18,Paramètres!$A$1:$I$89,3,0)*VLOOKUP('Données projet'!$B$18,Paramètres!$A$1:$I$89,5,0)</f>
        <v>150.43392</v>
      </c>
      <c r="GW44" s="13">
        <f t="shared" si="51"/>
        <v>38.677178913707927</v>
      </c>
      <c r="GX44" s="20">
        <f t="shared" si="28"/>
        <v>329.36849727470798</v>
      </c>
      <c r="GY44" s="59">
        <f t="shared" si="29"/>
        <v>577.97118686921192</v>
      </c>
      <c r="GZ44" s="59">
        <f ca="1">AVERAGE(OFFSET($GY$3,0,0,'Données projet'!$E$18+1,1))-AVERAGE(OFFSET($H$3,0,0,'Données projet'!$E$18+1,1))</f>
        <v>348.77506423101278</v>
      </c>
      <c r="HA44" s="59">
        <f t="shared" si="52"/>
        <v>336.13747591329548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10.338159301069874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10.338159301069874</v>
      </c>
    </row>
    <row r="45" spans="1:218" x14ac:dyDescent="0.2">
      <c r="A45" s="10">
        <f t="shared" si="31"/>
        <v>42</v>
      </c>
      <c r="B45" s="71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5">
        <f t="shared" si="1"/>
        <v>183.33333333333334</v>
      </c>
      <c r="I45" s="6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416.76</v>
      </c>
      <c r="L45" s="12">
        <f>VLOOKUP(A45,'Données projet'!$A$35:$I$55,9,0)</f>
        <v>9.9228571428571435</v>
      </c>
      <c r="M45" s="12">
        <f t="array" ref="M45">INDEX(L:L,MIN(IF(ISNUMBER(L45:L241),ROW(L45:L241),"")))</f>
        <v>9.9228571428571435</v>
      </c>
      <c r="N45" s="13">
        <f>IF('Données projet'!$A$36&gt;35,N44+M45-V44,IF(A45&lt;'Données projet'!$A$36,$K$205^A45,IF(A45='Données projet'!$A$36,'Données projet'!$B$36,N44+M45-V44)))</f>
        <v>416.75999999999993</v>
      </c>
      <c r="O45" s="13">
        <f>N45*VLOOKUP('Données projet'!$B$9,Paramètres!$A$1:$I$89,3,0)*VLOOKUP('Données projet'!$B$9,Paramètres!$A$1:$I$89,5,0)</f>
        <v>195.04367999999997</v>
      </c>
      <c r="P45" s="13">
        <f t="shared" si="33"/>
        <v>48.65333290919024</v>
      </c>
      <c r="Q45" s="20">
        <f t="shared" si="53"/>
        <v>424.43896415017292</v>
      </c>
      <c r="R45" s="59">
        <f t="shared" si="0"/>
        <v>673.81763041080762</v>
      </c>
      <c r="S45" s="59">
        <f ca="1">AVERAGE(OFFSET($R$3,0,0,'Données projet'!$E$9+1,1))-AVERAGE(OFFSET($H$3,0,0,'Données projet'!$E$9+1,1))</f>
        <v>387.50901594883317</v>
      </c>
      <c r="T45" s="59">
        <f t="shared" si="34"/>
        <v>361.3623790401972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182.39</v>
      </c>
      <c r="W45" s="16">
        <f>IF(ISNA(VLOOKUP(A45,'Données projet'!$A$35:$I$55,5,0)),0%,VLOOKUP(A45,'Données projet'!$A$35:$I$55,5,0)*VLOOKUP('Données projet'!$B$9,Paramètres!$A$1:$I$89,7,0))</f>
        <v>0.16500000000000001</v>
      </c>
      <c r="X45" s="16">
        <f>IF(ISNA(VLOOKUP(A45,'Données projet'!$A$35:$I$55,6,0)),0%,VLOOKUP(A45,'Données projet'!$A$35:$I$55,6,0)*VLOOKUP('Données projet'!$B$9,Paramètres!$A$1:$I$89,7,0))</f>
        <v>0.21450000000000002</v>
      </c>
      <c r="Y45" s="16">
        <f>IF(ISNA(VLOOKUP(A45,'Données projet'!$A$35:$I$55,7,0)),0%,VLOOKUP(A45,'Données projet'!$A$35:$I$55,7,0))</f>
        <v>0.31</v>
      </c>
      <c r="Z45" s="21">
        <f>EXP(-LN(2)/35)*Z44+(1-EXP(-LN(2)/35))/(LN(2)/35)*V45*W45*VLOOKUP('Données projet'!$B$9,Paramètres!$A$1:$I$89,3,0)*0.475*44/12</f>
        <v>18.683540469152643</v>
      </c>
      <c r="AA45" s="21">
        <f>EXP(-LN(2)/25)*AA44+(1-EXP(-LN(2)/25))/(LN(2)/25)*Calculateur!V45*Calculateur!X45*VLOOKUP('Données projet'!$B$9,Paramètres!$A$1:$I$89,3,0)*0.475*44/12</f>
        <v>24.192969126740113</v>
      </c>
      <c r="AB45" s="21">
        <f>EXP(-LN(2)/2)*AB44+(1-EXP(-LN(2)/2))/(LN(2)/2)*V45*Y45*VLOOKUP('Données projet'!$B$9,Paramètres!$A$1:$I$89,3,0)*0.475*44/12</f>
        <v>29.960158696048225</v>
      </c>
      <c r="AC45" s="22">
        <f t="shared" si="3"/>
        <v>72.836668291940981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15.725555555555552</v>
      </c>
      <c r="AI45" s="13">
        <f>IF('Données projet'!$A$62&gt;35,AI44+AH45-AQ44,IF(A45&lt;'Données projet'!$A$62,$AF$205^A45,IF(A45='Données projet'!$A$62,'Données projet'!$B$62,AI44+AH45-AQ44)))</f>
        <v>244.1355555555557</v>
      </c>
      <c r="AJ45" s="13">
        <f>AI45*VLOOKUP('Données projet'!$B$10,Paramètres!$A$1:$I$89,3,0)*VLOOKUP('Données projet'!$B$10,Paramètres!$A$1:$I$89,5,0)</f>
        <v>145.99306222222231</v>
      </c>
      <c r="AK45" s="13">
        <f t="shared" si="35"/>
        <v>37.666564668799332</v>
      </c>
      <c r="AL45" s="20">
        <f t="shared" si="4"/>
        <v>319.87385016852937</v>
      </c>
      <c r="AM45" s="59">
        <f t="shared" si="5"/>
        <v>569.25251642916407</v>
      </c>
      <c r="AN45" s="59">
        <f ca="1">AVERAGE(OFFSET($AM$3,0,0,'Données projet'!$E$10+1,1))-AVERAGE(OFFSET($H$3,0,0,'Données projet'!$E$10+1,1))</f>
        <v>373.47758082856359</v>
      </c>
      <c r="AO45" s="59">
        <f t="shared" si="36"/>
        <v>277.24895424120166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24.173958047001346</v>
      </c>
      <c r="AV45" s="21">
        <f>EXP(-LN(2)/25)*AV44+(1-EXP(-LN(2)/25))/(LN(2)/25)*Calculateur!AQ45*Calculateur!AS45*VLOOKUP('Données projet'!$B$10,Paramètres!$A$1:$I$89,3,0)*0.475*44/12</f>
        <v>20.011881188981604</v>
      </c>
      <c r="AW45" s="21">
        <f>EXP(-LN(2)/2)*AW44+(1-EXP(-LN(2)/2))/(LN(2)/2)*AQ45*AT45*VLOOKUP('Données projet'!$B$10,Paramètres!$A$1:$I$89,3,0)*0.475*44/12</f>
        <v>8.045508898660124</v>
      </c>
      <c r="AX45" s="21">
        <f t="shared" si="6"/>
        <v>52.231348134643078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20.418888888888887</v>
      </c>
      <c r="BD45" s="12">
        <f>IF('Données projet'!$A$88&gt;35,BD44+BC45-BL44,IF(A45&lt;'Données projet'!$A$88,$BA$205^A45,IF(A45='Données projet'!$A$88,'Données projet'!$B$88,BD44+BC45-BL44)))</f>
        <v>384.58444444444433</v>
      </c>
      <c r="BE45" s="13">
        <f>BD45*VLOOKUP('Données projet'!$B$11,Paramètres!$A$1:$I$89,3,0)*VLOOKUP('Données projet'!$B$11,Paramètres!$A$1:$I$89,5,0)</f>
        <v>229.98149777777775</v>
      </c>
      <c r="BF45" s="13">
        <f t="shared" si="37"/>
        <v>56.278680899383595</v>
      </c>
      <c r="BG45" s="20">
        <f t="shared" si="7"/>
        <v>498.56981119605592</v>
      </c>
      <c r="BH45" s="59">
        <f t="shared" si="8"/>
        <v>747.94847745669063</v>
      </c>
      <c r="BI45" s="59">
        <f ca="1">AVERAGE(OFFSET($BH$3,0,0,'Données projet'!$E$11+1,1))-AVERAGE(OFFSET($H$3,0,0,'Données projet'!$E$11+1,1))</f>
        <v>460.88622650237176</v>
      </c>
      <c r="BJ45" s="59">
        <f t="shared" si="38"/>
        <v>396.05161661639647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21.83218078136532</v>
      </c>
      <c r="BQ45" s="21">
        <f>EXP(-LN(2)/25)*BQ44+(1-EXP(-LN(2)/25))/(LN(2)/25)*Calculateur!BL45*Calculateur!BN45*VLOOKUP('Données projet'!$B$11,Paramètres!$A$1:$I$89,3,0)*0.475*44/12</f>
        <v>18.231918610692755</v>
      </c>
      <c r="BR45" s="21">
        <f>EXP(-LN(2)/2)*BR44+(1-EXP(-LN(2)/2))/(LN(2)/2)*BL45*BO45*VLOOKUP('Données projet'!$B$11,Paramètres!$A$1:$I$89,3,0)*0.475*44/12</f>
        <v>1.6449531887350834</v>
      </c>
      <c r="BS45" s="22">
        <f t="shared" si="9"/>
        <v>41.709052580793156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450.23</v>
      </c>
      <c r="BW45" s="12">
        <f>VLOOKUP(A45,'Données projet'!$A$113:$I$133,9,0)</f>
        <v>22.82714285714286</v>
      </c>
      <c r="BX45" s="12">
        <f t="array" ref="BX45">INDEX(BW:BW,MIN(IF(ISNUMBER(BW45:BW241),ROW(BW45:BW241),"")))</f>
        <v>22.82714285714286</v>
      </c>
      <c r="BY45" s="12">
        <f>IF('Données projet'!$A$114&gt;35,BY44+BX45-CG44,IF(A45&lt;'Données projet'!$A$114,$BV$205^A45,IF(A45='Données projet'!$A$114,'Données projet'!$B$114,BY44+BX45-CG44)))</f>
        <v>450.22999999999996</v>
      </c>
      <c r="BZ45" s="13">
        <f>BY45*VLOOKUP('Données projet'!$B$12,Paramètres!$A$1:$I$89,3,0)*VLOOKUP('Données projet'!$B$12,Paramètres!$A$1:$I$89,5,0)</f>
        <v>204.85464999999996</v>
      </c>
      <c r="CA45" s="13">
        <f t="shared" si="39"/>
        <v>50.80957908179824</v>
      </c>
      <c r="CB45" s="20">
        <f t="shared" si="10"/>
        <v>445.28186565079847</v>
      </c>
      <c r="CC45" s="59">
        <f t="shared" si="11"/>
        <v>694.66053191143317</v>
      </c>
      <c r="CD45" s="59">
        <f ca="1">AVERAGE(OFFSET($CC$3,0,0,'Données projet'!$E$12+1,1))-AVERAGE(OFFSET($H$3,0,0,'Données projet'!$E$12+1,1))</f>
        <v>341.60063595566282</v>
      </c>
      <c r="CE45" s="59">
        <f t="shared" si="40"/>
        <v>317.05609766344219</v>
      </c>
      <c r="CF45" s="15">
        <f>IF(ISNA(VLOOKUP(A45,'Données projet'!$A$113:$I$133,3,0)),0,VLOOKUP(A45,'Données projet'!$A$113:$I$133,3,0))</f>
        <v>5</v>
      </c>
      <c r="CG45" s="15">
        <f>IF(ISNA(VLOOKUP(A45,'Données projet'!$A$113:$I$133,4,0)),0,VLOOKUP(A45,'Données projet'!$A$113:$I$133,4,0))</f>
        <v>99.98</v>
      </c>
      <c r="CH45" s="16">
        <f>IF(ISNA(VLOOKUP(A45,'Données projet'!$A$113:$I$133,5,0)),0%,VLOOKUP(A45,'Données projet'!$A$113:$I$133,5,0)*VLOOKUP('Données projet'!$B$12,Paramètres!$A$1:$I$89,7,0))</f>
        <v>0.27500000000000002</v>
      </c>
      <c r="CI45" s="16">
        <f>IF(ISNA(VLOOKUP(A45,'Données projet'!$A$113:$I$133,6,0)),0%,VLOOKUP(A45,'Données projet'!$A$113:$I$133,6,0)*VLOOKUP('Données projet'!$B$12,Paramètres!$A$1:$I$89,7,0))</f>
        <v>0.15400000000000003</v>
      </c>
      <c r="CJ45" s="16">
        <f>IF(ISNA(VLOOKUP(A45,'Données projet'!$A$113:$I$133,7,0)),0%,VLOOKUP(A45,'Données projet'!$A$113:$I$133,7,0))</f>
        <v>0.22</v>
      </c>
      <c r="CK45" s="21">
        <f>EXP(-LN(2)/35)*CK44+(1-EXP(-LN(2)/35))/(LN(2)/35)*CG45*CH45*VLOOKUP('Données projet'!$B$12,Paramètres!$A$1:$I$89,3,0)*0.475*44/12</f>
        <v>34.547325956819179</v>
      </c>
      <c r="CL45" s="21">
        <f>EXP(-LN(2)/25)*CL44+(1-EXP(-LN(2)/25))/(LN(2)/25)*Calculateur!CG45*Calculateur!CI45*VLOOKUP('Données projet'!$B$12,Paramètres!$A$1:$I$89,3,0)*0.475*44/12</f>
        <v>28.565134287928871</v>
      </c>
      <c r="CM45" s="21">
        <f>EXP(-LN(2)/2)*CM44+(1-EXP(-LN(2)/2))/(LN(2)/2)*CG45*CJ45*VLOOKUP('Données projet'!$B$12,Paramètres!$A$1:$I$89,3,0)*0.475*44/12</f>
        <v>12.449979285394521</v>
      </c>
      <c r="CN45" s="22">
        <f t="shared" si="12"/>
        <v>75.562439530142569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5.5120000000000005</v>
      </c>
      <c r="CT45" s="12">
        <f>IF('Données projet'!$A$140&gt;35,CT44+CS45-DB44,IF(A45&lt;'Données projet'!$A$140,$CQ$205^A45,IF(A45='Données projet'!$A$140,'Données projet'!$B$140,CT44+CS45-DB44)))</f>
        <v>112.31399999999996</v>
      </c>
      <c r="CU45" s="17">
        <f>CT45*VLOOKUP('Données projet'!$B$13,Paramètres!$A$1:$I$89,3,0)*VLOOKUP('Données projet'!$B$13,Paramètres!$A$1:$I$89,5,0)</f>
        <v>117.39059279999996</v>
      </c>
      <c r="CV45" s="13">
        <f t="shared" si="41"/>
        <v>31.06562138758893</v>
      </c>
      <c r="CW45" s="20">
        <f t="shared" si="13"/>
        <v>258.56123971005064</v>
      </c>
      <c r="CX45" s="59">
        <f t="shared" si="14"/>
        <v>507.93990597068534</v>
      </c>
      <c r="CY45" s="59">
        <f ca="1">AVERAGE(OFFSET($CX$3,0,0,'Données projet'!$E$13+1,1))-AVERAGE(OFFSET($H$3,0,0,'Données projet'!$E$13+1,1))</f>
        <v>287.73449456153207</v>
      </c>
      <c r="CZ45" s="59">
        <f t="shared" si="42"/>
        <v>296.74833899433281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6.8849842784831852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6.8849842784831852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4.3352272727272725</v>
      </c>
      <c r="DO45" s="12">
        <f>IF('Données projet'!$A$166&gt;35,DO44+DN45-DW44,IF(A45&lt;'Données projet'!$A$166,$DL$205^A45,IF(A45='Données projet'!$A$166,'Données projet'!$B$166,DO44+DN45-DW44)))</f>
        <v>182.07954545454547</v>
      </c>
      <c r="DP45" s="17">
        <f>DO45*VLOOKUP('Données projet'!$B$14,Paramètres!$A$1:$I$89,3,0)*VLOOKUP('Données projet'!$B$14,Paramètres!$A$1:$I$89,5,0)</f>
        <v>184.62865909090911</v>
      </c>
      <c r="DQ45" s="13">
        <f t="shared" si="43"/>
        <v>46.350450901383766</v>
      </c>
      <c r="DR45" s="20">
        <f t="shared" si="16"/>
        <v>402.28861656991006</v>
      </c>
      <c r="DS45" s="59">
        <f t="shared" si="17"/>
        <v>651.66728283054476</v>
      </c>
      <c r="DT45" s="59">
        <f ca="1">AVERAGE(OFFSET($DS$3,0,0,'Données projet'!$E$14+1,1))-AVERAGE(OFFSET($H$3,0,0,'Données projet'!$E$14+1,1))</f>
        <v>532.34688562681413</v>
      </c>
      <c r="DU45" s="59">
        <f t="shared" si="44"/>
        <v>345.42627129678556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3.8460000000000036</v>
      </c>
      <c r="EJ45" s="12">
        <f>IF('Données projet'!$A$192&gt;35,EJ44+EI45-ER44,IF(A45&lt;'Données projet'!$A$192,$EG$205^A45,IF(A45='Données projet'!$A$192,'Données projet'!$B$192,EJ44+EI45-ER44)))</f>
        <v>188.46199999999993</v>
      </c>
      <c r="EK45" s="17">
        <f>EJ45*VLOOKUP('Données projet'!$B$15,Paramètres!$A$1:$I$89,3,0)*VLOOKUP('Données projet'!$B$15,Paramètres!$A$1:$I$89,5,0)</f>
        <v>170.52041759999992</v>
      </c>
      <c r="EL45" s="13">
        <f t="shared" si="45"/>
        <v>43.206559072887615</v>
      </c>
      <c r="EM45" s="20">
        <f t="shared" si="19"/>
        <v>372.24115103861249</v>
      </c>
      <c r="EN45" s="59">
        <f t="shared" si="20"/>
        <v>621.61981729924719</v>
      </c>
      <c r="EO45" s="59">
        <f ca="1">AVERAGE(OFFSET($EN$3,0,0,'Données projet'!$E$15+1,1))-AVERAGE(OFFSET($H$3,0,0,'Données projet'!$E$15+1,1))</f>
        <v>256.20286603823035</v>
      </c>
      <c r="EP45" s="59">
        <f t="shared" si="46"/>
        <v>364.83827155069434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2.4780584252251359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2.4780584252251359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4.3352272727272725</v>
      </c>
      <c r="FE45" s="12">
        <f>IF('Données projet'!$A$218&gt;35,FE44+FD45-FM44,IF(A45&lt;'Données projet'!$A$218,$FB$205^A45,IF(A45='Données projet'!$A$218,'Données projet'!$B$218,FE44+FD45-FM44)))</f>
        <v>182.07954545454547</v>
      </c>
      <c r="FF45" s="17">
        <f>FE45*VLOOKUP('Données projet'!$B$16,Paramètres!$A$1:$I$89,3,0)*VLOOKUP('Données projet'!$B$16,Paramètres!$A$1:$I$89,5,0)</f>
        <v>122.1389590909091</v>
      </c>
      <c r="FG45" s="13">
        <f t="shared" si="47"/>
        <v>32.173362244563172</v>
      </c>
      <c r="FH45" s="20">
        <f t="shared" si="22"/>
        <v>268.7606263259475</v>
      </c>
      <c r="FI45" s="59">
        <f t="shared" si="23"/>
        <v>518.1392925865822</v>
      </c>
      <c r="FJ45" s="59">
        <f ca="1">AVERAGE(OFFSET($FI$3,0,0,'Données projet'!$E$16+1,1))-AVERAGE(OFFSET($H$3,0,0,'Données projet'!$E$16+1,1))</f>
        <v>380.73695370216979</v>
      </c>
      <c r="FK45" s="59">
        <f t="shared" si="48"/>
        <v>249.34467160415713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4.3352272727272725</v>
      </c>
      <c r="FZ45" s="12">
        <f>IF('Données projet'!$A$244&gt;35,FZ44+FY45-GH44,IF(A45&lt;'Données projet'!$A$244,$FW$205^A45,IF(A45='Données projet'!$A$244,'Données projet'!$B$244,FZ44+FY45-GH44)))</f>
        <v>182.07954545454547</v>
      </c>
      <c r="GA45" s="17">
        <f>FZ45*VLOOKUP('Données projet'!$B$17,Paramètres!$A$1:$I$89,3,0)*VLOOKUP('Données projet'!$B$17,Paramètres!$A$1:$I$89,5,0)</f>
        <v>176.10733636363636</v>
      </c>
      <c r="GB45" s="13">
        <f t="shared" si="49"/>
        <v>44.455041321950659</v>
      </c>
      <c r="GC45" s="20">
        <f t="shared" si="25"/>
        <v>384.14614113573072</v>
      </c>
      <c r="GD45" s="59">
        <f t="shared" si="26"/>
        <v>633.52480739636542</v>
      </c>
      <c r="GE45" s="59">
        <f ca="1">AVERAGE(OFFSET($GD$3,0,0,'Données projet'!$E$17+1,1))-AVERAGE(OFFSET($H$3,0,0,'Données projet'!$E$17+1,1))</f>
        <v>511.7458522930001</v>
      </c>
      <c r="GF45" s="59">
        <f t="shared" si="50"/>
        <v>332.37317679966122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8.1999999999999993</v>
      </c>
      <c r="GU45" s="12">
        <f>IF('Données projet'!$A$270&gt;35,GU44+GT45-HC44,IF(A45&lt;'Données projet'!$A$270,$GR$205^A45,IF(A45='Données projet'!$A$270,'Données projet'!$B$270,GU44+GT45-HC44)))</f>
        <v>180.39999999999998</v>
      </c>
      <c r="GV45" s="17">
        <f>GU45*VLOOKUP('Données projet'!$B$18,Paramètres!$A$1:$I$89,3,0)*VLOOKUP('Données projet'!$B$18,Paramètres!$A$1:$I$89,5,0)</f>
        <v>157.59744000000001</v>
      </c>
      <c r="GW45" s="13">
        <f t="shared" si="51"/>
        <v>40.300135037830529</v>
      </c>
      <c r="GX45" s="20">
        <f t="shared" si="28"/>
        <v>344.67160985755481</v>
      </c>
      <c r="GY45" s="59">
        <f t="shared" si="29"/>
        <v>594.05027611818957</v>
      </c>
      <c r="GZ45" s="59">
        <f ca="1">AVERAGE(OFFSET($GY$3,0,0,'Données projet'!$E$18+1,1))-AVERAGE(OFFSET($H$3,0,0,'Données projet'!$E$18+1,1))</f>
        <v>348.77506423101278</v>
      </c>
      <c r="HA45" s="59">
        <f t="shared" si="52"/>
        <v>336.13747591329548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10.135434302830436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10.135434302830436</v>
      </c>
    </row>
    <row r="46" spans="1:218" x14ac:dyDescent="0.2">
      <c r="A46" s="10">
        <f t="shared" si="31"/>
        <v>43</v>
      </c>
      <c r="B46" s="71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5">
        <f t="shared" si="1"/>
        <v>183.33333333333334</v>
      </c>
      <c r="I46" s="6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18.127142857142854</v>
      </c>
      <c r="N46" s="13">
        <f>IF('Données projet'!$A$36&gt;35,N45+M46-V45,IF(A46&lt;'Données projet'!$A$36,$K$205^A46,IF(A46='Données projet'!$A$36,'Données projet'!$B$36,N45+M46-V45)))</f>
        <v>252.49714285714282</v>
      </c>
      <c r="O46" s="13">
        <f>N46*VLOOKUP('Données projet'!$B$9,Paramètres!$A$1:$I$89,3,0)*VLOOKUP('Données projet'!$B$9,Paramètres!$A$1:$I$89,5,0)</f>
        <v>118.16866285714285</v>
      </c>
      <c r="P46" s="13">
        <f t="shared" si="33"/>
        <v>31.247488431792092</v>
      </c>
      <c r="Q46" s="20">
        <f t="shared" si="53"/>
        <v>260.23313016156169</v>
      </c>
      <c r="R46" s="59">
        <f t="shared" si="0"/>
        <v>510.37431162799373</v>
      </c>
      <c r="S46" s="59">
        <f ca="1">AVERAGE(OFFSET($R$3,0,0,'Données projet'!$E$9+1,1))-AVERAGE(OFFSET($H$3,0,0,'Données projet'!$E$9+1,1))</f>
        <v>387.50901594883317</v>
      </c>
      <c r="T46" s="59">
        <f t="shared" si="34"/>
        <v>361.3623790401972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18.317167636387001</v>
      </c>
      <c r="AA46" s="21">
        <f>EXP(-LN(2)/25)*AA45+(1-EXP(-LN(2)/25))/(LN(2)/25)*Calculateur!V46*Calculateur!X46*VLOOKUP('Données projet'!$B$9,Paramètres!$A$1:$I$89,3,0)*0.475*44/12</f>
        <v>23.531411113716452</v>
      </c>
      <c r="AB46" s="21">
        <f>EXP(-LN(2)/2)*AB45+(1-EXP(-LN(2)/2))/(LN(2)/2)*V46*Y46*VLOOKUP('Données projet'!$B$9,Paramètres!$A$1:$I$89,3,0)*0.475*44/12</f>
        <v>21.185031379400812</v>
      </c>
      <c r="AC46" s="22">
        <f t="shared" si="3"/>
        <v>63.033610129504268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15.725555555555552</v>
      </c>
      <c r="AI46" s="13">
        <f>IF('Données projet'!$A$62&gt;35,AI45+AH46-AQ45,IF(A46&lt;'Données projet'!$A$62,$AF$205^A46,IF(A46='Données projet'!$A$62,'Données projet'!$B$62,AI45+AH46-AQ45)))</f>
        <v>259.86111111111126</v>
      </c>
      <c r="AJ46" s="13">
        <f>AI46*VLOOKUP('Données projet'!$B$10,Paramètres!$A$1:$I$89,3,0)*VLOOKUP('Données projet'!$B$10,Paramètres!$A$1:$I$89,5,0)</f>
        <v>155.39694444444453</v>
      </c>
      <c r="AK46" s="13">
        <f t="shared" si="35"/>
        <v>39.802526102363792</v>
      </c>
      <c r="AL46" s="20">
        <f t="shared" si="4"/>
        <v>339.97241120235782</v>
      </c>
      <c r="AM46" s="59">
        <f t="shared" si="5"/>
        <v>590.11359266878981</v>
      </c>
      <c r="AN46" s="59">
        <f ca="1">AVERAGE(OFFSET($AM$3,0,0,'Données projet'!$E$10+1,1))-AVERAGE(OFFSET($H$3,0,0,'Données projet'!$E$10+1,1))</f>
        <v>373.47758082856359</v>
      </c>
      <c r="AO46" s="59">
        <f t="shared" si="36"/>
        <v>277.24895424120166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23.699921474358145</v>
      </c>
      <c r="AV46" s="21">
        <f>EXP(-LN(2)/25)*AV45+(1-EXP(-LN(2)/25))/(LN(2)/25)*Calculateur!AQ46*Calculateur!AS46*VLOOKUP('Données projet'!$B$10,Paramètres!$A$1:$I$89,3,0)*0.475*44/12</f>
        <v>19.464655245489809</v>
      </c>
      <c r="AW46" s="21">
        <f>EXP(-LN(2)/2)*AW45+(1-EXP(-LN(2)/2))/(LN(2)/2)*AQ46*AT46*VLOOKUP('Données projet'!$B$10,Paramètres!$A$1:$I$89,3,0)*0.475*44/12</f>
        <v>5.689033900339286</v>
      </c>
      <c r="AX46" s="21">
        <f t="shared" si="6"/>
        <v>48.85361062018724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20.418888888888887</v>
      </c>
      <c r="BD46" s="12">
        <f>IF('Données projet'!$A$88&gt;35,BD45+BC46-BL45,IF(A46&lt;'Données projet'!$A$88,$BA$205^A46,IF(A46='Données projet'!$A$88,'Données projet'!$B$88,BD45+BC46-BL45)))</f>
        <v>405.00333333333322</v>
      </c>
      <c r="BE46" s="13">
        <f>BD46*VLOOKUP('Données projet'!$B$11,Paramètres!$A$1:$I$89,3,0)*VLOOKUP('Données projet'!$B$11,Paramètres!$A$1:$I$89,5,0)</f>
        <v>242.19199333333327</v>
      </c>
      <c r="BF46" s="13">
        <f t="shared" si="37"/>
        <v>58.91089868137653</v>
      </c>
      <c r="BG46" s="20">
        <f t="shared" si="7"/>
        <v>524.42087025895296</v>
      </c>
      <c r="BH46" s="59">
        <f t="shared" si="8"/>
        <v>774.562051725385</v>
      </c>
      <c r="BI46" s="59">
        <f ca="1">AVERAGE(OFFSET($BH$3,0,0,'Données projet'!$E$11+1,1))-AVERAGE(OFFSET($H$3,0,0,'Données projet'!$E$11+1,1))</f>
        <v>460.88622650237176</v>
      </c>
      <c r="BJ46" s="59">
        <f t="shared" si="38"/>
        <v>396.05161661639647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21.404065032558147</v>
      </c>
      <c r="BQ46" s="21">
        <f>EXP(-LN(2)/25)*BQ45+(1-EXP(-LN(2)/25))/(LN(2)/25)*Calculateur!BL46*Calculateur!BN46*VLOOKUP('Données projet'!$B$11,Paramètres!$A$1:$I$89,3,0)*0.475*44/12</f>
        <v>17.733365837508433</v>
      </c>
      <c r="BR46" s="21">
        <f>EXP(-LN(2)/2)*BR45+(1-EXP(-LN(2)/2))/(LN(2)/2)*BL46*BO46*VLOOKUP('Données projet'!$B$11,Paramètres!$A$1:$I$89,3,0)*0.475*44/12</f>
        <v>1.1631575544890123</v>
      </c>
      <c r="BS46" s="22">
        <f t="shared" si="9"/>
        <v>40.300588424555592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21.939999999999998</v>
      </c>
      <c r="BY46" s="12">
        <f>IF('Données projet'!$A$114&gt;35,BY45+BX46-CG45,IF(A46&lt;'Données projet'!$A$114,$BV$205^A46,IF(A46='Données projet'!$A$114,'Données projet'!$B$114,BY45+BX46-CG45)))</f>
        <v>372.18999999999994</v>
      </c>
      <c r="BZ46" s="13">
        <f>BY46*VLOOKUP('Données projet'!$B$12,Paramètres!$A$1:$I$89,3,0)*VLOOKUP('Données projet'!$B$12,Paramètres!$A$1:$I$89,5,0)</f>
        <v>169.34644999999998</v>
      </c>
      <c r="CA46" s="13">
        <f t="shared" si="39"/>
        <v>42.943617328831415</v>
      </c>
      <c r="CB46" s="20">
        <f t="shared" si="10"/>
        <v>369.73853393104804</v>
      </c>
      <c r="CC46" s="59">
        <f t="shared" si="11"/>
        <v>619.87971539748014</v>
      </c>
      <c r="CD46" s="59">
        <f ca="1">AVERAGE(OFFSET($CC$3,0,0,'Données projet'!$E$12+1,1))-AVERAGE(OFFSET($H$3,0,0,'Données projet'!$E$12+1,1))</f>
        <v>341.60063595566282</v>
      </c>
      <c r="CE46" s="59">
        <f t="shared" si="40"/>
        <v>317.05609766344219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33.86987396659412</v>
      </c>
      <c r="CL46" s="21">
        <f>EXP(-LN(2)/25)*CL45+(1-EXP(-LN(2)/25))/(LN(2)/25)*Calculateur!CG46*Calculateur!CI46*VLOOKUP('Données projet'!$B$12,Paramètres!$A$1:$I$89,3,0)*0.475*44/12</f>
        <v>27.78401918865033</v>
      </c>
      <c r="CM46" s="21">
        <f>EXP(-LN(2)/2)*CM45+(1-EXP(-LN(2)/2))/(LN(2)/2)*CG46*CJ46*VLOOKUP('Données projet'!$B$12,Paramètres!$A$1:$I$89,3,0)*0.475*44/12</f>
        <v>8.8034647783345132</v>
      </c>
      <c r="CN46" s="22">
        <f t="shared" si="12"/>
        <v>70.457357933578962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5.5120000000000005</v>
      </c>
      <c r="CT46" s="12">
        <f>IF('Données projet'!$A$140&gt;35,CT45+CS46-DB45,IF(A46&lt;'Données projet'!$A$140,$CQ$205^A46,IF(A46='Données projet'!$A$140,'Données projet'!$B$140,CT45+CS46-DB45)))</f>
        <v>117.82599999999996</v>
      </c>
      <c r="CU46" s="17">
        <f>CT46*VLOOKUP('Données projet'!$B$13,Paramètres!$A$1:$I$89,3,0)*VLOOKUP('Données projet'!$B$13,Paramètres!$A$1:$I$89,5,0)</f>
        <v>123.15173519999996</v>
      </c>
      <c r="CV46" s="13">
        <f t="shared" si="41"/>
        <v>32.408976951334076</v>
      </c>
      <c r="CW46" s="20">
        <f t="shared" si="13"/>
        <v>270.9349069969067</v>
      </c>
      <c r="CX46" s="59">
        <f t="shared" si="14"/>
        <v>521.07608846333869</v>
      </c>
      <c r="CY46" s="59">
        <f ca="1">AVERAGE(OFFSET($CX$3,0,0,'Données projet'!$E$13+1,1))-AVERAGE(OFFSET($H$3,0,0,'Données projet'!$E$13+1,1))</f>
        <v>287.73449456153207</v>
      </c>
      <c r="CZ46" s="59">
        <f t="shared" si="42"/>
        <v>296.74833899433281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6.7499739362078808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6.7499739362078808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4.3352272727272725</v>
      </c>
      <c r="DO46" s="12">
        <f>IF('Données projet'!$A$166&gt;35,DO45+DN46-DW45,IF(A46&lt;'Données projet'!$A$166,$DL$205^A46,IF(A46='Données projet'!$A$166,'Données projet'!$B$166,DO45+DN46-DW45)))</f>
        <v>186.41477272727275</v>
      </c>
      <c r="DP46" s="17">
        <f>DO46*VLOOKUP('Données projet'!$B$14,Paramètres!$A$1:$I$89,3,0)*VLOOKUP('Données projet'!$B$14,Paramètres!$A$1:$I$89,5,0)</f>
        <v>189.02457954545457</v>
      </c>
      <c r="DQ46" s="13">
        <f t="shared" si="43"/>
        <v>47.324236680692024</v>
      </c>
      <c r="DR46" s="20">
        <f t="shared" si="16"/>
        <v>411.64085492720528</v>
      </c>
      <c r="DS46" s="59">
        <f t="shared" si="17"/>
        <v>661.78203639363733</v>
      </c>
      <c r="DT46" s="59">
        <f ca="1">AVERAGE(OFFSET($DS$3,0,0,'Données projet'!$E$14+1,1))-AVERAGE(OFFSET($H$3,0,0,'Données projet'!$E$14+1,1))</f>
        <v>532.34688562681413</v>
      </c>
      <c r="DU46" s="59">
        <f t="shared" si="44"/>
        <v>345.42627129678556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3.8460000000000036</v>
      </c>
      <c r="EJ46" s="12">
        <f>IF('Données projet'!$A$192&gt;35,EJ45+EI46-ER45,IF(A46&lt;'Données projet'!$A$192,$EG$205^A46,IF(A46='Données projet'!$A$192,'Données projet'!$B$192,EJ45+EI46-ER45)))</f>
        <v>192.30799999999994</v>
      </c>
      <c r="EK46" s="17">
        <f>EJ46*VLOOKUP('Données projet'!$B$15,Paramètres!$A$1:$I$89,3,0)*VLOOKUP('Données projet'!$B$15,Paramètres!$A$1:$I$89,5,0)</f>
        <v>174.00027839999993</v>
      </c>
      <c r="EL46" s="13">
        <f t="shared" si="45"/>
        <v>43.984736506015928</v>
      </c>
      <c r="EM46" s="20">
        <f t="shared" si="19"/>
        <v>379.65723429464424</v>
      </c>
      <c r="EN46" s="59">
        <f t="shared" si="20"/>
        <v>629.79841576107628</v>
      </c>
      <c r="EO46" s="59">
        <f ca="1">AVERAGE(OFFSET($EN$3,0,0,'Données projet'!$E$15+1,1))-AVERAGE(OFFSET($H$3,0,0,'Données projet'!$E$15+1,1))</f>
        <v>256.20286603823035</v>
      </c>
      <c r="EP46" s="59">
        <f t="shared" si="46"/>
        <v>364.83827155069434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2.4294652109728654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2.4294652109728654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4.3352272727272725</v>
      </c>
      <c r="FE46" s="12">
        <f>IF('Données projet'!$A$218&gt;35,FE45+FD46-FM45,IF(A46&lt;'Données projet'!$A$218,$FB$205^A46,IF(A46='Données projet'!$A$218,'Données projet'!$B$218,FE45+FD46-FM45)))</f>
        <v>186.41477272727275</v>
      </c>
      <c r="FF46" s="17">
        <f>FE46*VLOOKUP('Données projet'!$B$16,Paramètres!$A$1:$I$89,3,0)*VLOOKUP('Données projet'!$B$16,Paramètres!$A$1:$I$89,5,0)</f>
        <v>125.04702954545456</v>
      </c>
      <c r="FG46" s="13">
        <f t="shared" si="47"/>
        <v>32.849298767660777</v>
      </c>
      <c r="FH46" s="20">
        <f t="shared" si="22"/>
        <v>275.00277181200914</v>
      </c>
      <c r="FI46" s="59">
        <f t="shared" si="23"/>
        <v>525.14395327844113</v>
      </c>
      <c r="FJ46" s="59">
        <f ca="1">AVERAGE(OFFSET($FI$3,0,0,'Données projet'!$E$16+1,1))-AVERAGE(OFFSET($H$3,0,0,'Données projet'!$E$16+1,1))</f>
        <v>380.73695370216979</v>
      </c>
      <c r="FK46" s="59">
        <f t="shared" si="48"/>
        <v>249.34467160415713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4.3352272727272725</v>
      </c>
      <c r="FZ46" s="12">
        <f>IF('Données projet'!$A$244&gt;35,FZ45+FY46-GH45,IF(A46&lt;'Données projet'!$A$244,$FW$205^A46,IF(A46='Données projet'!$A$244,'Données projet'!$B$244,FZ45+FY46-GH45)))</f>
        <v>186.41477272727275</v>
      </c>
      <c r="GA46" s="17">
        <f>FZ46*VLOOKUP('Données projet'!$B$17,Paramètres!$A$1:$I$89,3,0)*VLOOKUP('Données projet'!$B$17,Paramètres!$A$1:$I$89,5,0)</f>
        <v>180.30036818181821</v>
      </c>
      <c r="GB46" s="13">
        <f t="shared" si="49"/>
        <v>45.389006066975007</v>
      </c>
      <c r="GC46" s="20">
        <f t="shared" si="25"/>
        <v>393.07566014998156</v>
      </c>
      <c r="GD46" s="59">
        <f t="shared" si="26"/>
        <v>643.2168416164136</v>
      </c>
      <c r="GE46" s="59">
        <f ca="1">AVERAGE(OFFSET($GD$3,0,0,'Données projet'!$E$17+1,1))-AVERAGE(OFFSET($H$3,0,0,'Données projet'!$E$17+1,1))</f>
        <v>511.7458522930001</v>
      </c>
      <c r="GF46" s="59">
        <f t="shared" si="50"/>
        <v>332.37317679966122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8.1999999999999993</v>
      </c>
      <c r="GU46" s="12">
        <f>IF('Données projet'!$A$270&gt;35,GU45+GT46-HC45,IF(A46&lt;'Données projet'!$A$270,$GR$205^A46,IF(A46='Données projet'!$A$270,'Données projet'!$B$270,GU45+GT46-HC45)))</f>
        <v>188.59999999999997</v>
      </c>
      <c r="GV46" s="17">
        <f>GU46*VLOOKUP('Données projet'!$B$18,Paramètres!$A$1:$I$89,3,0)*VLOOKUP('Données projet'!$B$18,Paramètres!$A$1:$I$89,5,0)</f>
        <v>164.76095999999998</v>
      </c>
      <c r="GW46" s="13">
        <f t="shared" si="51"/>
        <v>41.91452380971991</v>
      </c>
      <c r="GX46" s="20">
        <f t="shared" si="28"/>
        <v>359.9598009685954</v>
      </c>
      <c r="GY46" s="59">
        <f t="shared" si="29"/>
        <v>610.10098243502739</v>
      </c>
      <c r="GZ46" s="59">
        <f ca="1">AVERAGE(OFFSET($GY$3,0,0,'Données projet'!$E$18+1,1))-AVERAGE(OFFSET($H$3,0,0,'Données projet'!$E$18+1,1))</f>
        <v>348.77506423101278</v>
      </c>
      <c r="HA46" s="59">
        <f t="shared" si="52"/>
        <v>336.13747591329548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9.9366846181564341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9.9366846181564341</v>
      </c>
    </row>
    <row r="47" spans="1:218" x14ac:dyDescent="0.2">
      <c r="A47" s="10">
        <f t="shared" si="31"/>
        <v>44</v>
      </c>
      <c r="B47" s="71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5">
        <f t="shared" si="1"/>
        <v>183.33333333333334</v>
      </c>
      <c r="I47" s="6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18.127142857142854</v>
      </c>
      <c r="N47" s="13">
        <f>IF('Données projet'!$A$36&gt;35,N46+M47-V46,IF(A47&lt;'Données projet'!$A$36,$K$205^A47,IF(A47='Données projet'!$A$36,'Données projet'!$B$36,N46+M47-V46)))</f>
        <v>270.62428571428569</v>
      </c>
      <c r="O47" s="13">
        <f>N47*VLOOKUP('Données projet'!$B$9,Paramètres!$A$1:$I$89,3,0)*VLOOKUP('Données projet'!$B$9,Paramètres!$A$1:$I$89,5,0)</f>
        <v>126.6521657142857</v>
      </c>
      <c r="P47" s="13">
        <f t="shared" si="33"/>
        <v>33.221602407666438</v>
      </c>
      <c r="Q47" s="20">
        <f t="shared" si="53"/>
        <v>278.44681281239997</v>
      </c>
      <c r="R47" s="59">
        <f t="shared" si="0"/>
        <v>529.33728155053745</v>
      </c>
      <c r="S47" s="59">
        <f ca="1">AVERAGE(OFFSET($R$3,0,0,'Données projet'!$E$9+1,1))-AVERAGE(OFFSET($H$3,0,0,'Données projet'!$E$9+1,1))</f>
        <v>387.50901594883317</v>
      </c>
      <c r="T47" s="59">
        <f t="shared" si="34"/>
        <v>361.3623790401972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17.95797915140653</v>
      </c>
      <c r="AA47" s="21">
        <f>EXP(-LN(2)/25)*AA46+(1-EXP(-LN(2)/25))/(LN(2)/25)*Calculateur!V47*Calculateur!X47*VLOOKUP('Données projet'!$B$9,Paramètres!$A$1:$I$89,3,0)*0.475*44/12</f>
        <v>22.887943439348746</v>
      </c>
      <c r="AB47" s="21">
        <f>EXP(-LN(2)/2)*AB46+(1-EXP(-LN(2)/2))/(LN(2)/2)*V47*Y47*VLOOKUP('Données projet'!$B$9,Paramètres!$A$1:$I$89,3,0)*0.475*44/12</f>
        <v>14.980079348024114</v>
      </c>
      <c r="AC47" s="22">
        <f t="shared" si="3"/>
        <v>55.826001938779392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15.725555555555552</v>
      </c>
      <c r="AI47" s="13">
        <f>IF('Données projet'!$A$62&gt;35,AI46+AH47-AQ46,IF(A47&lt;'Données projet'!$A$62,$AF$205^A47,IF(A47='Données projet'!$A$62,'Données projet'!$B$62,AI46+AH47-AQ46)))</f>
        <v>275.58666666666682</v>
      </c>
      <c r="AJ47" s="13">
        <f>AI47*VLOOKUP('Données projet'!$B$10,Paramètres!$A$1:$I$89,3,0)*VLOOKUP('Données projet'!$B$10,Paramètres!$A$1:$I$89,5,0)</f>
        <v>164.80082666666678</v>
      </c>
      <c r="AK47" s="13">
        <f t="shared" si="35"/>
        <v>41.923485083367801</v>
      </c>
      <c r="AL47" s="20">
        <f t="shared" si="4"/>
        <v>360.04484296464358</v>
      </c>
      <c r="AM47" s="59">
        <f t="shared" si="5"/>
        <v>610.93531170278106</v>
      </c>
      <c r="AN47" s="59">
        <f ca="1">AVERAGE(OFFSET($AM$3,0,0,'Données projet'!$E$10+1,1))-AVERAGE(OFFSET($H$3,0,0,'Données projet'!$E$10+1,1))</f>
        <v>373.47758082856359</v>
      </c>
      <c r="AO47" s="59">
        <f t="shared" si="36"/>
        <v>277.24895424120166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23.235180469770718</v>
      </c>
      <c r="AV47" s="21">
        <f>EXP(-LN(2)/25)*AV46+(1-EXP(-LN(2)/25))/(LN(2)/25)*Calculateur!AQ47*Calculateur!AS47*VLOOKUP('Données projet'!$B$10,Paramètres!$A$1:$I$89,3,0)*0.475*44/12</f>
        <v>18.932393224200158</v>
      </c>
      <c r="AW47" s="21">
        <f>EXP(-LN(2)/2)*AW46+(1-EXP(-LN(2)/2))/(LN(2)/2)*AQ47*AT47*VLOOKUP('Données projet'!$B$10,Paramètres!$A$1:$I$89,3,0)*0.475*44/12</f>
        <v>4.0227544493300629</v>
      </c>
      <c r="AX47" s="21">
        <f t="shared" si="6"/>
        <v>46.190328143300945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20.418888888888887</v>
      </c>
      <c r="BD47" s="12">
        <f>IF('Données projet'!$A$88&gt;35,BD46+BC47-BL46,IF(A47&lt;'Données projet'!$A$88,$BA$205^A47,IF(A47='Données projet'!$A$88,'Données projet'!$B$88,BD46+BC47-BL46)))</f>
        <v>425.4222222222221</v>
      </c>
      <c r="BE47" s="13">
        <f>BD47*VLOOKUP('Données projet'!$B$11,Paramètres!$A$1:$I$89,3,0)*VLOOKUP('Données projet'!$B$11,Paramètres!$A$1:$I$89,5,0)</f>
        <v>254.40248888888885</v>
      </c>
      <c r="BF47" s="13">
        <f t="shared" si="37"/>
        <v>61.527707660892787</v>
      </c>
      <c r="BG47" s="20">
        <f t="shared" si="7"/>
        <v>550.24509232420291</v>
      </c>
      <c r="BH47" s="59">
        <f t="shared" si="8"/>
        <v>801.13556106234034</v>
      </c>
      <c r="BI47" s="59">
        <f ca="1">AVERAGE(OFFSET($BH$3,0,0,'Données projet'!$E$11+1,1))-AVERAGE(OFFSET($H$3,0,0,'Données projet'!$E$11+1,1))</f>
        <v>460.88622650237176</v>
      </c>
      <c r="BJ47" s="59">
        <f t="shared" si="38"/>
        <v>396.05161661639647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20.98434437246026</v>
      </c>
      <c r="BQ47" s="21">
        <f>EXP(-LN(2)/25)*BQ46+(1-EXP(-LN(2)/25))/(LN(2)/25)*Calculateur!BL47*Calculateur!BN47*VLOOKUP('Données projet'!$B$11,Paramètres!$A$1:$I$89,3,0)*0.475*44/12</f>
        <v>17.248446016124586</v>
      </c>
      <c r="BR47" s="21">
        <f>EXP(-LN(2)/2)*BR46+(1-EXP(-LN(2)/2))/(LN(2)/2)*BL47*BO47*VLOOKUP('Données projet'!$B$11,Paramètres!$A$1:$I$89,3,0)*0.475*44/12</f>
        <v>0.82247659436754172</v>
      </c>
      <c r="BS47" s="22">
        <f t="shared" si="9"/>
        <v>39.055266982952389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21.939999999999998</v>
      </c>
      <c r="BY47" s="12">
        <f>IF('Données projet'!$A$114&gt;35,BY46+BX47-CG46,IF(A47&lt;'Données projet'!$A$114,$BV$205^A47,IF(A47='Données projet'!$A$114,'Données projet'!$B$114,BY46+BX47-CG46)))</f>
        <v>394.12999999999994</v>
      </c>
      <c r="BZ47" s="13">
        <f>BY47*VLOOKUP('Données projet'!$B$12,Paramètres!$A$1:$I$89,3,0)*VLOOKUP('Données projet'!$B$12,Paramètres!$A$1:$I$89,5,0)</f>
        <v>179.32914999999997</v>
      </c>
      <c r="CA47" s="13">
        <f t="shared" si="39"/>
        <v>45.17290198232633</v>
      </c>
      <c r="CB47" s="20">
        <f t="shared" si="10"/>
        <v>391.00774053588492</v>
      </c>
      <c r="CC47" s="59">
        <f t="shared" si="11"/>
        <v>641.89820927402229</v>
      </c>
      <c r="CD47" s="59">
        <f ca="1">AVERAGE(OFFSET($CC$3,0,0,'Données projet'!$E$12+1,1))-AVERAGE(OFFSET($H$3,0,0,'Données projet'!$E$12+1,1))</f>
        <v>341.60063595566282</v>
      </c>
      <c r="CE47" s="59">
        <f t="shared" si="40"/>
        <v>317.05609766344219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33.205706396692463</v>
      </c>
      <c r="CL47" s="21">
        <f>EXP(-LN(2)/25)*CL46+(1-EXP(-LN(2)/25))/(LN(2)/25)*Calculateur!CG47*Calculateur!CI47*VLOOKUP('Données projet'!$B$12,Paramètres!$A$1:$I$89,3,0)*0.475*44/12</f>
        <v>27.024263722838619</v>
      </c>
      <c r="CM47" s="21">
        <f>EXP(-LN(2)/2)*CM46+(1-EXP(-LN(2)/2))/(LN(2)/2)*CG47*CJ47*VLOOKUP('Données projet'!$B$12,Paramètres!$A$1:$I$89,3,0)*0.475*44/12</f>
        <v>6.2249896426972615</v>
      </c>
      <c r="CN47" s="22">
        <f t="shared" si="12"/>
        <v>66.454959762228341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5.5120000000000005</v>
      </c>
      <c r="CT47" s="12">
        <f>IF('Données projet'!$A$140&gt;35,CT46+CS47-DB46,IF(A47&lt;'Données projet'!$A$140,$CQ$205^A47,IF(A47='Données projet'!$A$140,'Données projet'!$B$140,CT46+CS47-DB46)))</f>
        <v>123.33799999999997</v>
      </c>
      <c r="CU47" s="17">
        <f>CT47*VLOOKUP('Données projet'!$B$13,Paramètres!$A$1:$I$89,3,0)*VLOOKUP('Données projet'!$B$13,Paramètres!$A$1:$I$89,5,0)</f>
        <v>128.91287759999997</v>
      </c>
      <c r="CV47" s="13">
        <f t="shared" si="41"/>
        <v>33.745034623125434</v>
      </c>
      <c r="CW47" s="20">
        <f t="shared" si="13"/>
        <v>283.29586378861012</v>
      </c>
      <c r="CX47" s="59">
        <f t="shared" si="14"/>
        <v>534.18633252674749</v>
      </c>
      <c r="CY47" s="59">
        <f ca="1">AVERAGE(OFFSET($CX$3,0,0,'Données projet'!$E$13+1,1))-AVERAGE(OFFSET($H$3,0,0,'Données projet'!$E$13+1,1))</f>
        <v>287.73449456153207</v>
      </c>
      <c r="CZ47" s="59">
        <f t="shared" si="42"/>
        <v>296.74833899433281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6.6176110643964181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6.6176110643964181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190.75</v>
      </c>
      <c r="DM47" s="12">
        <f>VLOOKUP(A47,'Données projet'!$A$165:$I$185,9,0)</f>
        <v>4.3352272727272725</v>
      </c>
      <c r="DN47" s="12">
        <f t="array" ref="DN47">INDEX(DM:DM,MIN(IF(ISNUMBER(DM47:DM243),ROW(DM47:DM243),"")))</f>
        <v>4.3352272727272725</v>
      </c>
      <c r="DO47" s="12">
        <f>IF('Données projet'!$A$166&gt;35,DO46+DN47-DW46,IF(A47&lt;'Données projet'!$A$166,$DL$205^A47,IF(A47='Données projet'!$A$166,'Données projet'!$B$166,DO46+DN47-DW46)))</f>
        <v>190.75000000000003</v>
      </c>
      <c r="DP47" s="17">
        <f>DO47*VLOOKUP('Données projet'!$B$14,Paramètres!$A$1:$I$89,3,0)*VLOOKUP('Données projet'!$B$14,Paramètres!$A$1:$I$89,5,0)</f>
        <v>193.42050000000003</v>
      </c>
      <c r="DQ47" s="13">
        <f t="shared" si="43"/>
        <v>48.295389758327794</v>
      </c>
      <c r="DR47" s="20">
        <f t="shared" si="16"/>
        <v>420.98850799575433</v>
      </c>
      <c r="DS47" s="59">
        <f t="shared" si="17"/>
        <v>671.8789767338917</v>
      </c>
      <c r="DT47" s="59">
        <f ca="1">AVERAGE(OFFSET($DS$3,0,0,'Données projet'!$E$14+1,1))-AVERAGE(OFFSET($H$3,0,0,'Données projet'!$E$14+1,1))</f>
        <v>532.34688562681413</v>
      </c>
      <c r="DU47" s="59">
        <f t="shared" si="44"/>
        <v>345.42627129678556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74.010000000000005</v>
      </c>
      <c r="DX47" s="16">
        <f>IF(ISNA(VLOOKUP(A47,'Données projet'!$A$165:$I$185,5,0)),0%,VLOOKUP(A47,'Données projet'!$A$165:$I$185,5,0)*VLOOKUP('Données projet'!$B$14,Paramètres!$A$1:$I$89,7,0))</f>
        <v>8.6000000000000007E-2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7.1346704986723317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7.1346704986723317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3.8460000000000036</v>
      </c>
      <c r="EJ47" s="12">
        <f>IF('Données projet'!$A$192&gt;35,EJ46+EI47-ER46,IF(A47&lt;'Données projet'!$A$192,$EG$205^A47,IF(A47='Données projet'!$A$192,'Données projet'!$B$192,EJ46+EI47-ER46)))</f>
        <v>196.15399999999994</v>
      </c>
      <c r="EK47" s="17">
        <f>EJ47*VLOOKUP('Données projet'!$B$15,Paramètres!$A$1:$I$89,3,0)*VLOOKUP('Données projet'!$B$15,Paramètres!$A$1:$I$89,5,0)</f>
        <v>177.48013919999994</v>
      </c>
      <c r="EL47" s="13">
        <f t="shared" si="45"/>
        <v>44.761104396820208</v>
      </c>
      <c r="EM47" s="20">
        <f t="shared" si="19"/>
        <v>387.07016593112843</v>
      </c>
      <c r="EN47" s="59">
        <f t="shared" si="20"/>
        <v>637.9606346692658</v>
      </c>
      <c r="EO47" s="59">
        <f ca="1">AVERAGE(OFFSET($EN$3,0,0,'Données projet'!$E$15+1,1))-AVERAGE(OFFSET($H$3,0,0,'Données projet'!$E$15+1,1))</f>
        <v>256.20286603823035</v>
      </c>
      <c r="EP47" s="59">
        <f t="shared" si="46"/>
        <v>364.83827155069434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2.3818248800131481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2.3818248800131481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>
        <f>VLOOKUP(A47,'Données projet'!$A$217:$I$237,2,0)</f>
        <v>190.75</v>
      </c>
      <c r="FC47" s="12">
        <f>VLOOKUP(A47,'Données projet'!$A$217:$I$237,9,0)</f>
        <v>4.3352272727272725</v>
      </c>
      <c r="FD47" s="12">
        <f t="array" ref="FD47">INDEX(FC:FC,MIN(IF(ISNUMBER(FC47:FC243),ROW(FC47:FC243),"")))</f>
        <v>4.3352272727272725</v>
      </c>
      <c r="FE47" s="12">
        <f>IF('Données projet'!$A$218&gt;35,FE46+FD47-FM46,IF(A47&lt;'Données projet'!$A$218,$FB$205^A47,IF(A47='Données projet'!$A$218,'Données projet'!$B$218,FE46+FD47-FM46)))</f>
        <v>190.75000000000003</v>
      </c>
      <c r="FF47" s="17">
        <f>FE47*VLOOKUP('Données projet'!$B$16,Paramètres!$A$1:$I$89,3,0)*VLOOKUP('Données projet'!$B$16,Paramètres!$A$1:$I$89,5,0)</f>
        <v>127.95510000000002</v>
      </c>
      <c r="FG47" s="13">
        <f t="shared" si="47"/>
        <v>33.523407846516932</v>
      </c>
      <c r="FH47" s="20">
        <f t="shared" si="22"/>
        <v>281.24173449935034</v>
      </c>
      <c r="FI47" s="59">
        <f t="shared" si="23"/>
        <v>532.13220323748783</v>
      </c>
      <c r="FJ47" s="59">
        <f ca="1">AVERAGE(OFFSET($FI$3,0,0,'Données projet'!$E$16+1,1))-AVERAGE(OFFSET($H$3,0,0,'Données projet'!$E$16+1,1))</f>
        <v>380.73695370216979</v>
      </c>
      <c r="FK47" s="59">
        <f t="shared" si="48"/>
        <v>249.34467160415713</v>
      </c>
      <c r="FL47" s="15">
        <f>IF(ISNA(VLOOKUP(A47,'Données projet'!$A$217:$I$237,3,0)),0,VLOOKUP(A47,'Données projet'!$A$217:$I$237,3,0))</f>
        <v>1</v>
      </c>
      <c r="FM47" s="15">
        <f>IF(ISNA(VLOOKUP(A47,'Données projet'!$A$217:$I$237,4,0)),0,VLOOKUP(A47,'Données projet'!$A$217:$I$237,4,0))</f>
        <v>74.010000000000005</v>
      </c>
      <c r="FN47" s="16">
        <f>IF(ISNA(VLOOKUP(A47,'Données projet'!$A$217:$I$237,5,0)),0%,VLOOKUP(A47,'Données projet'!$A$217:$I$237,5,0)*VLOOKUP('Données projet'!$B$16,Paramètres!$A$1:$I$89,7,0))</f>
        <v>0.10600000000000001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5.8175005604559002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5.8175005604559002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>
        <f>VLOOKUP(A47,'Données projet'!$A$243:$I$263,2,0)</f>
        <v>190.75</v>
      </c>
      <c r="FX47" s="12">
        <f>VLOOKUP(A47,'Données projet'!$A$243:$I$263,9,0)</f>
        <v>4.3352272727272725</v>
      </c>
      <c r="FY47" s="12">
        <f t="array" ref="FY47">INDEX(FX:FX,MIN(IF(ISNUMBER(FX47:FX243),ROW(FX47:FX243),"")))</f>
        <v>4.3352272727272725</v>
      </c>
      <c r="FZ47" s="12">
        <f>IF('Données projet'!$A$244&gt;35,FZ46+FY47-GH46,IF(A47&lt;'Données projet'!$A$244,$FW$205^A47,IF(A47='Données projet'!$A$244,'Données projet'!$B$244,FZ46+FY47-GH46)))</f>
        <v>190.75000000000003</v>
      </c>
      <c r="GA47" s="17">
        <f>FZ47*VLOOKUP('Données projet'!$B$17,Paramètres!$A$1:$I$89,3,0)*VLOOKUP('Données projet'!$B$17,Paramètres!$A$1:$I$89,5,0)</f>
        <v>184.49340000000004</v>
      </c>
      <c r="GB47" s="13">
        <f t="shared" si="49"/>
        <v>46.320445769429995</v>
      </c>
      <c r="GC47" s="20">
        <f t="shared" si="25"/>
        <v>402.00078138175724</v>
      </c>
      <c r="GD47" s="59">
        <f t="shared" si="26"/>
        <v>652.89125011989472</v>
      </c>
      <c r="GE47" s="59">
        <f ca="1">AVERAGE(OFFSET($GD$3,0,0,'Données projet'!$E$17+1,1))-AVERAGE(OFFSET($H$3,0,0,'Données projet'!$E$17+1,1))</f>
        <v>511.7458522930001</v>
      </c>
      <c r="GF47" s="59">
        <f t="shared" si="50"/>
        <v>332.37317679966122</v>
      </c>
      <c r="GG47" s="15">
        <f>IF(ISNA(VLOOKUP(A47,'Données projet'!$A$243:$I$263,3,0)),0,VLOOKUP(A47,'Données projet'!$A$243:$I$263,3,0))</f>
        <v>1</v>
      </c>
      <c r="GH47" s="15">
        <f>IF(ISNA(VLOOKUP(A47,'Données projet'!$A$243:$I$263,4,0)),0,VLOOKUP(A47,'Données projet'!$A$243:$I$263,4,0))</f>
        <v>74.010000000000005</v>
      </c>
      <c r="GI47" s="16">
        <f>IF(ISNA(VLOOKUP(A47,'Données projet'!$A$243:$I$263,5,0)),0%,VLOOKUP(A47,'Données projet'!$A$243:$I$263,5,0)*VLOOKUP('Données projet'!$B$17,Paramètres!$A$1:$I$89,7,0))</f>
        <v>8.6000000000000007E-2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6.8053780141182232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6.8053780141182232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8.1999999999999993</v>
      </c>
      <c r="GU47" s="12">
        <f>IF('Données projet'!$A$270&gt;35,GU46+GT47-HC46,IF(A47&lt;'Données projet'!$A$270,$GR$205^A47,IF(A47='Données projet'!$A$270,'Données projet'!$B$270,GU46+GT47-HC46)))</f>
        <v>196.79999999999995</v>
      </c>
      <c r="GV47" s="17">
        <f>GU47*VLOOKUP('Données projet'!$B$18,Paramètres!$A$1:$I$89,3,0)*VLOOKUP('Données projet'!$B$18,Paramètres!$A$1:$I$89,5,0)</f>
        <v>171.92447999999999</v>
      </c>
      <c r="GW47" s="13">
        <f t="shared" si="51"/>
        <v>43.520760297647755</v>
      </c>
      <c r="GX47" s="20">
        <f t="shared" si="28"/>
        <v>375.23379351840316</v>
      </c>
      <c r="GY47" s="59">
        <f t="shared" si="29"/>
        <v>626.12426225654053</v>
      </c>
      <c r="GZ47" s="59">
        <f ca="1">AVERAGE(OFFSET($GY$3,0,0,'Données projet'!$E$18+1,1))-AVERAGE(OFFSET($H$3,0,0,'Données projet'!$E$18+1,1))</f>
        <v>348.77506423101278</v>
      </c>
      <c r="HA47" s="59">
        <f t="shared" si="52"/>
        <v>336.13747591329548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9.7418322935735517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9.7418322935735517</v>
      </c>
    </row>
    <row r="48" spans="1:218" x14ac:dyDescent="0.2">
      <c r="A48" s="10">
        <f t="shared" si="31"/>
        <v>45</v>
      </c>
      <c r="B48" s="71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5">
        <f t="shared" si="1"/>
        <v>183.33333333333334</v>
      </c>
      <c r="I48" s="6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18.127142857142854</v>
      </c>
      <c r="N48" s="13">
        <f>IF('Données projet'!$A$36&gt;35,N47+M48-V47,IF(A48&lt;'Données projet'!$A$36,$K$205^A48,IF(A48='Données projet'!$A$36,'Données projet'!$B$36,N47+M48-V47)))</f>
        <v>288.75142857142856</v>
      </c>
      <c r="O48" s="13">
        <f>N48*VLOOKUP('Données projet'!$B$9,Paramètres!$A$1:$I$89,3,0)*VLOOKUP('Données projet'!$B$9,Paramètres!$A$1:$I$89,5,0)</f>
        <v>135.13566857142857</v>
      </c>
      <c r="P48" s="13">
        <f t="shared" si="33"/>
        <v>35.180372380671528</v>
      </c>
      <c r="Q48" s="20">
        <f t="shared" si="53"/>
        <v>296.63377132490763</v>
      </c>
      <c r="R48" s="59">
        <f t="shared" si="0"/>
        <v>548.26052887574178</v>
      </c>
      <c r="S48" s="59">
        <f ca="1">AVERAGE(OFFSET($R$3,0,0,'Données projet'!$E$9+1,1))-AVERAGE(OFFSET($H$3,0,0,'Données projet'!$E$9+1,1))</f>
        <v>387.50901594883317</v>
      </c>
      <c r="T48" s="59">
        <f t="shared" si="34"/>
        <v>361.3623790401972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17.605834133533182</v>
      </c>
      <c r="AA48" s="21">
        <f>EXP(-LN(2)/25)*AA47+(1-EXP(-LN(2)/25))/(LN(2)/25)*Calculateur!V48*Calculateur!X48*VLOOKUP('Données projet'!$B$9,Paramètres!$A$1:$I$89,3,0)*0.475*44/12</f>
        <v>22.262071422375119</v>
      </c>
      <c r="AB48" s="21">
        <f>EXP(-LN(2)/2)*AB47+(1-EXP(-LN(2)/2))/(LN(2)/2)*V48*Y48*VLOOKUP('Données projet'!$B$9,Paramètres!$A$1:$I$89,3,0)*0.475*44/12</f>
        <v>10.592515689700408</v>
      </c>
      <c r="AC48" s="22">
        <f t="shared" si="3"/>
        <v>50.460421245608707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15.725555555555552</v>
      </c>
      <c r="AI48" s="13">
        <f>IF('Données projet'!$A$62&gt;35,AI47+AH48-AQ47,IF(A48&lt;'Données projet'!$A$62,$AF$205^A48,IF(A48='Données projet'!$A$62,'Données projet'!$B$62,AI47+AH48-AQ47)))</f>
        <v>291.31222222222237</v>
      </c>
      <c r="AJ48" s="13">
        <f>AI48*VLOOKUP('Données projet'!$B$10,Paramètres!$A$1:$I$89,3,0)*VLOOKUP('Données projet'!$B$10,Paramètres!$A$1:$I$89,5,0)</f>
        <v>174.204708888889</v>
      </c>
      <c r="AK48" s="13">
        <f t="shared" si="35"/>
        <v>44.030395226989455</v>
      </c>
      <c r="AL48" s="20">
        <f t="shared" si="4"/>
        <v>380.09280633515499</v>
      </c>
      <c r="AM48" s="59">
        <f t="shared" si="5"/>
        <v>631.71956388598915</v>
      </c>
      <c r="AN48" s="59">
        <f ca="1">AVERAGE(OFFSET($AM$3,0,0,'Données projet'!$E$10+1,1))-AVERAGE(OFFSET($H$3,0,0,'Données projet'!$E$10+1,1))</f>
        <v>373.47758082856359</v>
      </c>
      <c r="AO48" s="59">
        <f t="shared" si="36"/>
        <v>277.24895424120166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22.779552752819225</v>
      </c>
      <c r="AV48" s="21">
        <f>EXP(-LN(2)/25)*AV47+(1-EXP(-LN(2)/25))/(LN(2)/25)*Calculateur!AQ48*Calculateur!AS48*VLOOKUP('Données projet'!$B$10,Paramètres!$A$1:$I$89,3,0)*0.475*44/12</f>
        <v>18.414685935873116</v>
      </c>
      <c r="AW48" s="21">
        <f>EXP(-LN(2)/2)*AW47+(1-EXP(-LN(2)/2))/(LN(2)/2)*AQ48*AT48*VLOOKUP('Données projet'!$B$10,Paramètres!$A$1:$I$89,3,0)*0.475*44/12</f>
        <v>2.8445169501696435</v>
      </c>
      <c r="AX48" s="21">
        <f t="shared" si="6"/>
        <v>44.038755638861979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20.418888888888887</v>
      </c>
      <c r="BD48" s="12">
        <f>IF('Données projet'!$A$88&gt;35,BD47+BC48-BL47,IF(A48&lt;'Données projet'!$A$88,$BA$205^A48,IF(A48='Données projet'!$A$88,'Données projet'!$B$88,BD47+BC48-BL47)))</f>
        <v>445.84111111111099</v>
      </c>
      <c r="BE48" s="13">
        <f>BD48*VLOOKUP('Données projet'!$B$11,Paramètres!$A$1:$I$89,3,0)*VLOOKUP('Données projet'!$B$11,Paramètres!$A$1:$I$89,5,0)</f>
        <v>266.61298444444441</v>
      </c>
      <c r="BF48" s="13">
        <f t="shared" si="37"/>
        <v>64.129931842015907</v>
      </c>
      <c r="BG48" s="20">
        <f t="shared" si="7"/>
        <v>576.04391253225162</v>
      </c>
      <c r="BH48" s="59">
        <f t="shared" si="8"/>
        <v>827.67067008308572</v>
      </c>
      <c r="BI48" s="59">
        <f ca="1">AVERAGE(OFFSET($BH$3,0,0,'Données projet'!$E$11+1,1))-AVERAGE(OFFSET($H$3,0,0,'Données projet'!$E$11+1,1))</f>
        <v>460.88622650237176</v>
      </c>
      <c r="BJ48" s="59">
        <f t="shared" si="38"/>
        <v>396.05161661639647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20.572854178502567</v>
      </c>
      <c r="BQ48" s="21">
        <f>EXP(-LN(2)/25)*BQ47+(1-EXP(-LN(2)/25))/(LN(2)/25)*Calculateur!BL48*Calculateur!BN48*VLOOKUP('Données projet'!$B$11,Paramètres!$A$1:$I$89,3,0)*0.475*44/12</f>
        <v>16.776786352757306</v>
      </c>
      <c r="BR48" s="21">
        <f>EXP(-LN(2)/2)*BR47+(1-EXP(-LN(2)/2))/(LN(2)/2)*BL48*BO48*VLOOKUP('Données projet'!$B$11,Paramètres!$A$1:$I$89,3,0)*0.475*44/12</f>
        <v>0.58157877724450613</v>
      </c>
      <c r="BS48" s="22">
        <f t="shared" si="9"/>
        <v>37.931219308504382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21.939999999999998</v>
      </c>
      <c r="BY48" s="12">
        <f>IF('Données projet'!$A$114&gt;35,BY47+BX48-CG47,IF(A48&lt;'Données projet'!$A$114,$BV$205^A48,IF(A48='Données projet'!$A$114,'Données projet'!$B$114,BY47+BX48-CG47)))</f>
        <v>416.06999999999994</v>
      </c>
      <c r="BZ48" s="13">
        <f>BY48*VLOOKUP('Données projet'!$B$12,Paramètres!$A$1:$I$89,3,0)*VLOOKUP('Données projet'!$B$12,Paramètres!$A$1:$I$89,5,0)</f>
        <v>189.31184999999994</v>
      </c>
      <c r="CA48" s="13">
        <f t="shared" si="39"/>
        <v>47.387780543606198</v>
      </c>
      <c r="CB48" s="20">
        <f t="shared" si="10"/>
        <v>412.25185653011403</v>
      </c>
      <c r="CC48" s="59">
        <f t="shared" si="11"/>
        <v>663.87861408094818</v>
      </c>
      <c r="CD48" s="59">
        <f ca="1">AVERAGE(OFFSET($CC$3,0,0,'Données projet'!$E$12+1,1))-AVERAGE(OFFSET($H$3,0,0,'Données projet'!$E$12+1,1))</f>
        <v>341.60063595566282</v>
      </c>
      <c r="CE48" s="59">
        <f t="shared" si="40"/>
        <v>317.05609766344219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32.554562747734359</v>
      </c>
      <c r="CL48" s="21">
        <f>EXP(-LN(2)/25)*CL47+(1-EXP(-LN(2)/25))/(LN(2)/25)*Calculateur!CG48*Calculateur!CI48*VLOOKUP('Données projet'!$B$12,Paramètres!$A$1:$I$89,3,0)*0.475*44/12</f>
        <v>26.285283810193331</v>
      </c>
      <c r="CM48" s="21">
        <f>EXP(-LN(2)/2)*CM47+(1-EXP(-LN(2)/2))/(LN(2)/2)*CG48*CJ48*VLOOKUP('Données projet'!$B$12,Paramètres!$A$1:$I$89,3,0)*0.475*44/12</f>
        <v>4.4017323891672575</v>
      </c>
      <c r="CN48" s="22">
        <f t="shared" si="12"/>
        <v>63.241578947094943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128.85</v>
      </c>
      <c r="CR48" s="12">
        <f>VLOOKUP(A48,'Données projet'!$A$139:$I$159,9,0)</f>
        <v>5.5120000000000005</v>
      </c>
      <c r="CS48" s="12">
        <f t="array" ref="CS48">INDEX(CR:CR,MIN(IF(ISNUMBER(CR48:CR244),ROW(CR48:CR244),"")))</f>
        <v>5.5120000000000005</v>
      </c>
      <c r="CT48" s="12">
        <f>IF('Données projet'!$A$140&gt;35,CT47+CS48-DB47,IF(A48&lt;'Données projet'!$A$140,$CQ$205^A48,IF(A48='Données projet'!$A$140,'Données projet'!$B$140,CT47+CS48-DB47)))</f>
        <v>128.84999999999997</v>
      </c>
      <c r="CU48" s="17">
        <f>CT48*VLOOKUP('Données projet'!$B$13,Paramètres!$A$1:$I$89,3,0)*VLOOKUP('Données projet'!$B$13,Paramètres!$A$1:$I$89,5,0)</f>
        <v>134.67401999999998</v>
      </c>
      <c r="CV48" s="13">
        <f t="shared" si="41"/>
        <v>35.07415781211477</v>
      </c>
      <c r="CW48" s="20">
        <f t="shared" si="13"/>
        <v>295.64474302276653</v>
      </c>
      <c r="CX48" s="59">
        <f t="shared" si="14"/>
        <v>547.27150057360063</v>
      </c>
      <c r="CY48" s="59">
        <f ca="1">AVERAGE(OFFSET($CX$3,0,0,'Données projet'!$E$13+1,1))-AVERAGE(OFFSET($H$3,0,0,'Données projet'!$E$13+1,1))</f>
        <v>287.73449456153207</v>
      </c>
      <c r="CZ48" s="59">
        <f t="shared" si="42"/>
        <v>296.74833899433281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19.87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9.4494961715080894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9.4494961715080894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8.8971428571428586</v>
      </c>
      <c r="DO48" s="12">
        <f>IF('Données projet'!$A$166&gt;35,DO47+DN48-DW47,IF(A48&lt;'Données projet'!$A$166,$DL$205^A48,IF(A48='Données projet'!$A$166,'Données projet'!$B$166,DO47+DN48-DW47)))</f>
        <v>125.63714285714288</v>
      </c>
      <c r="DP48" s="17">
        <f>DO48*VLOOKUP('Données projet'!$B$14,Paramètres!$A$1:$I$89,3,0)*VLOOKUP('Données projet'!$B$14,Paramètres!$A$1:$I$89,5,0)</f>
        <v>127.39606285714289</v>
      </c>
      <c r="DQ48" s="13">
        <f t="shared" si="43"/>
        <v>33.393959195868241</v>
      </c>
      <c r="DR48" s="20">
        <f t="shared" si="16"/>
        <v>280.0426217423277</v>
      </c>
      <c r="DS48" s="59">
        <f t="shared" si="17"/>
        <v>531.6693792931618</v>
      </c>
      <c r="DT48" s="59">
        <f ca="1">AVERAGE(OFFSET($DS$3,0,0,'Données projet'!$E$14+1,1))-AVERAGE(OFFSET($H$3,0,0,'Données projet'!$E$14+1,1))</f>
        <v>532.34688562681413</v>
      </c>
      <c r="DU48" s="59">
        <f t="shared" si="44"/>
        <v>345.42627129678556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6.9947639619126747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6.9947639619126747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200</v>
      </c>
      <c r="EH48" s="12">
        <f>VLOOKUP(A48,'Données projet'!$A$191:$I$211,9,0)</f>
        <v>3.8460000000000036</v>
      </c>
      <c r="EI48" s="12">
        <f t="array" ref="EI48">INDEX(EH:EH,MIN(IF(ISNUMBER(EH48:EH244),ROW(EH48:EH244),"")))</f>
        <v>3.8460000000000036</v>
      </c>
      <c r="EJ48" s="12">
        <f>IF('Données projet'!$A$192&gt;35,EJ47+EI48-ER47,IF(A48&lt;'Données projet'!$A$192,$EG$205^A48,IF(A48='Données projet'!$A$192,'Données projet'!$B$192,EJ47+EI48-ER47)))</f>
        <v>199.99999999999994</v>
      </c>
      <c r="EK48" s="17">
        <f>EJ48*VLOOKUP('Données projet'!$B$15,Paramètres!$A$1:$I$89,3,0)*VLOOKUP('Données projet'!$B$15,Paramètres!$A$1:$I$89,5,0)</f>
        <v>180.95999999999995</v>
      </c>
      <c r="EL48" s="13">
        <f t="shared" si="45"/>
        <v>45.53570231487172</v>
      </c>
      <c r="EM48" s="20">
        <f t="shared" si="19"/>
        <v>394.48001486506814</v>
      </c>
      <c r="EN48" s="59">
        <f t="shared" si="20"/>
        <v>646.10677241590224</v>
      </c>
      <c r="EO48" s="59">
        <f ca="1">AVERAGE(OFFSET($EN$3,0,0,'Données projet'!$E$15+1,1))-AVERAGE(OFFSET($H$3,0,0,'Données projet'!$E$15+1,1))</f>
        <v>256.20286603823035</v>
      </c>
      <c r="EP48" s="59">
        <f t="shared" si="46"/>
        <v>364.83827155069434</v>
      </c>
      <c r="EQ48" s="15">
        <f>IF(ISNA(VLOOKUP(A48,'Données projet'!$A$191:$I$211,3,0)),0,VLOOKUP(A48,'Données projet'!$A$191:$I$211,3,0))</f>
        <v>9</v>
      </c>
      <c r="ER48" s="15">
        <f>IF(ISNA(VLOOKUP(A48,'Données projet'!$A$191:$I$211,4,0)),0,VLOOKUP(A48,'Données projet'!$A$191:$I$211,4,0))</f>
        <v>200</v>
      </c>
      <c r="ES48" s="16">
        <f>IF(ISNA(VLOOKUP(A48,'Données projet'!$A$191:$I$211,5,0)),0%,VLOOKUP(A48,'Données projet'!$A$191:$I$211,5,0)*VLOOKUP('Données projet'!$B$15,Paramètres!$A$1:$I$89,7,0))</f>
        <v>0.24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50.346139518153663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50.346139518153663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8.8971428571428586</v>
      </c>
      <c r="FE48" s="12">
        <f>IF('Données projet'!$A$218&gt;35,FE47+FD48-FM47,IF(A48&lt;'Données projet'!$A$218,$FB$205^A48,IF(A48='Données projet'!$A$218,'Données projet'!$B$218,FE47+FD48-FM47)))</f>
        <v>125.63714285714288</v>
      </c>
      <c r="FF48" s="17">
        <f>FE48*VLOOKUP('Données projet'!$B$16,Paramètres!$A$1:$I$89,3,0)*VLOOKUP('Données projet'!$B$16,Paramètres!$A$1:$I$89,5,0)</f>
        <v>84.277395428571438</v>
      </c>
      <c r="FG48" s="13">
        <f t="shared" si="47"/>
        <v>23.179838061872111</v>
      </c>
      <c r="FH48" s="20">
        <f t="shared" si="22"/>
        <v>187.15468166252251</v>
      </c>
      <c r="FI48" s="59">
        <f t="shared" si="23"/>
        <v>438.78143921335663</v>
      </c>
      <c r="FJ48" s="59">
        <f ca="1">AVERAGE(OFFSET($FI$3,0,0,'Données projet'!$E$16+1,1))-AVERAGE(OFFSET($H$3,0,0,'Données projet'!$E$16+1,1))</f>
        <v>380.73695370216979</v>
      </c>
      <c r="FK48" s="59">
        <f t="shared" si="48"/>
        <v>249.34467160415713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5.7034229227903337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5.7034229227903337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8.8971428571428586</v>
      </c>
      <c r="FZ48" s="12">
        <f>IF('Données projet'!$A$244&gt;35,FZ47+FY48-GH47,IF(A48&lt;'Données projet'!$A$244,$FW$205^A48,IF(A48='Données projet'!$A$244,'Données projet'!$B$244,FZ47+FY48-GH47)))</f>
        <v>125.63714285714288</v>
      </c>
      <c r="GA48" s="17">
        <f>FZ48*VLOOKUP('Données projet'!$B$17,Paramètres!$A$1:$I$89,3,0)*VLOOKUP('Données projet'!$B$17,Paramètres!$A$1:$I$89,5,0)</f>
        <v>121.51624457142859</v>
      </c>
      <c r="GB48" s="13">
        <f t="shared" si="49"/>
        <v>32.028379596875439</v>
      </c>
      <c r="GC48" s="20">
        <f t="shared" si="25"/>
        <v>267.42355375979622</v>
      </c>
      <c r="GD48" s="59">
        <f t="shared" si="26"/>
        <v>519.05031131063038</v>
      </c>
      <c r="GE48" s="59">
        <f ca="1">AVERAGE(OFFSET($GD$3,0,0,'Données projet'!$E$17+1,1))-AVERAGE(OFFSET($H$3,0,0,'Données projet'!$E$17+1,1))</f>
        <v>511.7458522930001</v>
      </c>
      <c r="GF48" s="59">
        <f t="shared" si="50"/>
        <v>332.37317679966122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6.6719287021320888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6.6719287021320888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205</v>
      </c>
      <c r="GS48" s="12">
        <f>VLOOKUP(A48,'Données projet'!$A$269:$I$289,9,0)</f>
        <v>8.1999999999999993</v>
      </c>
      <c r="GT48" s="12">
        <f t="array" ref="GT48">INDEX(GS:GS,MIN(IF(ISNUMBER(GS48:GS244),ROW(GS48:GS244),"")))</f>
        <v>8.1999999999999993</v>
      </c>
      <c r="GU48" s="12">
        <f>IF('Données projet'!$A$270&gt;35,GU47+GT48-HC47,IF(A48&lt;'Données projet'!$A$270,$GR$205^A48,IF(A48='Données projet'!$A$270,'Données projet'!$B$270,GU47+GT48-HC47)))</f>
        <v>204.99999999999994</v>
      </c>
      <c r="GV48" s="17">
        <f>GU48*VLOOKUP('Données projet'!$B$18,Paramètres!$A$1:$I$89,3,0)*VLOOKUP('Données projet'!$B$18,Paramètres!$A$1:$I$89,5,0)</f>
        <v>179.08799999999997</v>
      </c>
      <c r="GW48" s="13">
        <f t="shared" si="51"/>
        <v>45.119223023956835</v>
      </c>
      <c r="GX48" s="20">
        <f t="shared" si="28"/>
        <v>390.49424676672476</v>
      </c>
      <c r="GY48" s="59">
        <f t="shared" si="29"/>
        <v>642.12100431755891</v>
      </c>
      <c r="GZ48" s="59">
        <f ca="1">AVERAGE(OFFSET($GY$3,0,0,'Données projet'!$E$18+1,1))-AVERAGE(OFFSET($H$3,0,0,'Données projet'!$E$18+1,1))</f>
        <v>348.77506423101278</v>
      </c>
      <c r="HA48" s="59">
        <f t="shared" si="52"/>
        <v>336.13747591329548</v>
      </c>
      <c r="HB48" s="15">
        <f>IF(ISNA(VLOOKUP(A48,'Données projet'!$A$269:$I$289,3,0)),0,VLOOKUP(A48,'Données projet'!$A$269:$I$289,3,0))</f>
        <v>7</v>
      </c>
      <c r="HC48" s="15">
        <f>IF(ISNA(VLOOKUP(A48,'Données projet'!$A$269:$I$289,4,0)),0,VLOOKUP(A48,'Données projet'!$A$269:$I$289,4,0))</f>
        <v>22</v>
      </c>
      <c r="HD48" s="16">
        <f>IF(ISNA(VLOOKUP(A48,'Données projet'!$A$269:$I$289,5,0)),0%,VLOOKUP(A48,'Données projet'!$A$269:$I$289,5,0)*VLOOKUP('Données projet'!$B$18,Paramètres!$A$1:$I$89,7,0))</f>
        <v>0.21200000000000002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14.055007243711326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14.055007243711326</v>
      </c>
    </row>
    <row r="49" spans="1:218" x14ac:dyDescent="0.2">
      <c r="A49" s="10">
        <f t="shared" si="31"/>
        <v>46</v>
      </c>
      <c r="B49" s="71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5">
        <f t="shared" si="1"/>
        <v>183.33333333333334</v>
      </c>
      <c r="I49" s="6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18.127142857142854</v>
      </c>
      <c r="N49" s="13">
        <f>IF('Données projet'!$A$36&gt;35,N48+M49-V48,IF(A49&lt;'Données projet'!$A$36,$K$205^A49,IF(A49='Données projet'!$A$36,'Données projet'!$B$36,N48+M49-V48)))</f>
        <v>306.87857142857143</v>
      </c>
      <c r="O49" s="13">
        <f>N49*VLOOKUP('Données projet'!$B$9,Paramètres!$A$1:$I$89,3,0)*VLOOKUP('Données projet'!$B$9,Paramètres!$A$1:$I$89,5,0)</f>
        <v>143.61917142857143</v>
      </c>
      <c r="P49" s="13">
        <f t="shared" si="33"/>
        <v>37.124871268762028</v>
      </c>
      <c r="Q49" s="20">
        <f t="shared" si="53"/>
        <v>314.79587436452249</v>
      </c>
      <c r="R49" s="59">
        <f t="shared" si="0"/>
        <v>567.14614776324811</v>
      </c>
      <c r="S49" s="59">
        <f ca="1">AVERAGE(OFFSET($R$3,0,0,'Données projet'!$E$9+1,1))-AVERAGE(OFFSET($H$3,0,0,'Données projet'!$E$9+1,1))</f>
        <v>387.50901594883317</v>
      </c>
      <c r="T49" s="59">
        <f t="shared" si="34"/>
        <v>361.3623790401972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17.26059446467308</v>
      </c>
      <c r="AA49" s="21">
        <f>EXP(-LN(2)/25)*AA48+(1-EXP(-LN(2)/25))/(LN(2)/25)*Calculateur!V49*Calculateur!X49*VLOOKUP('Données projet'!$B$9,Paramètres!$A$1:$I$89,3,0)*0.475*44/12</f>
        <v>21.653313908618816</v>
      </c>
      <c r="AB49" s="21">
        <f>EXP(-LN(2)/2)*AB48+(1-EXP(-LN(2)/2))/(LN(2)/2)*V49*Y49*VLOOKUP('Données projet'!$B$9,Paramètres!$A$1:$I$89,3,0)*0.475*44/12</f>
        <v>7.4900396740120581</v>
      </c>
      <c r="AC49" s="22">
        <f t="shared" si="3"/>
        <v>46.403948047303956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15.725555555555552</v>
      </c>
      <c r="AI49" s="13">
        <f>IF('Données projet'!$A$62&gt;35,AI48+AH49-AQ48,IF(A49&lt;'Données projet'!$A$62,$AF$205^A49,IF(A49='Données projet'!$A$62,'Données projet'!$B$62,AI48+AH49-AQ48)))</f>
        <v>307.03777777777793</v>
      </c>
      <c r="AJ49" s="13">
        <f>AI49*VLOOKUP('Données projet'!$B$10,Paramètres!$A$1:$I$89,3,0)*VLOOKUP('Données projet'!$B$10,Paramètres!$A$1:$I$89,5,0)</f>
        <v>183.60859111111122</v>
      </c>
      <c r="AK49" s="13">
        <f t="shared" si="35"/>
        <v>46.124101377958297</v>
      </c>
      <c r="AL49" s="20">
        <f t="shared" si="4"/>
        <v>400.11777275179605</v>
      </c>
      <c r="AM49" s="59">
        <f t="shared" si="5"/>
        <v>652.46804615052167</v>
      </c>
      <c r="AN49" s="59">
        <f ca="1">AVERAGE(OFFSET($AM$3,0,0,'Données projet'!$E$10+1,1))-AVERAGE(OFFSET($H$3,0,0,'Données projet'!$E$10+1,1))</f>
        <v>373.47758082856359</v>
      </c>
      <c r="AO49" s="59">
        <f t="shared" si="36"/>
        <v>277.24895424120166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22.332859617491685</v>
      </c>
      <c r="AV49" s="21">
        <f>EXP(-LN(2)/25)*AV48+(1-EXP(-LN(2)/25))/(LN(2)/25)*Calculateur!AQ49*Calculateur!AS49*VLOOKUP('Données projet'!$B$10,Paramètres!$A$1:$I$89,3,0)*0.475*44/12</f>
        <v>17.911135380570421</v>
      </c>
      <c r="AW49" s="21">
        <f>EXP(-LN(2)/2)*AW48+(1-EXP(-LN(2)/2))/(LN(2)/2)*AQ49*AT49*VLOOKUP('Données projet'!$B$10,Paramètres!$A$1:$I$89,3,0)*0.475*44/12</f>
        <v>2.0113772246650319</v>
      </c>
      <c r="AX49" s="21">
        <f t="shared" si="6"/>
        <v>42.255372222727139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466.26</v>
      </c>
      <c r="BB49" s="12">
        <f>VLOOKUP(A49,'Données projet'!$A$87:$I$107,9,0)</f>
        <v>20.418888888888887</v>
      </c>
      <c r="BC49" s="12">
        <f t="array" ref="BC49">INDEX(BB:BB,MIN(IF(ISNUMBER(BB49:BB245),ROW(BB49:BB245),"")))</f>
        <v>20.418888888888887</v>
      </c>
      <c r="BD49" s="12">
        <f>IF('Données projet'!$A$88&gt;35,BD48+BC49-BL48,IF(A49&lt;'Données projet'!$A$88,$BA$205^A49,IF(A49='Données projet'!$A$88,'Données projet'!$B$88,BD48+BC49-BL48)))</f>
        <v>466.25999999999988</v>
      </c>
      <c r="BE49" s="13">
        <f>BD49*VLOOKUP('Données projet'!$B$11,Paramètres!$A$1:$I$89,3,0)*VLOOKUP('Données projet'!$B$11,Paramètres!$A$1:$I$89,5,0)</f>
        <v>278.82347999999996</v>
      </c>
      <c r="BF49" s="13">
        <f t="shared" si="37"/>
        <v>66.718315486273781</v>
      </c>
      <c r="BG49" s="20">
        <f t="shared" si="7"/>
        <v>601.81862713859334</v>
      </c>
      <c r="BH49" s="59">
        <f t="shared" si="8"/>
        <v>854.16890053731902</v>
      </c>
      <c r="BI49" s="59">
        <f ca="1">AVERAGE(OFFSET($BH$3,0,0,'Données projet'!$E$11+1,1))-AVERAGE(OFFSET($H$3,0,0,'Données projet'!$E$11+1,1))</f>
        <v>460.88622650237176</v>
      </c>
      <c r="BJ49" s="59">
        <f t="shared" si="38"/>
        <v>396.05161661639647</v>
      </c>
      <c r="BK49" s="15">
        <f>IF(ISNA(VLOOKUP(A49,'Données projet'!$A$87:$I$107,3,0)),0,VLOOKUP(A49,'Données projet'!$A$87:$I$107,3,0))</f>
        <v>5</v>
      </c>
      <c r="BL49" s="15">
        <f>IF(ISNA(VLOOKUP(A49,'Données projet'!$A$87:$I$107,4,0)),0,VLOOKUP(A49,'Données projet'!$A$87:$I$107,4,0))</f>
        <v>93.13</v>
      </c>
      <c r="BM49" s="16">
        <f>IF(ISNA(VLOOKUP(A49,'Données projet'!$A$87:$I$107,5,0)),0%,VLOOKUP(A49,'Données projet'!$A$87:$I$107,5,0)*VLOOKUP('Données projet'!$B$11,Paramètres!$A$1:$I$89,7,0))</f>
        <v>0.27</v>
      </c>
      <c r="BN49" s="16">
        <f>IF(ISNA(VLOOKUP(A49,'Données projet'!$A$87:$I$107,6,0)),0%,VLOOKUP(A49,'Données projet'!$A$87:$I$107,6,0)*VLOOKUP('Données projet'!$B$11,Paramètres!$A$1:$I$89,7,0))</f>
        <v>9.9000000000000005E-2</v>
      </c>
      <c r="BO49" s="16">
        <f>IF(ISNA(VLOOKUP(A49,'Données projet'!$A$87:$I$107,7,0)),0%,VLOOKUP(A49,'Données projet'!$A$87:$I$107,7,0))</f>
        <v>0.18</v>
      </c>
      <c r="BP49" s="21">
        <f>EXP(-LN(2)/35)*BP48+(1-EXP(-LN(2)/35))/(LN(2)/35)*BL49*BM49*VLOOKUP('Données projet'!$B$11,Paramètres!$A$1:$I$89,3,0)*0.475*44/12</f>
        <v>40.116677397570875</v>
      </c>
      <c r="BQ49" s="21">
        <f>EXP(-LN(2)/25)*BQ48+(1-EXP(-LN(2)/25))/(LN(2)/25)*Calculateur!BL49*Calculateur!BN49*VLOOKUP('Données projet'!$B$11,Paramètres!$A$1:$I$89,3,0)*0.475*44/12</f>
        <v>23.603215875629285</v>
      </c>
      <c r="BR49" s="21">
        <f>EXP(-LN(2)/2)*BR48+(1-EXP(-LN(2)/2))/(LN(2)/2)*BL49*BO49*VLOOKUP('Données projet'!$B$11,Paramètres!$A$1:$I$89,3,0)*0.475*44/12</f>
        <v>11.761315909204153</v>
      </c>
      <c r="BS49" s="22">
        <f t="shared" si="9"/>
        <v>75.481209182404314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21.939999999999998</v>
      </c>
      <c r="BY49" s="12">
        <f>IF('Données projet'!$A$114&gt;35,BY48+BX49-CG48,IF(A49&lt;'Données projet'!$A$114,$BV$205^A49,IF(A49='Données projet'!$A$114,'Données projet'!$B$114,BY48+BX49-CG48)))</f>
        <v>438.00999999999993</v>
      </c>
      <c r="BZ49" s="13">
        <f>BY49*VLOOKUP('Données projet'!$B$12,Paramètres!$A$1:$I$89,3,0)*VLOOKUP('Données projet'!$B$12,Paramètres!$A$1:$I$89,5,0)</f>
        <v>199.29454999999996</v>
      </c>
      <c r="CA49" s="13">
        <f t="shared" si="39"/>
        <v>49.589099298549385</v>
      </c>
      <c r="CB49" s="20">
        <f t="shared" si="10"/>
        <v>433.4723558616401</v>
      </c>
      <c r="CC49" s="59">
        <f t="shared" si="11"/>
        <v>685.82262926036572</v>
      </c>
      <c r="CD49" s="59">
        <f ca="1">AVERAGE(OFFSET($CC$3,0,0,'Données projet'!$E$12+1,1))-AVERAGE(OFFSET($H$3,0,0,'Données projet'!$E$12+1,1))</f>
        <v>341.60063595566282</v>
      </c>
      <c r="CE49" s="59">
        <f t="shared" si="40"/>
        <v>317.05609766344219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31.916187628573915</v>
      </c>
      <c r="CL49" s="21">
        <f>EXP(-LN(2)/25)*CL48+(1-EXP(-LN(2)/25))/(LN(2)/25)*Calculateur!CG49*Calculateur!CI49*VLOOKUP('Données projet'!$B$12,Paramètres!$A$1:$I$89,3,0)*0.475*44/12</f>
        <v>25.566511342120595</v>
      </c>
      <c r="CM49" s="21">
        <f>EXP(-LN(2)/2)*CM48+(1-EXP(-LN(2)/2))/(LN(2)/2)*CG49*CJ49*VLOOKUP('Données projet'!$B$12,Paramètres!$A$1:$I$89,3,0)*0.475*44/12</f>
        <v>3.1124948213486312</v>
      </c>
      <c r="CN49" s="22">
        <f t="shared" si="12"/>
        <v>60.595193792043148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4.998000000000002</v>
      </c>
      <c r="CT49" s="12">
        <f>IF('Données projet'!$A$140&gt;35,CT48+CS49-DB48,IF(A49&lt;'Données projet'!$A$140,$CQ$205^A49,IF(A49='Données projet'!$A$140,'Données projet'!$B$140,CT48+CS49-DB48)))</f>
        <v>113.97799999999995</v>
      </c>
      <c r="CU49" s="17">
        <f>CT49*VLOOKUP('Données projet'!$B$13,Paramètres!$A$1:$I$89,3,0)*VLOOKUP('Données projet'!$B$13,Paramètres!$A$1:$I$89,5,0)</f>
        <v>119.12980559999997</v>
      </c>
      <c r="CV49" s="13">
        <f t="shared" si="41"/>
        <v>31.471954850996308</v>
      </c>
      <c r="CW49" s="20">
        <f t="shared" si="13"/>
        <v>262.2980661188185</v>
      </c>
      <c r="CX49" s="59">
        <f t="shared" si="14"/>
        <v>514.64833951754417</v>
      </c>
      <c r="CY49" s="59">
        <f ca="1">AVERAGE(OFFSET($CX$3,0,0,'Données projet'!$E$13+1,1))-AVERAGE(OFFSET($H$3,0,0,'Données projet'!$E$13+1,1))</f>
        <v>287.73449456153207</v>
      </c>
      <c r="CZ49" s="59">
        <f t="shared" si="42"/>
        <v>296.74833899433281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9.264197315208369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9.264197315208369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8.8971428571428586</v>
      </c>
      <c r="DO49" s="12">
        <f>IF('Données projet'!$A$166&gt;35,DO48+DN49-DW48,IF(A49&lt;'Données projet'!$A$166,$DL$205^A49,IF(A49='Données projet'!$A$166,'Données projet'!$B$166,DO48+DN49-DW48)))</f>
        <v>134.53428571428574</v>
      </c>
      <c r="DP49" s="17">
        <f>DO49*VLOOKUP('Données projet'!$B$14,Paramètres!$A$1:$I$89,3,0)*VLOOKUP('Données projet'!$B$14,Paramètres!$A$1:$I$89,5,0)</f>
        <v>136.41776571428576</v>
      </c>
      <c r="DQ49" s="13">
        <f t="shared" si="43"/>
        <v>35.475132041912033</v>
      </c>
      <c r="DR49" s="20">
        <f t="shared" si="16"/>
        <v>299.38013025871112</v>
      </c>
      <c r="DS49" s="59">
        <f t="shared" si="17"/>
        <v>551.7304036574368</v>
      </c>
      <c r="DT49" s="59">
        <f ca="1">AVERAGE(OFFSET($DS$3,0,0,'Données projet'!$E$14+1,1))-AVERAGE(OFFSET($H$3,0,0,'Données projet'!$E$14+1,1))</f>
        <v>532.34688562681413</v>
      </c>
      <c r="DU49" s="59">
        <f t="shared" si="44"/>
        <v>345.42627129678556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6.8576009070043131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6.8576009070043131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-5.6843418860808015E-14</v>
      </c>
      <c r="EK49" s="17">
        <f>EJ49*VLOOKUP('Données projet'!$B$15,Paramètres!$A$1:$I$89,3,0)*VLOOKUP('Données projet'!$B$15,Paramètres!$A$1:$I$89,5,0)</f>
        <v>-5.1431925385259088E-14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256.20286603823035</v>
      </c>
      <c r="EP49" s="59">
        <f t="shared" si="46"/>
        <v>364.83827155069434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49.358882430315603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49.358882430315603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8.8971428571428586</v>
      </c>
      <c r="FE49" s="12">
        <f>IF('Données projet'!$A$218&gt;35,FE48+FD49-FM48,IF(A49&lt;'Données projet'!$A$218,$FB$205^A49,IF(A49='Données projet'!$A$218,'Données projet'!$B$218,FE48+FD49-FM48)))</f>
        <v>134.53428571428574</v>
      </c>
      <c r="FF49" s="17">
        <f>FE49*VLOOKUP('Données projet'!$B$16,Paramètres!$A$1:$I$89,3,0)*VLOOKUP('Données projet'!$B$16,Paramètres!$A$1:$I$89,5,0)</f>
        <v>90.24559885714288</v>
      </c>
      <c r="FG49" s="13">
        <f t="shared" si="47"/>
        <v>24.624448126438203</v>
      </c>
      <c r="FH49" s="20">
        <f t="shared" si="22"/>
        <v>200.06533182973706</v>
      </c>
      <c r="FI49" s="59">
        <f t="shared" si="23"/>
        <v>452.41560522846271</v>
      </c>
      <c r="FJ49" s="59">
        <f ca="1">AVERAGE(OFFSET($FI$3,0,0,'Données projet'!$E$16+1,1))-AVERAGE(OFFSET($H$3,0,0,'Données projet'!$E$16+1,1))</f>
        <v>380.73695370216979</v>
      </c>
      <c r="FK49" s="59">
        <f t="shared" si="48"/>
        <v>249.34467160415713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5.5915822780189011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5.5915822780189011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8.8971428571428586</v>
      </c>
      <c r="FZ49" s="12">
        <f>IF('Données projet'!$A$244&gt;35,FZ48+FY49-GH48,IF(A49&lt;'Données projet'!$A$244,$FW$205^A49,IF(A49='Données projet'!$A$244,'Données projet'!$B$244,FZ48+FY49-GH48)))</f>
        <v>134.53428571428574</v>
      </c>
      <c r="GA49" s="17">
        <f>FZ49*VLOOKUP('Données projet'!$B$17,Paramètres!$A$1:$I$89,3,0)*VLOOKUP('Données projet'!$B$17,Paramètres!$A$1:$I$89,5,0)</f>
        <v>130.12156114285719</v>
      </c>
      <c r="GB49" s="13">
        <f t="shared" si="49"/>
        <v>34.024447015202</v>
      </c>
      <c r="GC49" s="20">
        <f t="shared" si="25"/>
        <v>285.88763087528645</v>
      </c>
      <c r="GD49" s="59">
        <f t="shared" si="26"/>
        <v>538.23790427401207</v>
      </c>
      <c r="GE49" s="59">
        <f ca="1">AVERAGE(OFFSET($GD$3,0,0,'Données projet'!$E$17+1,1))-AVERAGE(OFFSET($H$3,0,0,'Données projet'!$E$17+1,1))</f>
        <v>511.7458522930001</v>
      </c>
      <c r="GF49" s="59">
        <f t="shared" si="50"/>
        <v>332.37317679966122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6.5410962497579597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6.5410962497579597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7.2</v>
      </c>
      <c r="GU49" s="12">
        <f>IF('Données projet'!$A$270&gt;35,GU48+GT49-HC48,IF(A49&lt;'Données projet'!$A$270,$GR$205^A49,IF(A49='Données projet'!$A$270,'Données projet'!$B$270,GU48+GT49-HC48)))</f>
        <v>190.19999999999993</v>
      </c>
      <c r="GV49" s="17">
        <f>GU49*VLOOKUP('Données projet'!$B$18,Paramètres!$A$1:$I$89,3,0)*VLOOKUP('Données projet'!$B$18,Paramètres!$A$1:$I$89,5,0)</f>
        <v>166.15871999999996</v>
      </c>
      <c r="GW49" s="13">
        <f t="shared" si="51"/>
        <v>42.228563636586387</v>
      </c>
      <c r="GX49" s="20">
        <f t="shared" si="28"/>
        <v>362.94118566705453</v>
      </c>
      <c r="GY49" s="59">
        <f t="shared" si="29"/>
        <v>615.29145906578015</v>
      </c>
      <c r="GZ49" s="59">
        <f ca="1">AVERAGE(OFFSET($GY$3,0,0,'Données projet'!$E$18+1,1))-AVERAGE(OFFSET($H$3,0,0,'Données projet'!$E$18+1,1))</f>
        <v>348.77506423101278</v>
      </c>
      <c r="HA49" s="59">
        <f t="shared" si="52"/>
        <v>336.13747591329548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13.779397124370082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13.779397124370082</v>
      </c>
    </row>
    <row r="50" spans="1:218" x14ac:dyDescent="0.2">
      <c r="A50" s="10">
        <f t="shared" si="31"/>
        <v>47</v>
      </c>
      <c r="B50" s="71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5">
        <f t="shared" si="1"/>
        <v>183.33333333333334</v>
      </c>
      <c r="I50" s="6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18.127142857142854</v>
      </c>
      <c r="N50" s="13">
        <f>IF('Données projet'!$A$36&gt;35,N49+M50-V49,IF(A50&lt;'Données projet'!$A$36,$K$205^A50,IF(A50='Données projet'!$A$36,'Données projet'!$B$36,N49+M50-V49)))</f>
        <v>325.0057142857143</v>
      </c>
      <c r="O50" s="13">
        <f>N50*VLOOKUP('Données projet'!$B$9,Paramètres!$A$1:$I$89,3,0)*VLOOKUP('Données projet'!$B$9,Paramètres!$A$1:$I$89,5,0)</f>
        <v>152.1026742857143</v>
      </c>
      <c r="P50" s="13">
        <f t="shared" si="33"/>
        <v>39.056038076016335</v>
      </c>
      <c r="Q50" s="20">
        <f t="shared" si="53"/>
        <v>332.9347573633475</v>
      </c>
      <c r="R50" s="59">
        <f t="shared" si="0"/>
        <v>585.99599522754283</v>
      </c>
      <c r="S50" s="59">
        <f ca="1">AVERAGE(OFFSET($R$3,0,0,'Données projet'!$E$9+1,1))-AVERAGE(OFFSET($H$3,0,0,'Données projet'!$E$9+1,1))</f>
        <v>387.50901594883317</v>
      </c>
      <c r="T50" s="59">
        <f t="shared" si="34"/>
        <v>361.3623790401972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16.922124735143917</v>
      </c>
      <c r="AA50" s="21">
        <f>EXP(-LN(2)/25)*AA49+(1-EXP(-LN(2)/25))/(LN(2)/25)*Calculateur!V50*Calculateur!X50*VLOOKUP('Données projet'!$B$9,Paramètres!$A$1:$I$89,3,0)*0.475*44/12</f>
        <v>21.061202901089345</v>
      </c>
      <c r="AB50" s="21">
        <f>EXP(-LN(2)/2)*AB49+(1-EXP(-LN(2)/2))/(LN(2)/2)*V50*Y50*VLOOKUP('Données projet'!$B$9,Paramètres!$A$1:$I$89,3,0)*0.475*44/12</f>
        <v>5.2962578448502047</v>
      </c>
      <c r="AC50" s="22">
        <f t="shared" si="3"/>
        <v>43.279585481083465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15.725555555555552</v>
      </c>
      <c r="AI50" s="13">
        <f>IF('Données projet'!$A$62&gt;35,AI49+AH50-AQ49,IF(A50&lt;'Données projet'!$A$62,$AF$205^A50,IF(A50='Données projet'!$A$62,'Données projet'!$B$62,AI49+AH50-AQ49)))</f>
        <v>322.76333333333349</v>
      </c>
      <c r="AJ50" s="13">
        <f>AI50*VLOOKUP('Données projet'!$B$10,Paramètres!$A$1:$I$89,3,0)*VLOOKUP('Données projet'!$B$10,Paramètres!$A$1:$I$89,5,0)</f>
        <v>193.01247333333347</v>
      </c>
      <c r="AK50" s="13">
        <f t="shared" si="35"/>
        <v>48.205356952003704</v>
      </c>
      <c r="AL50" s="20">
        <f t="shared" si="4"/>
        <v>420.12105441362888</v>
      </c>
      <c r="AM50" s="59">
        <f t="shared" si="5"/>
        <v>673.18229227782422</v>
      </c>
      <c r="AN50" s="59">
        <f ca="1">AVERAGE(OFFSET($AM$3,0,0,'Données projet'!$E$10+1,1))-AVERAGE(OFFSET($H$3,0,0,'Données projet'!$E$10+1,1))</f>
        <v>373.47758082856359</v>
      </c>
      <c r="AO50" s="59">
        <f t="shared" si="36"/>
        <v>277.24895424120166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21.894925862092009</v>
      </c>
      <c r="AV50" s="21">
        <f>EXP(-LN(2)/25)*AV49+(1-EXP(-LN(2)/25))/(LN(2)/25)*Calculateur!AQ50*Calculateur!AS50*VLOOKUP('Données projet'!$B$10,Paramètres!$A$1:$I$89,3,0)*0.475*44/12</f>
        <v>17.42135444168305</v>
      </c>
      <c r="AW50" s="21">
        <f>EXP(-LN(2)/2)*AW49+(1-EXP(-LN(2)/2))/(LN(2)/2)*AQ50*AT50*VLOOKUP('Données projet'!$B$10,Paramètres!$A$1:$I$89,3,0)*0.475*44/12</f>
        <v>1.4222584750848219</v>
      </c>
      <c r="AX50" s="21">
        <f t="shared" si="6"/>
        <v>40.738538778859883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17.857000000000006</v>
      </c>
      <c r="BD50" s="12">
        <f>IF('Données projet'!$A$88&gt;35,BD49+BC50-BL49,IF(A50&lt;'Données projet'!$A$88,$BA$205^A50,IF(A50='Données projet'!$A$88,'Données projet'!$B$88,BD49+BC50-BL49)))</f>
        <v>390.98699999999991</v>
      </c>
      <c r="BE50" s="13">
        <f>BD50*VLOOKUP('Données projet'!$B$11,Paramètres!$A$1:$I$89,3,0)*VLOOKUP('Données projet'!$B$11,Paramètres!$A$1:$I$89,5,0)</f>
        <v>233.81022599999997</v>
      </c>
      <c r="BF50" s="13">
        <f t="shared" si="37"/>
        <v>57.105752002945586</v>
      </c>
      <c r="BG50" s="20">
        <f t="shared" si="7"/>
        <v>506.67866168846348</v>
      </c>
      <c r="BH50" s="59">
        <f t="shared" si="8"/>
        <v>759.73989955265893</v>
      </c>
      <c r="BI50" s="59">
        <f ca="1">AVERAGE(OFFSET($BH$3,0,0,'Données projet'!$E$11+1,1))-AVERAGE(OFFSET($H$3,0,0,'Données projet'!$E$11+1,1))</f>
        <v>460.88622650237176</v>
      </c>
      <c r="BJ50" s="59">
        <f t="shared" si="38"/>
        <v>396.05161661639647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39.330013822561632</v>
      </c>
      <c r="BQ50" s="21">
        <f>EXP(-LN(2)/25)*BQ49+(1-EXP(-LN(2)/25))/(LN(2)/25)*Calculateur!BL50*Calculateur!BN50*VLOOKUP('Données projet'!$B$11,Paramètres!$A$1:$I$89,3,0)*0.475*44/12</f>
        <v>22.957784696271027</v>
      </c>
      <c r="BR50" s="21">
        <f>EXP(-LN(2)/2)*BR49+(1-EXP(-LN(2)/2))/(LN(2)/2)*BL50*BO50*VLOOKUP('Données projet'!$B$11,Paramètres!$A$1:$I$89,3,0)*0.475*44/12</f>
        <v>8.316506235075483</v>
      </c>
      <c r="BS50" s="22">
        <f t="shared" si="9"/>
        <v>70.604304753908139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21.939999999999998</v>
      </c>
      <c r="BY50" s="12">
        <f>IF('Données projet'!$A$114&gt;35,BY49+BX50-CG49,IF(A50&lt;'Données projet'!$A$114,$BV$205^A50,IF(A50='Données projet'!$A$114,'Données projet'!$B$114,BY49+BX50-CG49)))</f>
        <v>459.94999999999993</v>
      </c>
      <c r="BZ50" s="13">
        <f>BY50*VLOOKUP('Données projet'!$B$12,Paramètres!$A$1:$I$89,3,0)*VLOOKUP('Données projet'!$B$12,Paramètres!$A$1:$I$89,5,0)</f>
        <v>209.27724999999995</v>
      </c>
      <c r="CA50" s="13">
        <f t="shared" si="39"/>
        <v>51.777614962600595</v>
      </c>
      <c r="CB50" s="20">
        <f t="shared" si="10"/>
        <v>454.67055647652927</v>
      </c>
      <c r="CC50" s="59">
        <f t="shared" si="11"/>
        <v>707.73179434072472</v>
      </c>
      <c r="CD50" s="59">
        <f ca="1">AVERAGE(OFFSET($CC$3,0,0,'Données projet'!$E$12+1,1))-AVERAGE(OFFSET($H$3,0,0,'Données projet'!$E$12+1,1))</f>
        <v>341.60063595566282</v>
      </c>
      <c r="CE50" s="59">
        <f t="shared" si="40"/>
        <v>317.05609766344219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31.290330656129832</v>
      </c>
      <c r="CL50" s="21">
        <f>EXP(-LN(2)/25)*CL49+(1-EXP(-LN(2)/25))/(LN(2)/25)*Calculateur!CG50*Calculateur!CI50*VLOOKUP('Données projet'!$B$12,Paramètres!$A$1:$I$89,3,0)*0.475*44/12</f>
        <v>24.867393744985907</v>
      </c>
      <c r="CM50" s="21">
        <f>EXP(-LN(2)/2)*CM49+(1-EXP(-LN(2)/2))/(LN(2)/2)*CG50*CJ50*VLOOKUP('Données projet'!$B$12,Paramètres!$A$1:$I$89,3,0)*0.475*44/12</f>
        <v>2.2008661945836292</v>
      </c>
      <c r="CN50" s="22">
        <f t="shared" si="12"/>
        <v>58.358590595699376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4.998000000000002</v>
      </c>
      <c r="CT50" s="12">
        <f>IF('Données projet'!$A$140&gt;35,CT49+CS50-DB49,IF(A50&lt;'Données projet'!$A$140,$CQ$205^A50,IF(A50='Données projet'!$A$140,'Données projet'!$B$140,CT49+CS50-DB49)))</f>
        <v>118.97599999999996</v>
      </c>
      <c r="CU50" s="17">
        <f>CT50*VLOOKUP('Données projet'!$B$13,Paramètres!$A$1:$I$89,3,0)*VLOOKUP('Données projet'!$B$13,Paramètres!$A$1:$I$89,5,0)</f>
        <v>124.35371519999997</v>
      </c>
      <c r="CV50" s="13">
        <f t="shared" si="41"/>
        <v>32.688316135178248</v>
      </c>
      <c r="CW50" s="20">
        <f t="shared" si="13"/>
        <v>273.51487124210206</v>
      </c>
      <c r="CX50" s="59">
        <f t="shared" si="14"/>
        <v>526.57610910629751</v>
      </c>
      <c r="CY50" s="59">
        <f ca="1">AVERAGE(OFFSET($CX$3,0,0,'Données projet'!$E$13+1,1))-AVERAGE(OFFSET($H$3,0,0,'Données projet'!$E$13+1,1))</f>
        <v>287.73449456153207</v>
      </c>
      <c r="CZ50" s="59">
        <f t="shared" si="42"/>
        <v>296.74833899433281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9.0825320564595451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9.0825320564595451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8.8971428571428586</v>
      </c>
      <c r="DO50" s="12">
        <f>IF('Données projet'!$A$166&gt;35,DO49+DN50-DW49,IF(A50&lt;'Données projet'!$A$166,$DL$205^A50,IF(A50='Données projet'!$A$166,'Données projet'!$B$166,DO49+DN50-DW49)))</f>
        <v>143.4314285714286</v>
      </c>
      <c r="DP50" s="17">
        <f>DO50*VLOOKUP('Données projet'!$B$14,Paramètres!$A$1:$I$89,3,0)*VLOOKUP('Données projet'!$B$14,Paramètres!$A$1:$I$89,5,0)</f>
        <v>145.43946857142859</v>
      </c>
      <c r="DQ50" s="13">
        <f t="shared" si="43"/>
        <v>37.540333509258133</v>
      </c>
      <c r="DR50" s="20">
        <f t="shared" si="16"/>
        <v>318.68982195719605</v>
      </c>
      <c r="DS50" s="59">
        <f t="shared" si="17"/>
        <v>571.75105982139144</v>
      </c>
      <c r="DT50" s="59">
        <f ca="1">AVERAGE(OFFSET($DS$3,0,0,'Données projet'!$E$14+1,1))-AVERAGE(OFFSET($H$3,0,0,'Données projet'!$E$14+1,1))</f>
        <v>532.34688562681413</v>
      </c>
      <c r="DU50" s="59">
        <f t="shared" si="44"/>
        <v>345.42627129678556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6.7231275359415026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6.7231275359415026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-5.6843418860808015E-14</v>
      </c>
      <c r="EK50" s="17">
        <f>EJ50*VLOOKUP('Données projet'!$B$15,Paramètres!$A$1:$I$89,3,0)*VLOOKUP('Données projet'!$B$15,Paramètres!$A$1:$I$89,5,0)</f>
        <v>-5.1431925385259088E-14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256.20286603823035</v>
      </c>
      <c r="EP50" s="59">
        <f t="shared" si="46"/>
        <v>364.83827155069434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48.390984851802685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48.390984851802685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8.8971428571428586</v>
      </c>
      <c r="FE50" s="12">
        <f>IF('Données projet'!$A$218&gt;35,FE49+FD50-FM49,IF(A50&lt;'Données projet'!$A$218,$FB$205^A50,IF(A50='Données projet'!$A$218,'Données projet'!$B$218,FE49+FD50-FM49)))</f>
        <v>143.4314285714286</v>
      </c>
      <c r="FF50" s="17">
        <f>FE50*VLOOKUP('Données projet'!$B$16,Paramètres!$A$1:$I$89,3,0)*VLOOKUP('Données projet'!$B$16,Paramètres!$A$1:$I$89,5,0)</f>
        <v>96.213802285714294</v>
      </c>
      <c r="FG50" s="13">
        <f t="shared" si="47"/>
        <v>26.05797193526368</v>
      </c>
      <c r="FH50" s="20">
        <f t="shared" si="22"/>
        <v>212.95667343486994</v>
      </c>
      <c r="FI50" s="59">
        <f t="shared" si="23"/>
        <v>466.0179112990653</v>
      </c>
      <c r="FJ50" s="59">
        <f ca="1">AVERAGE(OFFSET($FI$3,0,0,'Données projet'!$E$16+1,1))-AVERAGE(OFFSET($H$3,0,0,'Données projet'!$E$16+1,1))</f>
        <v>380.73695370216979</v>
      </c>
      <c r="FK50" s="59">
        <f t="shared" si="48"/>
        <v>249.34467160415713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5.4819347600753785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5.4819347600753785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8.8971428571428586</v>
      </c>
      <c r="FZ50" s="12">
        <f>IF('Données projet'!$A$244&gt;35,FZ49+FY50-GH49,IF(A50&lt;'Données projet'!$A$244,$FW$205^A50,IF(A50='Données projet'!$A$244,'Données projet'!$B$244,FZ49+FY50-GH49)))</f>
        <v>143.4314285714286</v>
      </c>
      <c r="GA50" s="17">
        <f>FZ50*VLOOKUP('Données projet'!$B$17,Paramètres!$A$1:$I$89,3,0)*VLOOKUP('Données projet'!$B$17,Paramètres!$A$1:$I$89,5,0)</f>
        <v>138.72687771428573</v>
      </c>
      <c r="GB50" s="13">
        <f t="shared" si="49"/>
        <v>36.005196172623563</v>
      </c>
      <c r="GC50" s="20">
        <f t="shared" si="25"/>
        <v>304.32502868636703</v>
      </c>
      <c r="GD50" s="59">
        <f t="shared" si="26"/>
        <v>557.38626655056237</v>
      </c>
      <c r="GE50" s="59">
        <f ca="1">AVERAGE(OFFSET($GD$3,0,0,'Données projet'!$E$17+1,1))-AVERAGE(OFFSET($H$3,0,0,'Données projet'!$E$17+1,1))</f>
        <v>511.7458522930001</v>
      </c>
      <c r="GF50" s="59">
        <f t="shared" si="50"/>
        <v>332.37317679966122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6.4128293419749705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6.4128293419749705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7.2</v>
      </c>
      <c r="GU50" s="12">
        <f>IF('Données projet'!$A$270&gt;35,GU49+GT50-HC49,IF(A50&lt;'Données projet'!$A$270,$GR$205^A50,IF(A50='Données projet'!$A$270,'Données projet'!$B$270,GU49+GT50-HC49)))</f>
        <v>197.39999999999992</v>
      </c>
      <c r="GV50" s="17">
        <f>GU50*VLOOKUP('Données projet'!$B$18,Paramètres!$A$1:$I$89,3,0)*VLOOKUP('Données projet'!$B$18,Paramètres!$A$1:$I$89,5,0)</f>
        <v>172.44863999999995</v>
      </c>
      <c r="GW50" s="13">
        <f t="shared" si="51"/>
        <v>43.637980200453676</v>
      </c>
      <c r="GX50" s="20">
        <f t="shared" si="28"/>
        <v>376.35086351579008</v>
      </c>
      <c r="GY50" s="59">
        <f t="shared" si="29"/>
        <v>629.41210137998542</v>
      </c>
      <c r="GZ50" s="59">
        <f ca="1">AVERAGE(OFFSET($GY$3,0,0,'Données projet'!$E$18+1,1))-AVERAGE(OFFSET($H$3,0,0,'Données projet'!$E$18+1,1))</f>
        <v>348.77506423101278</v>
      </c>
      <c r="HA50" s="59">
        <f t="shared" si="52"/>
        <v>336.13747591329548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13.509191551363545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13.509191551363545</v>
      </c>
    </row>
    <row r="51" spans="1:218" x14ac:dyDescent="0.2">
      <c r="A51" s="10">
        <f t="shared" si="31"/>
        <v>48</v>
      </c>
      <c r="B51" s="71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5">
        <f t="shared" si="1"/>
        <v>183.33333333333334</v>
      </c>
      <c r="I51" s="6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18.127142857142854</v>
      </c>
      <c r="N51" s="13">
        <f>IF('Données projet'!$A$36&gt;35,N50+M51-V50,IF(A51&lt;'Données projet'!$A$36,$K$205^A51,IF(A51='Données projet'!$A$36,'Données projet'!$B$36,N50+M51-V50)))</f>
        <v>343.13285714285718</v>
      </c>
      <c r="O51" s="13">
        <f>N51*VLOOKUP('Données projet'!$B$9,Paramètres!$A$1:$I$89,3,0)*VLOOKUP('Données projet'!$B$9,Paramètres!$A$1:$I$89,5,0)</f>
        <v>160.58617714285717</v>
      </c>
      <c r="P51" s="13">
        <f t="shared" si="33"/>
        <v>40.974701144941157</v>
      </c>
      <c r="Q51" s="20">
        <f t="shared" si="53"/>
        <v>351.05186301791537</v>
      </c>
      <c r="R51" s="59">
        <f t="shared" si="0"/>
        <v>604.81173170358306</v>
      </c>
      <c r="S51" s="59">
        <f ca="1">AVERAGE(OFFSET($R$3,0,0,'Données projet'!$E$9+1,1))-AVERAGE(OFFSET($H$3,0,0,'Données projet'!$E$9+1,1))</f>
        <v>387.50901594883317</v>
      </c>
      <c r="T51" s="59">
        <f t="shared" si="34"/>
        <v>361.3623790401972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16.590292190564671</v>
      </c>
      <c r="AA51" s="21">
        <f>EXP(-LN(2)/25)*AA50+(1-EXP(-LN(2)/25))/(LN(2)/25)*Calculateur!V51*Calculateur!X51*VLOOKUP('Données projet'!$B$9,Paramètres!$A$1:$I$89,3,0)*0.475*44/12</f>
        <v>20.485283200198534</v>
      </c>
      <c r="AB51" s="21">
        <f>EXP(-LN(2)/2)*AB50+(1-EXP(-LN(2)/2))/(LN(2)/2)*V51*Y51*VLOOKUP('Données projet'!$B$9,Paramètres!$A$1:$I$89,3,0)*0.475*44/12</f>
        <v>3.7450198370060299</v>
      </c>
      <c r="AC51" s="22">
        <f t="shared" si="3"/>
        <v>40.820595227769232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15.725555555555552</v>
      </c>
      <c r="AI51" s="13">
        <f>IF('Données projet'!$A$62&gt;35,AI50+AH51-AQ50,IF(A51&lt;'Données projet'!$A$62,$AF$205^A51,IF(A51='Données projet'!$A$62,'Données projet'!$B$62,AI50+AH51-AQ50)))</f>
        <v>338.48888888888905</v>
      </c>
      <c r="AJ51" s="13">
        <f>AI51*VLOOKUP('Données projet'!$B$10,Paramètres!$A$1:$I$89,3,0)*VLOOKUP('Données projet'!$B$10,Paramètres!$A$1:$I$89,5,0)</f>
        <v>202.41635555555567</v>
      </c>
      <c r="AK51" s="13">
        <f t="shared" si="35"/>
        <v>50.274837801805468</v>
      </c>
      <c r="AL51" s="20">
        <f t="shared" si="4"/>
        <v>440.10382843073722</v>
      </c>
      <c r="AM51" s="59">
        <f t="shared" si="5"/>
        <v>693.86369711640486</v>
      </c>
      <c r="AN51" s="59">
        <f ca="1">AVERAGE(OFFSET($AM$3,0,0,'Données projet'!$E$10+1,1))-AVERAGE(OFFSET($H$3,0,0,'Données projet'!$E$10+1,1))</f>
        <v>373.47758082856359</v>
      </c>
      <c r="AO51" s="59">
        <f t="shared" si="36"/>
        <v>277.24895424120166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21.465579720522506</v>
      </c>
      <c r="AV51" s="21">
        <f>EXP(-LN(2)/25)*AV50+(1-EXP(-LN(2)/25))/(LN(2)/25)*Calculateur!AQ51*Calculateur!AS51*VLOOKUP('Données projet'!$B$10,Paramètres!$A$1:$I$89,3,0)*0.475*44/12</f>
        <v>16.944966588326015</v>
      </c>
      <c r="AW51" s="21">
        <f>EXP(-LN(2)/2)*AW50+(1-EXP(-LN(2)/2))/(LN(2)/2)*AQ51*AT51*VLOOKUP('Données projet'!$B$10,Paramètres!$A$1:$I$89,3,0)*0.475*44/12</f>
        <v>1.0056886123325159</v>
      </c>
      <c r="AX51" s="21">
        <f t="shared" si="6"/>
        <v>39.416234921181037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17.857000000000006</v>
      </c>
      <c r="BD51" s="12">
        <f>IF('Données projet'!$A$88&gt;35,BD50+BC51-BL50,IF(A51&lt;'Données projet'!$A$88,$BA$205^A51,IF(A51='Données projet'!$A$88,'Données projet'!$B$88,BD50+BC51-BL50)))</f>
        <v>408.84399999999994</v>
      </c>
      <c r="BE51" s="13">
        <f>BD51*VLOOKUP('Données projet'!$B$11,Paramètres!$A$1:$I$89,3,0)*VLOOKUP('Données projet'!$B$11,Paramètres!$A$1:$I$89,5,0)</f>
        <v>244.48871199999996</v>
      </c>
      <c r="BF51" s="13">
        <f t="shared" si="37"/>
        <v>59.404254729453328</v>
      </c>
      <c r="BG51" s="20">
        <f t="shared" si="7"/>
        <v>529.2802503871311</v>
      </c>
      <c r="BH51" s="59">
        <f t="shared" si="8"/>
        <v>783.0401190727988</v>
      </c>
      <c r="BI51" s="59">
        <f ca="1">AVERAGE(OFFSET($BH$3,0,0,'Données projet'!$E$11+1,1))-AVERAGE(OFFSET($H$3,0,0,'Données projet'!$E$11+1,1))</f>
        <v>460.88622650237176</v>
      </c>
      <c r="BJ51" s="59">
        <f t="shared" si="38"/>
        <v>396.05161661639647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38.55877624044092</v>
      </c>
      <c r="BQ51" s="21">
        <f>EXP(-LN(2)/25)*BQ50+(1-EXP(-LN(2)/25))/(LN(2)/25)*Calculateur!BL51*Calculateur!BN51*VLOOKUP('Données projet'!$B$11,Paramètres!$A$1:$I$89,3,0)*0.475*44/12</f>
        <v>22.33000286645407</v>
      </c>
      <c r="BR51" s="21">
        <f>EXP(-LN(2)/2)*BR50+(1-EXP(-LN(2)/2))/(LN(2)/2)*BL51*BO51*VLOOKUP('Données projet'!$B$11,Paramètres!$A$1:$I$89,3,0)*0.475*44/12</f>
        <v>5.8806579546020785</v>
      </c>
      <c r="BS51" s="22">
        <f t="shared" si="9"/>
        <v>66.769437061497058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21.939999999999998</v>
      </c>
      <c r="BY51" s="12">
        <f>IF('Données projet'!$A$114&gt;35,BY50+BX51-CG50,IF(A51&lt;'Données projet'!$A$114,$BV$205^A51,IF(A51='Données projet'!$A$114,'Données projet'!$B$114,BY50+BX51-CG50)))</f>
        <v>481.88999999999993</v>
      </c>
      <c r="BZ51" s="13">
        <f>BY51*VLOOKUP('Données projet'!$B$12,Paramètres!$A$1:$I$89,3,0)*VLOOKUP('Données projet'!$B$12,Paramètres!$A$1:$I$89,5,0)</f>
        <v>219.25994999999995</v>
      </c>
      <c r="CA51" s="13">
        <f t="shared" si="39"/>
        <v>53.954007980082963</v>
      </c>
      <c r="CB51" s="20">
        <f t="shared" si="10"/>
        <v>475.84764348197768</v>
      </c>
      <c r="CC51" s="59">
        <f t="shared" si="11"/>
        <v>729.60751216764538</v>
      </c>
      <c r="CD51" s="59">
        <f ca="1">AVERAGE(OFFSET($CC$3,0,0,'Données projet'!$E$12+1,1))-AVERAGE(OFFSET($H$3,0,0,'Données projet'!$E$12+1,1))</f>
        <v>341.60063595566282</v>
      </c>
      <c r="CE51" s="59">
        <f t="shared" si="40"/>
        <v>317.05609766344219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30.676746357180317</v>
      </c>
      <c r="CL51" s="21">
        <f>EXP(-LN(2)/25)*CL50+(1-EXP(-LN(2)/25))/(LN(2)/25)*Calculateur!CG51*Calculateur!CI51*VLOOKUP('Données projet'!$B$12,Paramètres!$A$1:$I$89,3,0)*0.475*44/12</f>
        <v>24.187393555309868</v>
      </c>
      <c r="CM51" s="21">
        <f>EXP(-LN(2)/2)*CM50+(1-EXP(-LN(2)/2))/(LN(2)/2)*CG51*CJ51*VLOOKUP('Données projet'!$B$12,Paramètres!$A$1:$I$89,3,0)*0.475*44/12</f>
        <v>1.5562474106743158</v>
      </c>
      <c r="CN51" s="22">
        <f t="shared" si="12"/>
        <v>56.420387323164505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4.998000000000002</v>
      </c>
      <c r="CT51" s="12">
        <f>IF('Données projet'!$A$140&gt;35,CT50+CS51-DB50,IF(A51&lt;'Données projet'!$A$140,$CQ$205^A51,IF(A51='Données projet'!$A$140,'Données projet'!$B$140,CT50+CS51-DB50)))</f>
        <v>123.97399999999996</v>
      </c>
      <c r="CU51" s="17">
        <f>CT51*VLOOKUP('Données projet'!$B$13,Paramètres!$A$1:$I$89,3,0)*VLOOKUP('Données projet'!$B$13,Paramètres!$A$1:$I$89,5,0)</f>
        <v>129.57762479999997</v>
      </c>
      <c r="CV51" s="13">
        <f t="shared" si="41"/>
        <v>33.89874234721384</v>
      </c>
      <c r="CW51" s="20">
        <f t="shared" si="13"/>
        <v>284.72133944806404</v>
      </c>
      <c r="CX51" s="59">
        <f t="shared" si="14"/>
        <v>538.4812081337318</v>
      </c>
      <c r="CY51" s="59">
        <f ca="1">AVERAGE(OFFSET($CX$3,0,0,'Données projet'!$E$13+1,1))-AVERAGE(OFFSET($H$3,0,0,'Données projet'!$E$13+1,1))</f>
        <v>287.73449456153207</v>
      </c>
      <c r="CZ51" s="59">
        <f t="shared" si="42"/>
        <v>296.74833899433281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8.9044291426299189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8.9044291426299189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8.8971428571428586</v>
      </c>
      <c r="DO51" s="12">
        <f>IF('Données projet'!$A$166&gt;35,DO50+DN51-DW50,IF(A51&lt;'Données projet'!$A$166,$DL$205^A51,IF(A51='Données projet'!$A$166,'Données projet'!$B$166,DO50+DN51-DW50)))</f>
        <v>152.32857142857145</v>
      </c>
      <c r="DP51" s="17">
        <f>DO51*VLOOKUP('Données projet'!$B$14,Paramètres!$A$1:$I$89,3,0)*VLOOKUP('Données projet'!$B$14,Paramètres!$A$1:$I$89,5,0)</f>
        <v>154.46117142857148</v>
      </c>
      <c r="DQ51" s="13">
        <f t="shared" si="43"/>
        <v>39.590667107133989</v>
      </c>
      <c r="DR51" s="20">
        <f t="shared" si="16"/>
        <v>337.9736187830203</v>
      </c>
      <c r="DS51" s="59">
        <f t="shared" si="17"/>
        <v>591.73348746868805</v>
      </c>
      <c r="DT51" s="59">
        <f ca="1">AVERAGE(OFFSET($DS$3,0,0,'Données projet'!$E$14+1,1))-AVERAGE(OFFSET($H$3,0,0,'Données projet'!$E$14+1,1))</f>
        <v>532.34688562681413</v>
      </c>
      <c r="DU51" s="59">
        <f t="shared" si="44"/>
        <v>345.42627129678556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6.5912911056645758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6.5912911056645758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-5.6843418860808015E-14</v>
      </c>
      <c r="EK51" s="17">
        <f>EJ51*VLOOKUP('Données projet'!$B$15,Paramètres!$A$1:$I$89,3,0)*VLOOKUP('Données projet'!$B$15,Paramètres!$A$1:$I$89,5,0)</f>
        <v>-5.1431925385259088E-14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256.20286603823035</v>
      </c>
      <c r="EP51" s="59">
        <f t="shared" si="46"/>
        <v>364.83827155069434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47.442067154445169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47.442067154445169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8.8971428571428586</v>
      </c>
      <c r="FE51" s="12">
        <f>IF('Données projet'!$A$218&gt;35,FE50+FD51-FM50,IF(A51&lt;'Données projet'!$A$218,$FB$205^A51,IF(A51='Données projet'!$A$218,'Données projet'!$B$218,FE50+FD51-FM50)))</f>
        <v>152.32857142857145</v>
      </c>
      <c r="FF51" s="17">
        <f>FE51*VLOOKUP('Données projet'!$B$16,Paramètres!$A$1:$I$89,3,0)*VLOOKUP('Données projet'!$B$16,Paramètres!$A$1:$I$89,5,0)</f>
        <v>102.18200571428574</v>
      </c>
      <c r="FG51" s="13">
        <f t="shared" si="47"/>
        <v>27.481175470155055</v>
      </c>
      <c r="FH51" s="20">
        <f t="shared" si="22"/>
        <v>225.83004056290102</v>
      </c>
      <c r="FI51" s="59">
        <f t="shared" si="23"/>
        <v>479.58990924856869</v>
      </c>
      <c r="FJ51" s="59">
        <f ca="1">AVERAGE(OFFSET($FI$3,0,0,'Données projet'!$E$16+1,1))-AVERAGE(OFFSET($H$3,0,0,'Données projet'!$E$16+1,1))</f>
        <v>380.73695370216979</v>
      </c>
      <c r="FK51" s="59">
        <f t="shared" si="48"/>
        <v>249.34467160415713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5.3744373630803457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5.3744373630803457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8.8971428571428586</v>
      </c>
      <c r="FZ51" s="12">
        <f>IF('Données projet'!$A$244&gt;35,FZ50+FY51-GH50,IF(A51&lt;'Données projet'!$A$244,$FW$205^A51,IF(A51='Données projet'!$A$244,'Données projet'!$B$244,FZ50+FY51-GH50)))</f>
        <v>152.32857142857145</v>
      </c>
      <c r="GA51" s="17">
        <f>FZ51*VLOOKUP('Données projet'!$B$17,Paramètres!$A$1:$I$89,3,0)*VLOOKUP('Données projet'!$B$17,Paramètres!$A$1:$I$89,5,0)</f>
        <v>147.33219428571431</v>
      </c>
      <c r="GB51" s="13">
        <f t="shared" si="49"/>
        <v>37.971685452550616</v>
      </c>
      <c r="GC51" s="20">
        <f t="shared" si="25"/>
        <v>322.73759054414472</v>
      </c>
      <c r="GD51" s="59">
        <f t="shared" si="26"/>
        <v>576.49745922981242</v>
      </c>
      <c r="GE51" s="59">
        <f ca="1">AVERAGE(OFFSET($GD$3,0,0,'Données projet'!$E$17+1,1))-AVERAGE(OFFSET($H$3,0,0,'Données projet'!$E$17+1,1))</f>
        <v>511.7458522930001</v>
      </c>
      <c r="GF51" s="59">
        <f t="shared" si="50"/>
        <v>332.37317679966122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6.2870776700185171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6.2870776700185171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7.2</v>
      </c>
      <c r="GU51" s="12">
        <f>IF('Données projet'!$A$270&gt;35,GU50+GT51-HC50,IF(A51&lt;'Données projet'!$A$270,$GR$205^A51,IF(A51='Données projet'!$A$270,'Données projet'!$B$270,GU50+GT51-HC50)))</f>
        <v>204.59999999999991</v>
      </c>
      <c r="GV51" s="17">
        <f>GU51*VLOOKUP('Données projet'!$B$18,Paramètres!$A$1:$I$89,3,0)*VLOOKUP('Données projet'!$B$18,Paramètres!$A$1:$I$89,5,0)</f>
        <v>178.73855999999995</v>
      </c>
      <c r="GW51" s="13">
        <f t="shared" si="51"/>
        <v>45.041424241265332</v>
      </c>
      <c r="GX51" s="20">
        <f t="shared" si="28"/>
        <v>389.75013922020366</v>
      </c>
      <c r="GY51" s="59">
        <f t="shared" si="29"/>
        <v>643.51000790587136</v>
      </c>
      <c r="GZ51" s="59">
        <f ca="1">AVERAGE(OFFSET($GY$3,0,0,'Données projet'!$E$18+1,1))-AVERAGE(OFFSET($H$3,0,0,'Données projet'!$E$18+1,1))</f>
        <v>348.77506423101278</v>
      </c>
      <c r="HA51" s="59">
        <f t="shared" si="52"/>
        <v>336.13747591329548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13.244284544834541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13.244284544834541</v>
      </c>
    </row>
    <row r="52" spans="1:218" x14ac:dyDescent="0.2">
      <c r="A52" s="10">
        <f t="shared" si="31"/>
        <v>49</v>
      </c>
      <c r="B52" s="71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5">
        <f t="shared" si="1"/>
        <v>183.33333333333334</v>
      </c>
      <c r="I52" s="6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361.26</v>
      </c>
      <c r="L52" s="12">
        <f>VLOOKUP(A52,'Données projet'!$A$35:$I$55,9,0)</f>
        <v>18.127142857142854</v>
      </c>
      <c r="M52" s="12">
        <f t="array" ref="M52">INDEX(L:L,MIN(IF(ISNUMBER(L52:L248),ROW(L52:L248),"")))</f>
        <v>18.127142857142854</v>
      </c>
      <c r="N52" s="13">
        <f>IF('Données projet'!$A$36&gt;35,N51+M52-V51,IF(A52&lt;'Données projet'!$A$36,$K$205^A52,IF(A52='Données projet'!$A$36,'Données projet'!$B$36,N51+M52-V51)))</f>
        <v>361.26000000000005</v>
      </c>
      <c r="O52" s="13">
        <f>N52*VLOOKUP('Données projet'!$B$9,Paramètres!$A$1:$I$89,3,0)*VLOOKUP('Données projet'!$B$9,Paramètres!$A$1:$I$89,5,0)</f>
        <v>169.06968000000003</v>
      </c>
      <c r="P52" s="13">
        <f t="shared" si="33"/>
        <v>42.881596355037587</v>
      </c>
      <c r="Q52" s="20">
        <f t="shared" si="53"/>
        <v>369.14847298502383</v>
      </c>
      <c r="R52" s="59">
        <f t="shared" si="0"/>
        <v>623.59485280931585</v>
      </c>
      <c r="S52" s="59">
        <f ca="1">AVERAGE(OFFSET($R$3,0,0,'Données projet'!$E$9+1,1))-AVERAGE(OFFSET($H$3,0,0,'Données projet'!$E$9+1,1))</f>
        <v>387.50901594883317</v>
      </c>
      <c r="T52" s="59">
        <f t="shared" si="34"/>
        <v>361.3623790401972</v>
      </c>
      <c r="U52" s="15">
        <f>IF(ISNA(VLOOKUP(A52,'Données projet'!$A$35:$I$55,3,0)),0,VLOOKUP(A52,'Données projet'!$A$35:$I$55,3,0))</f>
        <v>2</v>
      </c>
      <c r="V52" s="15">
        <f>IF(ISNA(VLOOKUP(A52,'Données projet'!$A$35:$I$55,4,0)),0,VLOOKUP(A52,'Données projet'!$A$35:$I$55,4,0))</f>
        <v>100.16</v>
      </c>
      <c r="W52" s="16">
        <f>IF(ISNA(VLOOKUP(A52,'Données projet'!$A$35:$I$55,5,0)),0%,VLOOKUP(A52,'Données projet'!$A$35:$I$55,5,0)*VLOOKUP('Données projet'!$B$9,Paramètres!$A$1:$I$89,7,0))</f>
        <v>0.22000000000000003</v>
      </c>
      <c r="X52" s="16">
        <f>IF(ISNA(VLOOKUP(A52,'Données projet'!$A$35:$I$55,6,0)),0%,VLOOKUP(A52,'Données projet'!$A$35:$I$55,6,0)*VLOOKUP('Données projet'!$B$9,Paramètres!$A$1:$I$89,7,0))</f>
        <v>0.18700000000000003</v>
      </c>
      <c r="Y52" s="16">
        <f>IF(ISNA(VLOOKUP(A52,'Données projet'!$A$35:$I$55,7,0)),0%,VLOOKUP(A52,'Données projet'!$A$35:$I$55,7,0))</f>
        <v>0.26</v>
      </c>
      <c r="Z52" s="21">
        <f>EXP(-LN(2)/35)*Z51+(1-EXP(-LN(2)/35))/(LN(2)/35)*V52*W52*VLOOKUP('Données projet'!$B$9,Paramètres!$A$1:$I$89,3,0)*0.475*44/12</f>
        <v>29.945127605205393</v>
      </c>
      <c r="AA52" s="21">
        <f>EXP(-LN(2)/25)*AA51+(1-EXP(-LN(2)/25))/(LN(2)/25)*Calculateur!V52*Calculateur!X52*VLOOKUP('Données projet'!$B$9,Paramètres!$A$1:$I$89,3,0)*0.475*44/12</f>
        <v>31.507464435224378</v>
      </c>
      <c r="AB52" s="21">
        <f>EXP(-LN(2)/2)*AB51+(1-EXP(-LN(2)/2))/(LN(2)/2)*V52*Y52*VLOOKUP('Données projet'!$B$9,Paramètres!$A$1:$I$89,3,0)*0.475*44/12</f>
        <v>16.447174722881222</v>
      </c>
      <c r="AC52" s="22">
        <f t="shared" si="3"/>
        <v>77.899766763310993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15.725555555555552</v>
      </c>
      <c r="AI52" s="13">
        <f>IF('Données projet'!$A$62&gt;35,AI51+AH52-AQ51,IF(A52&lt;'Données projet'!$A$62,$AF$205^A52,IF(A52='Données projet'!$A$62,'Données projet'!$B$62,AI51+AH52-AQ51)))</f>
        <v>354.21444444444461</v>
      </c>
      <c r="AJ52" s="13">
        <f>AI52*VLOOKUP('Données projet'!$B$10,Paramètres!$A$1:$I$89,3,0)*VLOOKUP('Données projet'!$B$10,Paramètres!$A$1:$I$89,5,0)</f>
        <v>211.82023777777789</v>
      </c>
      <c r="AK52" s="13">
        <f t="shared" si="35"/>
        <v>52.333153433287507</v>
      </c>
      <c r="AL52" s="20">
        <f t="shared" si="4"/>
        <v>460.06715635927225</v>
      </c>
      <c r="AM52" s="59">
        <f t="shared" si="5"/>
        <v>714.51353618356416</v>
      </c>
      <c r="AN52" s="59">
        <f ca="1">AVERAGE(OFFSET($AM$3,0,0,'Données projet'!$E$10+1,1))-AVERAGE(OFFSET($H$3,0,0,'Données projet'!$E$10+1,1))</f>
        <v>373.47758082856359</v>
      </c>
      <c r="AO52" s="59">
        <f t="shared" si="36"/>
        <v>277.24895424120166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21.04465279491389</v>
      </c>
      <c r="AV52" s="21">
        <f>EXP(-LN(2)/25)*AV51+(1-EXP(-LN(2)/25))/(LN(2)/25)*Calculateur!AQ52*Calculateur!AS52*VLOOKUP('Données projet'!$B$10,Paramètres!$A$1:$I$89,3,0)*0.475*44/12</f>
        <v>16.481605585871176</v>
      </c>
      <c r="AW52" s="21">
        <f>EXP(-LN(2)/2)*AW51+(1-EXP(-LN(2)/2))/(LN(2)/2)*AQ52*AT52*VLOOKUP('Données projet'!$B$10,Paramètres!$A$1:$I$89,3,0)*0.475*44/12</f>
        <v>0.71112923754241097</v>
      </c>
      <c r="AX52" s="21">
        <f t="shared" si="6"/>
        <v>38.237387618327475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17.857000000000006</v>
      </c>
      <c r="BD52" s="12">
        <f>IF('Données projet'!$A$88&gt;35,BD51+BC52-BL51,IF(A52&lt;'Données projet'!$A$88,$BA$205^A52,IF(A52='Données projet'!$A$88,'Données projet'!$B$88,BD51+BC52-BL51)))</f>
        <v>426.70099999999996</v>
      </c>
      <c r="BE52" s="13">
        <f>BD52*VLOOKUP('Données projet'!$B$11,Paramètres!$A$1:$I$89,3,0)*VLOOKUP('Données projet'!$B$11,Paramètres!$A$1:$I$89,5,0)</f>
        <v>255.16719799999998</v>
      </c>
      <c r="BF52" s="13">
        <f t="shared" si="37"/>
        <v>61.691097653105281</v>
      </c>
      <c r="BG52" s="20">
        <f t="shared" si="7"/>
        <v>551.86153159582489</v>
      </c>
      <c r="BH52" s="59">
        <f t="shared" si="8"/>
        <v>806.30791142011685</v>
      </c>
      <c r="BI52" s="59">
        <f ca="1">AVERAGE(OFFSET($BH$3,0,0,'Données projet'!$E$11+1,1))-AVERAGE(OFFSET($H$3,0,0,'Données projet'!$E$11+1,1))</f>
        <v>460.88622650237176</v>
      </c>
      <c r="BJ52" s="59">
        <f t="shared" si="38"/>
        <v>396.05161661639647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37.802662156897121</v>
      </c>
      <c r="BQ52" s="21">
        <f>EXP(-LN(2)/25)*BQ51+(1-EXP(-LN(2)/25))/(LN(2)/25)*Calculateur!BL52*Calculateur!BN52*VLOOKUP('Données projet'!$B$11,Paramètres!$A$1:$I$89,3,0)*0.475*44/12</f>
        <v>21.719387763787068</v>
      </c>
      <c r="BR52" s="21">
        <f>EXP(-LN(2)/2)*BR51+(1-EXP(-LN(2)/2))/(LN(2)/2)*BL52*BO52*VLOOKUP('Données projet'!$B$11,Paramètres!$A$1:$I$89,3,0)*0.475*44/12</f>
        <v>4.1582531175377424</v>
      </c>
      <c r="BS52" s="22">
        <f t="shared" si="9"/>
        <v>63.680303038221929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503.83</v>
      </c>
      <c r="BW52" s="12">
        <f>VLOOKUP(A52,'Données projet'!$A$113:$I$133,9,0)</f>
        <v>21.939999999999998</v>
      </c>
      <c r="BX52" s="12">
        <f t="array" ref="BX52">INDEX(BW:BW,MIN(IF(ISNUMBER(BW52:BW248),ROW(BW52:BW248),"")))</f>
        <v>21.939999999999998</v>
      </c>
      <c r="BY52" s="12">
        <f>IF('Données projet'!$A$114&gt;35,BY51+BX52-CG51,IF(A52&lt;'Données projet'!$A$114,$BV$205^A52,IF(A52='Données projet'!$A$114,'Données projet'!$B$114,BY51+BX52-CG51)))</f>
        <v>503.82999999999993</v>
      </c>
      <c r="BZ52" s="13">
        <f>BY52*VLOOKUP('Données projet'!$B$12,Paramètres!$A$1:$I$89,3,0)*VLOOKUP('Données projet'!$B$12,Paramètres!$A$1:$I$89,5,0)</f>
        <v>229.24264999999997</v>
      </c>
      <c r="CA52" s="13">
        <f t="shared" si="39"/>
        <v>56.118893333017802</v>
      </c>
      <c r="CB52" s="20">
        <f t="shared" si="10"/>
        <v>497.00468797167258</v>
      </c>
      <c r="CC52" s="59">
        <f t="shared" si="11"/>
        <v>751.45106779596449</v>
      </c>
      <c r="CD52" s="59">
        <f ca="1">AVERAGE(OFFSET($CC$3,0,0,'Données projet'!$E$12+1,1))-AVERAGE(OFFSET($H$3,0,0,'Données projet'!$E$12+1,1))</f>
        <v>341.60063595566282</v>
      </c>
      <c r="CE52" s="59">
        <f t="shared" si="40"/>
        <v>317.05609766344219</v>
      </c>
      <c r="CF52" s="15">
        <f>IF(ISNA(VLOOKUP(A52,'Données projet'!$A$113:$I$133,3,0)),0,VLOOKUP(A52,'Données projet'!$A$113:$I$133,3,0))</f>
        <v>6</v>
      </c>
      <c r="CG52" s="15">
        <f>IF(ISNA(VLOOKUP(A52,'Données projet'!$A$113:$I$133,4,0)),0,VLOOKUP(A52,'Données projet'!$A$113:$I$133,4,0))</f>
        <v>112.61</v>
      </c>
      <c r="CH52" s="16">
        <f>IF(ISNA(VLOOKUP(A52,'Données projet'!$A$113:$I$133,5,0)),0%,VLOOKUP(A52,'Données projet'!$A$113:$I$133,5,0)*VLOOKUP('Données projet'!$B$12,Paramètres!$A$1:$I$89,7,0))</f>
        <v>0.33</v>
      </c>
      <c r="CI52" s="16">
        <f>IF(ISNA(VLOOKUP(A52,'Données projet'!$A$113:$I$133,6,0)),0%,VLOOKUP(A52,'Données projet'!$A$113:$I$133,6,0)*VLOOKUP('Données projet'!$B$12,Paramètres!$A$1:$I$89,7,0))</f>
        <v>0.12100000000000001</v>
      </c>
      <c r="CJ52" s="16">
        <f>IF(ISNA(VLOOKUP(A52,'Données projet'!$A$113:$I$133,7,0)),0%,VLOOKUP(A52,'Données projet'!$A$113:$I$133,7,0))</f>
        <v>0.18</v>
      </c>
      <c r="CK52" s="21">
        <f>EXP(-LN(2)/35)*CK51+(1-EXP(-LN(2)/35))/(LN(2)/35)*CG52*CH52*VLOOKUP('Données projet'!$B$12,Paramètres!$A$1:$I$89,3,0)*0.475*44/12</f>
        <v>52.505265234639779</v>
      </c>
      <c r="CL52" s="21">
        <f>EXP(-LN(2)/25)*CL51+(1-EXP(-LN(2)/25))/(LN(2)/25)*Calculateur!CG52*Calculateur!CI52*VLOOKUP('Données projet'!$B$12,Paramètres!$A$1:$I$89,3,0)*0.475*44/12</f>
        <v>31.717964996062879</v>
      </c>
      <c r="CM52" s="21">
        <f>EXP(-LN(2)/2)*CM51+(1-EXP(-LN(2)/2))/(LN(2)/2)*CG52*CJ52*VLOOKUP('Données projet'!$B$12,Paramètres!$A$1:$I$89,3,0)*0.475*44/12</f>
        <v>11.542738709394703</v>
      </c>
      <c r="CN52" s="22">
        <f t="shared" si="12"/>
        <v>95.765968940097352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4.998000000000002</v>
      </c>
      <c r="CT52" s="12">
        <f>IF('Données projet'!$A$140&gt;35,CT51+CS52-DB51,IF(A52&lt;'Données projet'!$A$140,$CQ$205^A52,IF(A52='Données projet'!$A$140,'Données projet'!$B$140,CT51+CS52-DB51)))</f>
        <v>128.97199999999995</v>
      </c>
      <c r="CU52" s="17">
        <f>CT52*VLOOKUP('Données projet'!$B$13,Paramètres!$A$1:$I$89,3,0)*VLOOKUP('Données projet'!$B$13,Paramètres!$A$1:$I$89,5,0)</f>
        <v>134.80153439999998</v>
      </c>
      <c r="CV52" s="13">
        <f t="shared" si="41"/>
        <v>35.103500131653121</v>
      </c>
      <c r="CW52" s="20">
        <f t="shared" si="13"/>
        <v>295.91793514262912</v>
      </c>
      <c r="CX52" s="59">
        <f t="shared" si="14"/>
        <v>550.36431496692103</v>
      </c>
      <c r="CY52" s="59">
        <f ca="1">AVERAGE(OFFSET($CX$3,0,0,'Données projet'!$E$13+1,1))-AVERAGE(OFFSET($H$3,0,0,'Données projet'!$E$13+1,1))</f>
        <v>287.73449456153207</v>
      </c>
      <c r="CZ52" s="59">
        <f t="shared" si="42"/>
        <v>296.74833899433281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8.7298187183084401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8.7298187183084401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8.8971428571428586</v>
      </c>
      <c r="DO52" s="12">
        <f>IF('Données projet'!$A$166&gt;35,DO51+DN52-DW51,IF(A52&lt;'Données projet'!$A$166,$DL$205^A52,IF(A52='Données projet'!$A$166,'Données projet'!$B$166,DO51+DN52-DW51)))</f>
        <v>161.2257142857143</v>
      </c>
      <c r="DP52" s="17">
        <f>DO52*VLOOKUP('Données projet'!$B$14,Paramètres!$A$1:$I$89,3,0)*VLOOKUP('Données projet'!$B$14,Paramètres!$A$1:$I$89,5,0)</f>
        <v>163.4828742857143</v>
      </c>
      <c r="DQ52" s="13">
        <f t="shared" si="43"/>
        <v>41.627100156427311</v>
      </c>
      <c r="DR52" s="20">
        <f t="shared" si="16"/>
        <v>357.23320548672996</v>
      </c>
      <c r="DS52" s="59">
        <f t="shared" si="17"/>
        <v>611.67958531102192</v>
      </c>
      <c r="DT52" s="59">
        <f ca="1">AVERAGE(OFFSET($DS$3,0,0,'Données projet'!$E$14+1,1))-AVERAGE(OFFSET($H$3,0,0,'Données projet'!$E$14+1,1))</f>
        <v>532.34688562681413</v>
      </c>
      <c r="DU52" s="59">
        <f t="shared" si="44"/>
        <v>345.42627129678556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6.4620399073730974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6.4620399073730974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-5.6843418860808015E-14</v>
      </c>
      <c r="EK52" s="17">
        <f>EJ52*VLOOKUP('Données projet'!$B$15,Paramètres!$A$1:$I$89,3,0)*VLOOKUP('Données projet'!$B$15,Paramètres!$A$1:$I$89,5,0)</f>
        <v>-5.1431925385259088E-14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256.20286603823035</v>
      </c>
      <c r="EP52" s="59">
        <f t="shared" si="46"/>
        <v>364.83827155069434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46.511757154350192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46.511757154350192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8.8971428571428586</v>
      </c>
      <c r="FE52" s="12">
        <f>IF('Données projet'!$A$218&gt;35,FE51+FD52-FM51,IF(A52&lt;'Données projet'!$A$218,$FB$205^A52,IF(A52='Données projet'!$A$218,'Données projet'!$B$218,FE51+FD52-FM51)))</f>
        <v>161.2257142857143</v>
      </c>
      <c r="FF52" s="17">
        <f>FE52*VLOOKUP('Données projet'!$B$16,Paramètres!$A$1:$I$89,3,0)*VLOOKUP('Données projet'!$B$16,Paramètres!$A$1:$I$89,5,0)</f>
        <v>108.15020914285715</v>
      </c>
      <c r="FG52" s="13">
        <f t="shared" si="47"/>
        <v>28.894730180142936</v>
      </c>
      <c r="FH52" s="20">
        <f t="shared" si="22"/>
        <v>238.68660265422514</v>
      </c>
      <c r="FI52" s="59">
        <f t="shared" si="23"/>
        <v>493.13298247851708</v>
      </c>
      <c r="FJ52" s="59">
        <f ca="1">AVERAGE(OFFSET($FI$3,0,0,'Données projet'!$E$16+1,1))-AVERAGE(OFFSET($H$3,0,0,'Données projet'!$E$16+1,1))</f>
        <v>380.73695370216979</v>
      </c>
      <c r="FK52" s="59">
        <f t="shared" si="48"/>
        <v>249.34467160415713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5.2690479244734476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5.2690479244734476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8.8971428571428586</v>
      </c>
      <c r="FZ52" s="12">
        <f>IF('Données projet'!$A$244&gt;35,FZ51+FY52-GH51,IF(A52&lt;'Données projet'!$A$244,$FW$205^A52,IF(A52='Données projet'!$A$244,'Données projet'!$B$244,FZ51+FY52-GH51)))</f>
        <v>161.2257142857143</v>
      </c>
      <c r="GA52" s="17">
        <f>FZ52*VLOOKUP('Données projet'!$B$17,Paramètres!$A$1:$I$89,3,0)*VLOOKUP('Données projet'!$B$17,Paramètres!$A$1:$I$89,5,0)</f>
        <v>155.93751085714288</v>
      </c>
      <c r="GB52" s="13">
        <f t="shared" si="49"/>
        <v>39.924842619205378</v>
      </c>
      <c r="GC52" s="20">
        <f t="shared" si="25"/>
        <v>341.12693230463987</v>
      </c>
      <c r="GD52" s="59">
        <f t="shared" si="26"/>
        <v>595.57331212893178</v>
      </c>
      <c r="GE52" s="59">
        <f ca="1">AVERAGE(OFFSET($GD$3,0,0,'Données projet'!$E$17+1,1))-AVERAGE(OFFSET($H$3,0,0,'Données projet'!$E$17+1,1))</f>
        <v>511.7458522930001</v>
      </c>
      <c r="GF52" s="59">
        <f t="shared" si="50"/>
        <v>332.37317679966122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6.1637919116481834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6.1637919116481834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7.2</v>
      </c>
      <c r="GU52" s="12">
        <f>IF('Données projet'!$A$270&gt;35,GU51+GT52-HC51,IF(A52&lt;'Données projet'!$A$270,$GR$205^A52,IF(A52='Données projet'!$A$270,'Données projet'!$B$270,GU51+GT52-HC51)))</f>
        <v>211.7999999999999</v>
      </c>
      <c r="GV52" s="17">
        <f>GU52*VLOOKUP('Données projet'!$B$18,Paramètres!$A$1:$I$89,3,0)*VLOOKUP('Données projet'!$B$18,Paramètres!$A$1:$I$89,5,0)</f>
        <v>185.02847999999992</v>
      </c>
      <c r="GW52" s="13">
        <f t="shared" si="51"/>
        <v>46.439130018745807</v>
      </c>
      <c r="GX52" s="20">
        <f t="shared" si="28"/>
        <v>403.13942078264876</v>
      </c>
      <c r="GY52" s="59">
        <f t="shared" si="29"/>
        <v>657.58580060694067</v>
      </c>
      <c r="GZ52" s="59">
        <f ca="1">AVERAGE(OFFSET($GY$3,0,0,'Données projet'!$E$18+1,1))-AVERAGE(OFFSET($H$3,0,0,'Données projet'!$E$18+1,1))</f>
        <v>348.77506423101278</v>
      </c>
      <c r="HA52" s="59">
        <f t="shared" si="52"/>
        <v>336.13747591329548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12.98457220312625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12.98457220312625</v>
      </c>
    </row>
    <row r="53" spans="1:218" x14ac:dyDescent="0.2">
      <c r="A53" s="10">
        <f t="shared" si="31"/>
        <v>50</v>
      </c>
      <c r="B53" s="71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5">
        <f t="shared" si="1"/>
        <v>183.33333333333334</v>
      </c>
      <c r="I53" s="6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16.944285714285709</v>
      </c>
      <c r="N53" s="13">
        <f>IF('Données projet'!$A$36&gt;35,N52+M53-V52,IF(A53&lt;'Données projet'!$A$36,$K$205^A53,IF(A53='Données projet'!$A$36,'Données projet'!$B$36,N52+M53-V52)))</f>
        <v>278.04428571428571</v>
      </c>
      <c r="O53" s="13">
        <f>N53*VLOOKUP('Données projet'!$B$9,Paramètres!$A$1:$I$89,3,0)*VLOOKUP('Données projet'!$B$9,Paramètres!$A$1:$I$89,5,0)</f>
        <v>130.12472571428572</v>
      </c>
      <c r="P53" s="13">
        <f t="shared" si="33"/>
        <v>34.025178174160651</v>
      </c>
      <c r="Q53" s="20">
        <f t="shared" si="53"/>
        <v>285.89441593904411</v>
      </c>
      <c r="R53" s="59">
        <f t="shared" si="0"/>
        <v>541.01539746851427</v>
      </c>
      <c r="S53" s="59">
        <f ca="1">AVERAGE(OFFSET($R$3,0,0,'Données projet'!$E$9+1,1))-AVERAGE(OFFSET($H$3,0,0,'Données projet'!$E$9+1,1))</f>
        <v>387.50901594883317</v>
      </c>
      <c r="T53" s="59">
        <f t="shared" si="34"/>
        <v>361.3623790401972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29.357921917591664</v>
      </c>
      <c r="AA53" s="21">
        <f>EXP(-LN(2)/25)*AA52+(1-EXP(-LN(2)/25))/(LN(2)/25)*Calculateur!V53*Calculateur!X53*VLOOKUP('Données projet'!$B$9,Paramètres!$A$1:$I$89,3,0)*0.475*44/12</f>
        <v>30.645891163337623</v>
      </c>
      <c r="AB53" s="21">
        <f>EXP(-LN(2)/2)*AB52+(1-EXP(-LN(2)/2))/(LN(2)/2)*V53*Y53*VLOOKUP('Données projet'!$B$9,Paramètres!$A$1:$I$89,3,0)*0.475*44/12</f>
        <v>11.629908777909288</v>
      </c>
      <c r="AC53" s="22">
        <f t="shared" si="3"/>
        <v>71.633721858838584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369.94</v>
      </c>
      <c r="AG53" s="12">
        <f>VLOOKUP(A53,'Données projet'!$A$61:$I$81,9,0)</f>
        <v>15.725555555555552</v>
      </c>
      <c r="AH53" s="12">
        <f t="array" ref="AH53">INDEX(AG:AG,MIN(IF(ISNUMBER(AG53:AG249),ROW(AG53:AG249),"")))</f>
        <v>15.725555555555552</v>
      </c>
      <c r="AI53" s="13">
        <f>IF('Données projet'!$A$62&gt;35,AI52+AH53-AQ52,IF(A53&lt;'Données projet'!$A$62,$AF$205^A53,IF(A53='Données projet'!$A$62,'Données projet'!$B$62,AI52+AH53-AQ52)))</f>
        <v>369.94000000000017</v>
      </c>
      <c r="AJ53" s="13">
        <f>AI53*VLOOKUP('Données projet'!$B$10,Paramètres!$A$1:$I$89,3,0)*VLOOKUP('Données projet'!$B$10,Paramètres!$A$1:$I$89,5,0)</f>
        <v>221.22412000000014</v>
      </c>
      <c r="AK53" s="13">
        <f t="shared" si="35"/>
        <v>54.380856173847832</v>
      </c>
      <c r="AL53" s="20">
        <f t="shared" si="4"/>
        <v>480.01200016945177</v>
      </c>
      <c r="AM53" s="59">
        <f t="shared" si="5"/>
        <v>735.13298169892187</v>
      </c>
      <c r="AN53" s="59">
        <f ca="1">AVERAGE(OFFSET($AM$3,0,0,'Données projet'!$E$10+1,1))-AVERAGE(OFFSET($H$3,0,0,'Données projet'!$E$10+1,1))</f>
        <v>373.47758082856359</v>
      </c>
      <c r="AO53" s="59">
        <f t="shared" si="36"/>
        <v>277.24895424120166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9.9000000000000005E-2</v>
      </c>
      <c r="AT53" s="16">
        <f>IF(ISNA(VLOOKUP(A53,'Données projet'!$A$61:$I$81,7,0)),0%,VLOOKUP(A53,'Données projet'!$A$61:$I$81,7,0))</f>
        <v>0.18</v>
      </c>
      <c r="AU53" s="21">
        <f>EXP(-LN(2)/35)*AU52+(1-EXP(-LN(2)/35))/(LN(2)/35)*AQ53*AR53*VLOOKUP('Données projet'!$B$10,Paramètres!$A$1:$I$89,3,0)*0.475*44/12</f>
        <v>35.667914197240215</v>
      </c>
      <c r="AV53" s="21">
        <f>EXP(-LN(2)/25)*AV52+(1-EXP(-LN(2)/25))/(LN(2)/25)*Calculateur!AQ53*Calculateur!AS53*VLOOKUP('Données projet'!$B$10,Paramètres!$A$1:$I$89,3,0)*0.475*44/12</f>
        <v>21.522383616429885</v>
      </c>
      <c r="AW53" s="21">
        <f>EXP(-LN(2)/2)*AW52+(1-EXP(-LN(2)/2))/(LN(2)/2)*AQ53*AT53*VLOOKUP('Données projet'!$B$10,Paramètres!$A$1:$I$89,3,0)*0.475*44/12</f>
        <v>9.0583629184698218</v>
      </c>
      <c r="AX53" s="21">
        <f t="shared" si="6"/>
        <v>66.248660732139925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17.857000000000006</v>
      </c>
      <c r="BD53" s="12">
        <f>IF('Données projet'!$A$88&gt;35,BD52+BC53-BL52,IF(A53&lt;'Données projet'!$A$88,$BA$205^A53,IF(A53='Données projet'!$A$88,'Données projet'!$B$88,BD52+BC53-BL52)))</f>
        <v>444.55799999999999</v>
      </c>
      <c r="BE53" s="13">
        <f>BD53*VLOOKUP('Données projet'!$B$11,Paramètres!$A$1:$I$89,3,0)*VLOOKUP('Données projet'!$B$11,Paramètres!$A$1:$I$89,5,0)</f>
        <v>265.84568400000001</v>
      </c>
      <c r="BF53" s="13">
        <f t="shared" si="37"/>
        <v>63.96682452128006</v>
      </c>
      <c r="BG53" s="20">
        <f t="shared" si="7"/>
        <v>574.42345234122934</v>
      </c>
      <c r="BH53" s="59">
        <f t="shared" si="8"/>
        <v>829.54443387069944</v>
      </c>
      <c r="BI53" s="59">
        <f ca="1">AVERAGE(OFFSET($BH$3,0,0,'Données projet'!$E$11+1,1))-AVERAGE(OFFSET($H$3,0,0,'Données projet'!$E$11+1,1))</f>
        <v>460.88622650237176</v>
      </c>
      <c r="BJ53" s="59">
        <f t="shared" si="38"/>
        <v>396.05161661639647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37.061375009347557</v>
      </c>
      <c r="BQ53" s="21">
        <f>EXP(-LN(2)/25)*BQ52+(1-EXP(-LN(2)/25))/(LN(2)/25)*Calculateur!BL53*Calculateur!BN53*VLOOKUP('Données projet'!$B$11,Paramètres!$A$1:$I$89,3,0)*0.475*44/12</f>
        <v>21.125469963213348</v>
      </c>
      <c r="BR53" s="21">
        <f>EXP(-LN(2)/2)*BR52+(1-EXP(-LN(2)/2))/(LN(2)/2)*BL53*BO53*VLOOKUP('Données projet'!$B$11,Paramètres!$A$1:$I$89,3,0)*0.475*44/12</f>
        <v>2.9403289773010397</v>
      </c>
      <c r="BS53" s="22">
        <f t="shared" si="9"/>
        <v>61.127173949861948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20.324285714285718</v>
      </c>
      <c r="BY53" s="12">
        <f>IF('Données projet'!$A$114&gt;35,BY52+BX53-CG52,IF(A53&lt;'Données projet'!$A$114,$BV$205^A53,IF(A53='Données projet'!$A$114,'Données projet'!$B$114,BY52+BX53-CG52)))</f>
        <v>411.54428571428559</v>
      </c>
      <c r="BZ53" s="13">
        <f>BY53*VLOOKUP('Données projet'!$B$12,Paramètres!$A$1:$I$89,3,0)*VLOOKUP('Données projet'!$B$12,Paramètres!$A$1:$I$89,5,0)</f>
        <v>187.25264999999993</v>
      </c>
      <c r="CA53" s="13">
        <f t="shared" si="39"/>
        <v>46.932038840325959</v>
      </c>
      <c r="CB53" s="20">
        <f t="shared" si="10"/>
        <v>407.87166639690093</v>
      </c>
      <c r="CC53" s="59">
        <f t="shared" si="11"/>
        <v>662.99264792637109</v>
      </c>
      <c r="CD53" s="59">
        <f ca="1">AVERAGE(OFFSET($CC$3,0,0,'Données projet'!$E$12+1,1))-AVERAGE(OFFSET($H$3,0,0,'Données projet'!$E$12+1,1))</f>
        <v>341.60063595566282</v>
      </c>
      <c r="CE53" s="59">
        <f t="shared" si="40"/>
        <v>317.05609766344219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51.475669008438075</v>
      </c>
      <c r="CL53" s="21">
        <f>EXP(-LN(2)/25)*CL52+(1-EXP(-LN(2)/25))/(LN(2)/25)*Calculateur!CG53*Calculateur!CI53*VLOOKUP('Données projet'!$B$12,Paramètres!$A$1:$I$89,3,0)*0.475*44/12</f>
        <v>30.850635575270253</v>
      </c>
      <c r="CM53" s="21">
        <f>EXP(-LN(2)/2)*CM52+(1-EXP(-LN(2)/2))/(LN(2)/2)*CG53*CJ53*VLOOKUP('Données projet'!$B$12,Paramètres!$A$1:$I$89,3,0)*0.475*44/12</f>
        <v>8.1619488148774533</v>
      </c>
      <c r="CN53" s="22">
        <f t="shared" si="12"/>
        <v>90.488253398585769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133.97</v>
      </c>
      <c r="CR53" s="12">
        <f>VLOOKUP(A53,'Données projet'!$A$139:$I$159,9,0)</f>
        <v>4.998000000000002</v>
      </c>
      <c r="CS53" s="12">
        <f t="array" ref="CS53">INDEX(CR:CR,MIN(IF(ISNUMBER(CR53:CR249),ROW(CR53:CR249),"")))</f>
        <v>4.998000000000002</v>
      </c>
      <c r="CT53" s="12">
        <f>IF('Données projet'!$A$140&gt;35,CT52+CS53-DB52,IF(A53&lt;'Données projet'!$A$140,$CQ$205^A53,IF(A53='Données projet'!$A$140,'Données projet'!$B$140,CT52+CS53-DB52)))</f>
        <v>133.96999999999994</v>
      </c>
      <c r="CU53" s="17">
        <f>CT53*VLOOKUP('Données projet'!$B$13,Paramètres!$A$1:$I$89,3,0)*VLOOKUP('Données projet'!$B$13,Paramètres!$A$1:$I$89,5,0)</f>
        <v>140.02544399999996</v>
      </c>
      <c r="CV53" s="13">
        <f t="shared" si="41"/>
        <v>36.302834296461342</v>
      </c>
      <c r="CW53" s="20">
        <f t="shared" si="13"/>
        <v>307.10508469967004</v>
      </c>
      <c r="CX53" s="59">
        <f t="shared" si="14"/>
        <v>562.22606622914009</v>
      </c>
      <c r="CY53" s="59">
        <f ca="1">AVERAGE(OFFSET($CX$3,0,0,'Données projet'!$E$13+1,1))-AVERAGE(OFFSET($H$3,0,0,'Données projet'!$E$13+1,1))</f>
        <v>287.73449456153207</v>
      </c>
      <c r="CZ53" s="59">
        <f t="shared" si="42"/>
        <v>296.74833899433281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17.95</v>
      </c>
      <c r="DC53" s="16">
        <f>IF(ISNA(VLOOKUP(A53,'Données projet'!$A$139:$I$159,5,0)),0%,VLOOKUP(A53,'Données projet'!$A$139:$I$159,5,0)*VLOOKUP('Données projet'!$B$13,Paramètres!$A$1:$I$89,7,0))</f>
        <v>0.17200000000000001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12.125930469765699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12.125930469765699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8.8971428571428586</v>
      </c>
      <c r="DO53" s="12">
        <f>IF('Données projet'!$A$166&gt;35,DO52+DN53-DW52,IF(A53&lt;'Données projet'!$A$166,$DL$205^A53,IF(A53='Données projet'!$A$166,'Données projet'!$B$166,DO52+DN53-DW52)))</f>
        <v>170.12285714285716</v>
      </c>
      <c r="DP53" s="17">
        <f>DO53*VLOOKUP('Données projet'!$B$14,Paramètres!$A$1:$I$89,3,0)*VLOOKUP('Données projet'!$B$14,Paramètres!$A$1:$I$89,5,0)</f>
        <v>172.50457714285716</v>
      </c>
      <c r="DQ53" s="13">
        <f t="shared" si="43"/>
        <v>43.650487186242977</v>
      </c>
      <c r="DR53" s="20">
        <f t="shared" si="16"/>
        <v>376.47007037318275</v>
      </c>
      <c r="DS53" s="59">
        <f t="shared" si="17"/>
        <v>631.59105190265291</v>
      </c>
      <c r="DT53" s="59">
        <f ca="1">AVERAGE(OFFSET($DS$3,0,0,'Données projet'!$E$14+1,1))-AVERAGE(OFFSET($H$3,0,0,'Données projet'!$E$14+1,1))</f>
        <v>532.34688562681413</v>
      </c>
      <c r="DU53" s="59">
        <f t="shared" si="44"/>
        <v>345.42627129678556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6.335323246244668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6.335323246244668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-5.6843418860808015E-14</v>
      </c>
      <c r="EK53" s="17">
        <f>EJ53*VLOOKUP('Données projet'!$B$15,Paramètres!$A$1:$I$89,3,0)*VLOOKUP('Données projet'!$B$15,Paramètres!$A$1:$I$89,5,0)</f>
        <v>-5.1431925385259088E-14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256.20286603823035</v>
      </c>
      <c r="EP53" s="59">
        <f t="shared" si="46"/>
        <v>364.83827155069434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45.599689965924007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45.599689965924007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8.8971428571428586</v>
      </c>
      <c r="FE53" s="12">
        <f>IF('Données projet'!$A$218&gt;35,FE52+FD53-FM52,IF(A53&lt;'Données projet'!$A$218,$FB$205^A53,IF(A53='Données projet'!$A$218,'Données projet'!$B$218,FE52+FD53-FM52)))</f>
        <v>170.12285714285716</v>
      </c>
      <c r="FF53" s="17">
        <f>FE53*VLOOKUP('Données projet'!$B$16,Paramètres!$A$1:$I$89,3,0)*VLOOKUP('Données projet'!$B$16,Paramètres!$A$1:$I$89,5,0)</f>
        <v>114.11841257142858</v>
      </c>
      <c r="FG53" s="13">
        <f t="shared" si="47"/>
        <v>30.299229221796629</v>
      </c>
      <c r="FH53" s="20">
        <f t="shared" si="22"/>
        <v>251.52739278986724</v>
      </c>
      <c r="FI53" s="59">
        <f t="shared" si="23"/>
        <v>506.64837431933734</v>
      </c>
      <c r="FJ53" s="59">
        <f ca="1">AVERAGE(OFFSET($FI$3,0,0,'Données projet'!$E$16+1,1))-AVERAGE(OFFSET($H$3,0,0,'Données projet'!$E$16+1,1))</f>
        <v>380.73695370216979</v>
      </c>
      <c r="FK53" s="59">
        <f t="shared" si="48"/>
        <v>249.34467160415713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5.1657251084764209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5.1657251084764209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8.8971428571428586</v>
      </c>
      <c r="FZ53" s="12">
        <f>IF('Données projet'!$A$244&gt;35,FZ52+FY53-GH52,IF(A53&lt;'Données projet'!$A$244,$FW$205^A53,IF(A53='Données projet'!$A$244,'Données projet'!$B$244,FZ52+FY53-GH52)))</f>
        <v>170.12285714285716</v>
      </c>
      <c r="GA53" s="17">
        <f>FZ53*VLOOKUP('Données projet'!$B$17,Paramètres!$A$1:$I$89,3,0)*VLOOKUP('Données projet'!$B$17,Paramètres!$A$1:$I$89,5,0)</f>
        <v>164.54282742857143</v>
      </c>
      <c r="GB53" s="13">
        <f t="shared" si="49"/>
        <v>41.865487257423354</v>
      </c>
      <c r="GC53" s="20">
        <f t="shared" si="25"/>
        <v>359.49448141144086</v>
      </c>
      <c r="GD53" s="59">
        <f t="shared" si="26"/>
        <v>614.6154629409109</v>
      </c>
      <c r="GE53" s="59">
        <f ca="1">AVERAGE(OFFSET($GD$3,0,0,'Données projet'!$E$17+1,1))-AVERAGE(OFFSET($H$3,0,0,'Données projet'!$E$17+1,1))</f>
        <v>511.7458522930001</v>
      </c>
      <c r="GF53" s="59">
        <f t="shared" si="50"/>
        <v>332.37317679966122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6.0429237118026045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6.0429237118026045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219</v>
      </c>
      <c r="GS53" s="12">
        <f>VLOOKUP(A53,'Données projet'!$A$269:$I$289,9,0)</f>
        <v>7.2</v>
      </c>
      <c r="GT53" s="12">
        <f t="array" ref="GT53">INDEX(GS:GS,MIN(IF(ISNUMBER(GS53:GS249),ROW(GS53:GS249),"")))</f>
        <v>7.2</v>
      </c>
      <c r="GU53" s="12">
        <f>IF('Données projet'!$A$270&gt;35,GU52+GT53-HC52,IF(A53&lt;'Données projet'!$A$270,$GR$205^A53,IF(A53='Données projet'!$A$270,'Données projet'!$B$270,GU52+GT53-HC52)))</f>
        <v>218.99999999999989</v>
      </c>
      <c r="GV53" s="17">
        <f>GU53*VLOOKUP('Données projet'!$B$18,Paramètres!$A$1:$I$89,3,0)*VLOOKUP('Données projet'!$B$18,Paramètres!$A$1:$I$89,5,0)</f>
        <v>191.31839999999991</v>
      </c>
      <c r="GW53" s="13">
        <f t="shared" si="51"/>
        <v>47.831314962098354</v>
      </c>
      <c r="GX53" s="20">
        <f t="shared" si="28"/>
        <v>416.51908689232118</v>
      </c>
      <c r="GY53" s="59">
        <f t="shared" si="29"/>
        <v>671.64006842179128</v>
      </c>
      <c r="GZ53" s="59">
        <f ca="1">AVERAGE(OFFSET($GY$3,0,0,'Données projet'!$E$18+1,1))-AVERAGE(OFFSET($H$3,0,0,'Données projet'!$E$18+1,1))</f>
        <v>348.77506423101278</v>
      </c>
      <c r="HA53" s="59">
        <f t="shared" si="52"/>
        <v>336.13747591329548</v>
      </c>
      <c r="HB53" s="15">
        <f>IF(ISNA(VLOOKUP(A53,'Données projet'!$A$269:$I$289,3,0)),0,VLOOKUP(A53,'Données projet'!$A$269:$I$289,3,0))</f>
        <v>8</v>
      </c>
      <c r="HC53" s="15">
        <f>IF(ISNA(VLOOKUP(A53,'Données projet'!$A$269:$I$289,4,0)),0,VLOOKUP(A53,'Données projet'!$A$269:$I$289,4,0))</f>
        <v>17</v>
      </c>
      <c r="HD53" s="16">
        <f>IF(ISNA(VLOOKUP(A53,'Données projet'!$A$269:$I$289,5,0)),0%,VLOOKUP(A53,'Données projet'!$A$269:$I$289,5,0)*VLOOKUP('Données projet'!$B$18,Paramètres!$A$1:$I$89,7,0))</f>
        <v>0.21200000000000002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16.210475742540162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16.210475742540162</v>
      </c>
    </row>
    <row r="54" spans="1:218" x14ac:dyDescent="0.2">
      <c r="A54" s="10">
        <f t="shared" si="31"/>
        <v>51</v>
      </c>
      <c r="B54" s="71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5">
        <f t="shared" si="1"/>
        <v>183.33333333333334</v>
      </c>
      <c r="I54" s="6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16.944285714285709</v>
      </c>
      <c r="N54" s="13">
        <f>IF('Données projet'!$A$36&gt;35,N53+M54-V53,IF(A54&lt;'Données projet'!$A$36,$K$205^A54,IF(A54='Données projet'!$A$36,'Données projet'!$B$36,N53+M54-V53)))</f>
        <v>294.98857142857139</v>
      </c>
      <c r="O54" s="13">
        <f>N54*VLOOKUP('Données projet'!$B$9,Paramètres!$A$1:$I$89,3,0)*VLOOKUP('Données projet'!$B$9,Paramètres!$A$1:$I$89,5,0)</f>
        <v>138.05465142857142</v>
      </c>
      <c r="P54" s="13">
        <f t="shared" si="33"/>
        <v>35.850991174438484</v>
      </c>
      <c r="Q54" s="20">
        <f t="shared" si="53"/>
        <v>302.88566086690889</v>
      </c>
      <c r="R54" s="59">
        <f t="shared" si="0"/>
        <v>558.66954127015572</v>
      </c>
      <c r="S54" s="59">
        <f ca="1">AVERAGE(OFFSET($R$3,0,0,'Données projet'!$E$9+1,1))-AVERAGE(OFFSET($H$3,0,0,'Données projet'!$E$9+1,1))</f>
        <v>387.50901594883317</v>
      </c>
      <c r="T54" s="59">
        <f t="shared" si="34"/>
        <v>361.3623790401972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28.782230975351936</v>
      </c>
      <c r="AA54" s="21">
        <f>EXP(-LN(2)/25)*AA53+(1-EXP(-LN(2)/25))/(LN(2)/25)*Calculateur!V54*Calculateur!X54*VLOOKUP('Données projet'!$B$9,Paramètres!$A$1:$I$89,3,0)*0.475*44/12</f>
        <v>29.80787765787878</v>
      </c>
      <c r="AB54" s="21">
        <f>EXP(-LN(2)/2)*AB53+(1-EXP(-LN(2)/2))/(LN(2)/2)*V54*Y54*VLOOKUP('Données projet'!$B$9,Paramètres!$A$1:$I$89,3,0)*0.475*44/12</f>
        <v>8.223587361440611</v>
      </c>
      <c r="AC54" s="22">
        <f t="shared" si="3"/>
        <v>66.81369599467132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14.12</v>
      </c>
      <c r="AI54" s="13">
        <f>IF('Données projet'!$A$62&gt;35,AI53+AH54-AQ53,IF(A54&lt;'Données projet'!$A$62,$AF$205^A54,IF(A54='Données projet'!$A$62,'Données projet'!$B$62,AI53+AH54-AQ53)))</f>
        <v>313.86000000000018</v>
      </c>
      <c r="AJ54" s="13">
        <f>AI54*VLOOKUP('Données projet'!$B$10,Paramètres!$A$1:$I$89,3,0)*VLOOKUP('Données projet'!$B$10,Paramètres!$A$1:$I$89,5,0)</f>
        <v>187.68828000000013</v>
      </c>
      <c r="AK54" s="13">
        <f t="shared" si="35"/>
        <v>47.028500822168901</v>
      </c>
      <c r="AL54" s="20">
        <f t="shared" si="4"/>
        <v>408.79839326527775</v>
      </c>
      <c r="AM54" s="59">
        <f t="shared" si="5"/>
        <v>664.58227366852452</v>
      </c>
      <c r="AN54" s="59">
        <f ca="1">AVERAGE(OFFSET($AM$3,0,0,'Données projet'!$E$10+1,1))-AVERAGE(OFFSET($H$3,0,0,'Données projet'!$E$10+1,1))</f>
        <v>373.47758082856359</v>
      </c>
      <c r="AO54" s="59">
        <f t="shared" si="36"/>
        <v>277.24895424120166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34.968488155111842</v>
      </c>
      <c r="AV54" s="21">
        <f>EXP(-LN(2)/25)*AV53+(1-EXP(-LN(2)/25))/(LN(2)/25)*Calculateur!AQ54*Calculateur!AS54*VLOOKUP('Données projet'!$B$10,Paramètres!$A$1:$I$89,3,0)*0.475*44/12</f>
        <v>20.933852904625645</v>
      </c>
      <c r="AW54" s="21">
        <f>EXP(-LN(2)/2)*AW53+(1-EXP(-LN(2)/2))/(LN(2)/2)*AQ54*AT54*VLOOKUP('Données projet'!$B$10,Paramètres!$A$1:$I$89,3,0)*0.475*44/12</f>
        <v>6.4052298460987771</v>
      </c>
      <c r="AX54" s="21">
        <f t="shared" si="6"/>
        <v>62.307570905836265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17.857000000000006</v>
      </c>
      <c r="BD54" s="12">
        <f>IF('Données projet'!$A$88&gt;35,BD53+BC54-BL53,IF(A54&lt;'Données projet'!$A$88,$BA$205^A54,IF(A54='Données projet'!$A$88,'Données projet'!$B$88,BD53+BC54-BL53)))</f>
        <v>462.41500000000002</v>
      </c>
      <c r="BE54" s="13">
        <f>BD54*VLOOKUP('Données projet'!$B$11,Paramètres!$A$1:$I$89,3,0)*VLOOKUP('Données projet'!$B$11,Paramètres!$A$1:$I$89,5,0)</f>
        <v>276.52417000000003</v>
      </c>
      <c r="BF54" s="13">
        <f t="shared" si="37"/>
        <v>66.231932926439853</v>
      </c>
      <c r="BG54" s="20">
        <f t="shared" si="7"/>
        <v>596.96687926354946</v>
      </c>
      <c r="BH54" s="59">
        <f t="shared" si="8"/>
        <v>852.75075966679628</v>
      </c>
      <c r="BI54" s="59">
        <f ca="1">AVERAGE(OFFSET($BH$3,0,0,'Données projet'!$E$11+1,1))-AVERAGE(OFFSET($H$3,0,0,'Données projet'!$E$11+1,1))</f>
        <v>460.88622650237176</v>
      </c>
      <c r="BJ54" s="59">
        <f t="shared" si="38"/>
        <v>396.05161661639647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36.334624050620931</v>
      </c>
      <c r="BQ54" s="21">
        <f>EXP(-LN(2)/25)*BQ53+(1-EXP(-LN(2)/25))/(LN(2)/25)*Calculateur!BL54*Calculateur!BN54*VLOOKUP('Données projet'!$B$11,Paramètres!$A$1:$I$89,3,0)*0.475*44/12</f>
        <v>20.547792876129098</v>
      </c>
      <c r="BR54" s="21">
        <f>EXP(-LN(2)/2)*BR53+(1-EXP(-LN(2)/2))/(LN(2)/2)*BL54*BO54*VLOOKUP('Données projet'!$B$11,Paramètres!$A$1:$I$89,3,0)*0.475*44/12</f>
        <v>2.0791265587688716</v>
      </c>
      <c r="BS54" s="22">
        <f t="shared" si="9"/>
        <v>58.961543485518895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20.324285714285718</v>
      </c>
      <c r="BY54" s="12">
        <f>IF('Données projet'!$A$114&gt;35,BY53+BX54-CG53,IF(A54&lt;'Données projet'!$A$114,$BV$205^A54,IF(A54='Données projet'!$A$114,'Données projet'!$B$114,BY53+BX54-CG53)))</f>
        <v>431.86857142857133</v>
      </c>
      <c r="BZ54" s="13">
        <f>BY54*VLOOKUP('Données projet'!$B$12,Paramètres!$A$1:$I$89,3,0)*VLOOKUP('Données projet'!$B$12,Paramètres!$A$1:$I$89,5,0)</f>
        <v>196.50019999999998</v>
      </c>
      <c r="CA54" s="13">
        <f t="shared" si="39"/>
        <v>48.974229130372876</v>
      </c>
      <c r="CB54" s="20">
        <f t="shared" si="10"/>
        <v>427.53463073539939</v>
      </c>
      <c r="CC54" s="59">
        <f t="shared" si="11"/>
        <v>683.31851113864627</v>
      </c>
      <c r="CD54" s="59">
        <f ca="1">AVERAGE(OFFSET($CC$3,0,0,'Données projet'!$E$12+1,1))-AVERAGE(OFFSET($H$3,0,0,'Données projet'!$E$12+1,1))</f>
        <v>341.60063595566282</v>
      </c>
      <c r="CE54" s="59">
        <f t="shared" si="40"/>
        <v>317.05609766344219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50.4662625362405</v>
      </c>
      <c r="CL54" s="21">
        <f>EXP(-LN(2)/25)*CL53+(1-EXP(-LN(2)/25))/(LN(2)/25)*Calculateur!CG54*Calculateur!CI54*VLOOKUP('Données projet'!$B$12,Paramètres!$A$1:$I$89,3,0)*0.475*44/12</f>
        <v>30.007023323100075</v>
      </c>
      <c r="CM54" s="21">
        <f>EXP(-LN(2)/2)*CM53+(1-EXP(-LN(2)/2))/(LN(2)/2)*CG54*CJ54*VLOOKUP('Données projet'!$B$12,Paramètres!$A$1:$I$89,3,0)*0.475*44/12</f>
        <v>5.7713693546973523</v>
      </c>
      <c r="CN54" s="22">
        <f t="shared" si="12"/>
        <v>86.244655214037934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4.3599999999999994</v>
      </c>
      <c r="CT54" s="12">
        <f>IF('Données projet'!$A$140&gt;35,CT53+CS54-DB53,IF(A54&lt;'Données projet'!$A$140,$CQ$205^A54,IF(A54='Données projet'!$A$140,'Données projet'!$B$140,CT53+CS54-DB53)))</f>
        <v>120.37999999999992</v>
      </c>
      <c r="CU54" s="17">
        <f>CT54*VLOOKUP('Données projet'!$B$13,Paramètres!$A$1:$I$89,3,0)*VLOOKUP('Données projet'!$B$13,Paramètres!$A$1:$I$89,5,0)</f>
        <v>125.82117599999994</v>
      </c>
      <c r="CV54" s="13">
        <f t="shared" si="41"/>
        <v>33.028927337317782</v>
      </c>
      <c r="CW54" s="20">
        <f t="shared" si="13"/>
        <v>276.66392997916165</v>
      </c>
      <c r="CX54" s="59">
        <f t="shared" si="14"/>
        <v>532.44781038240853</v>
      </c>
      <c r="CY54" s="59">
        <f ca="1">AVERAGE(OFFSET($CX$3,0,0,'Données projet'!$E$13+1,1))-AVERAGE(OFFSET($H$3,0,0,'Données projet'!$E$13+1,1))</f>
        <v>287.73449456153207</v>
      </c>
      <c r="CZ54" s="59">
        <f t="shared" si="42"/>
        <v>296.74833899433281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11.888148369340877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11.888148369340877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179.02</v>
      </c>
      <c r="DM54" s="12">
        <f>VLOOKUP(A54,'Données projet'!$A$165:$I$185,9,0)</f>
        <v>8.8971428571428586</v>
      </c>
      <c r="DN54" s="12">
        <f t="array" ref="DN54">INDEX(DM:DM,MIN(IF(ISNUMBER(DM54:DM250),ROW(DM54:DM250),"")))</f>
        <v>8.8971428571428586</v>
      </c>
      <c r="DO54" s="12">
        <f>IF('Données projet'!$A$166&gt;35,DO53+DN54-DW53,IF(A54&lt;'Données projet'!$A$166,$DL$205^A54,IF(A54='Données projet'!$A$166,'Données projet'!$B$166,DO53+DN54-DW53)))</f>
        <v>179.02</v>
      </c>
      <c r="DP54" s="17">
        <f>DO54*VLOOKUP('Données projet'!$B$14,Paramètres!$A$1:$I$89,3,0)*VLOOKUP('Données projet'!$B$14,Paramètres!$A$1:$I$89,5,0)</f>
        <v>181.52628000000001</v>
      </c>
      <c r="DQ54" s="13">
        <f t="shared" si="43"/>
        <v>45.661588296502025</v>
      </c>
      <c r="DR54" s="20">
        <f t="shared" si="16"/>
        <v>395.68553728307438</v>
      </c>
      <c r="DS54" s="59">
        <f t="shared" si="17"/>
        <v>651.46941768632121</v>
      </c>
      <c r="DT54" s="59">
        <f ca="1">AVERAGE(OFFSET($DS$3,0,0,'Données projet'!$E$14+1,1))-AVERAGE(OFFSET($H$3,0,0,'Données projet'!$E$14+1,1))</f>
        <v>532.34688562681413</v>
      </c>
      <c r="DU54" s="59">
        <f t="shared" si="44"/>
        <v>345.42627129678556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46.13</v>
      </c>
      <c r="DX54" s="16">
        <f>IF(ISNA(VLOOKUP(A54,'Données projet'!$A$165:$I$185,5,0)),0%,VLOOKUP(A54,'Données projet'!$A$165:$I$185,5,0)*VLOOKUP('Données projet'!$B$14,Paramètres!$A$1:$I$89,7,0))</f>
        <v>0.129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12.881588991550515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12.881588991550515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-5.6843418860808015E-14</v>
      </c>
      <c r="EK54" s="17">
        <f>EJ54*VLOOKUP('Données projet'!$B$15,Paramètres!$A$1:$I$89,3,0)*VLOOKUP('Données projet'!$B$15,Paramètres!$A$1:$I$89,5,0)</f>
        <v>-5.1431925385259088E-14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256.20286603823035</v>
      </c>
      <c r="EP54" s="59">
        <f t="shared" si="46"/>
        <v>364.83827155069434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44.705507858756803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44.705507858756803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>
        <f>VLOOKUP(A54,'Données projet'!$A$217:$I$237,2,0)</f>
        <v>179.02</v>
      </c>
      <c r="FC54" s="12">
        <f>VLOOKUP(A54,'Données projet'!$A$217:$I$237,9,0)</f>
        <v>8.8971428571428586</v>
      </c>
      <c r="FD54" s="12">
        <f t="array" ref="FD54">INDEX(FC:FC,MIN(IF(ISNUMBER(FC54:FC250),ROW(FC54:FC250),"")))</f>
        <v>8.8971428571428586</v>
      </c>
      <c r="FE54" s="12">
        <f>IF('Données projet'!$A$218&gt;35,FE53+FD54-FM53,IF(A54&lt;'Données projet'!$A$218,$FB$205^A54,IF(A54='Données projet'!$A$218,'Données projet'!$B$218,FE53+FD54-FM53)))</f>
        <v>179.02</v>
      </c>
      <c r="FF54" s="17">
        <f>FE54*VLOOKUP('Données projet'!$B$16,Paramètres!$A$1:$I$89,3,0)*VLOOKUP('Données projet'!$B$16,Paramètres!$A$1:$I$89,5,0)</f>
        <v>120.08661600000001</v>
      </c>
      <c r="FG54" s="13">
        <f t="shared" si="47"/>
        <v>31.695200205303845</v>
      </c>
      <c r="FH54" s="20">
        <f t="shared" si="22"/>
        <v>264.35332989090421</v>
      </c>
      <c r="FI54" s="59">
        <f t="shared" si="23"/>
        <v>520.13721029415103</v>
      </c>
      <c r="FJ54" s="59">
        <f ca="1">AVERAGE(OFFSET($FI$3,0,0,'Données projet'!$E$16+1,1))-AVERAGE(OFFSET($H$3,0,0,'Données projet'!$E$16+1,1))</f>
        <v>380.73695370216979</v>
      </c>
      <c r="FK54" s="59">
        <f t="shared" si="48"/>
        <v>249.34467160415713</v>
      </c>
      <c r="FL54" s="15">
        <f>IF(ISNA(VLOOKUP(A54,'Données projet'!$A$217:$I$237,3,0)),0,VLOOKUP(A54,'Données projet'!$A$217:$I$237,3,0))</f>
        <v>2</v>
      </c>
      <c r="FM54" s="15">
        <f>IF(ISNA(VLOOKUP(A54,'Données projet'!$A$217:$I$237,4,0)),0,VLOOKUP(A54,'Données projet'!$A$217:$I$237,4,0))</f>
        <v>46.13</v>
      </c>
      <c r="FN54" s="16">
        <f>IF(ISNA(VLOOKUP(A54,'Données projet'!$A$217:$I$237,5,0)),0%,VLOOKUP(A54,'Données projet'!$A$217:$I$237,5,0)*VLOOKUP('Données projet'!$B$16,Paramètres!$A$1:$I$89,7,0))</f>
        <v>0.159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10.503449485418113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10.503449485418113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>
        <f>VLOOKUP(A54,'Données projet'!$A$243:$I$263,2,0)</f>
        <v>179.02</v>
      </c>
      <c r="FX54" s="12">
        <f>VLOOKUP(A54,'Données projet'!$A$243:$I$263,9,0)</f>
        <v>8.8971428571428586</v>
      </c>
      <c r="FY54" s="12">
        <f t="array" ref="FY54">INDEX(FX:FX,MIN(IF(ISNUMBER(FX54:FX250),ROW(FX54:FX250),"")))</f>
        <v>8.8971428571428586</v>
      </c>
      <c r="FZ54" s="12">
        <f>IF('Données projet'!$A$244&gt;35,FZ53+FY54-GH53,IF(A54&lt;'Données projet'!$A$244,$FW$205^A54,IF(A54='Données projet'!$A$244,'Données projet'!$B$244,FZ53+FY54-GH53)))</f>
        <v>179.02</v>
      </c>
      <c r="GA54" s="17">
        <f>FZ54*VLOOKUP('Données projet'!$B$17,Paramètres!$A$1:$I$89,3,0)*VLOOKUP('Données projet'!$B$17,Paramètres!$A$1:$I$89,5,0)</f>
        <v>173.148144</v>
      </c>
      <c r="GB54" s="13">
        <f t="shared" si="49"/>
        <v>43.794348384349654</v>
      </c>
      <c r="GC54" s="20">
        <f t="shared" si="25"/>
        <v>377.84150756940903</v>
      </c>
      <c r="GD54" s="59">
        <f t="shared" si="26"/>
        <v>633.62538797265586</v>
      </c>
      <c r="GE54" s="59">
        <f ca="1">AVERAGE(OFFSET($GD$3,0,0,'Données projet'!$E$17+1,1))-AVERAGE(OFFSET($H$3,0,0,'Données projet'!$E$17+1,1))</f>
        <v>511.7458522930001</v>
      </c>
      <c r="GF54" s="59">
        <f t="shared" si="50"/>
        <v>332.37317679966122</v>
      </c>
      <c r="GG54" s="15">
        <f>IF(ISNA(VLOOKUP(A54,'Données projet'!$A$243:$I$263,3,0)),0,VLOOKUP(A54,'Données projet'!$A$243:$I$263,3,0))</f>
        <v>2</v>
      </c>
      <c r="GH54" s="15">
        <f>IF(ISNA(VLOOKUP(A54,'Données projet'!$A$243:$I$263,4,0)),0,VLOOKUP(A54,'Données projet'!$A$243:$I$263,4,0))</f>
        <v>46.13</v>
      </c>
      <c r="GI54" s="16">
        <f>IF(ISNA(VLOOKUP(A54,'Données projet'!$A$243:$I$263,5,0)),0%,VLOOKUP(A54,'Données projet'!$A$243:$I$263,5,0)*VLOOKUP('Données projet'!$B$17,Paramètres!$A$1:$I$89,7,0))</f>
        <v>0.129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12.287054115017412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12.287054115017412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6</v>
      </c>
      <c r="GU54" s="12">
        <f>IF('Données projet'!$A$270&gt;35,GU53+GT54-HC53,IF(A54&lt;'Données projet'!$A$270,$GR$205^A54,IF(A54='Données projet'!$A$270,'Données projet'!$B$270,GU53+GT54-HC53)))</f>
        <v>207.99999999999989</v>
      </c>
      <c r="GV54" s="17">
        <f>GU54*VLOOKUP('Données projet'!$B$18,Paramètres!$A$1:$I$89,3,0)*VLOOKUP('Données projet'!$B$18,Paramètres!$A$1:$I$89,5,0)</f>
        <v>181.70879999999991</v>
      </c>
      <c r="GW54" s="13">
        <f t="shared" si="51"/>
        <v>45.702153370067769</v>
      </c>
      <c r="GX54" s="20">
        <f t="shared" si="28"/>
        <v>396.07407711953448</v>
      </c>
      <c r="GY54" s="59">
        <f t="shared" si="29"/>
        <v>651.85795752278136</v>
      </c>
      <c r="GZ54" s="59">
        <f ca="1">AVERAGE(OFFSET($GY$3,0,0,'Données projet'!$E$18+1,1))-AVERAGE(OFFSET($H$3,0,0,'Données projet'!$E$18+1,1))</f>
        <v>348.77506423101278</v>
      </c>
      <c r="HA54" s="59">
        <f t="shared" si="52"/>
        <v>336.13747591329548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15.892598200642851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15.892598200642851</v>
      </c>
    </row>
    <row r="55" spans="1:218" x14ac:dyDescent="0.2">
      <c r="A55" s="10">
        <f t="shared" si="31"/>
        <v>52</v>
      </c>
      <c r="B55" s="71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5">
        <f t="shared" si="1"/>
        <v>183.33333333333334</v>
      </c>
      <c r="I55" s="6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16.944285714285709</v>
      </c>
      <c r="N55" s="13">
        <f>IF('Données projet'!$A$36&gt;35,N54+M55-V54,IF(A55&lt;'Données projet'!$A$36,$K$205^A55,IF(A55='Données projet'!$A$36,'Données projet'!$B$36,N54+M55-V54)))</f>
        <v>311.93285714285707</v>
      </c>
      <c r="O55" s="13">
        <f>N55*VLOOKUP('Données projet'!$B$9,Paramètres!$A$1:$I$89,3,0)*VLOOKUP('Données projet'!$B$9,Paramètres!$A$1:$I$89,5,0)</f>
        <v>145.98457714285712</v>
      </c>
      <c r="P55" s="13">
        <f t="shared" si="33"/>
        <v>37.664630310684146</v>
      </c>
      <c r="Q55" s="20">
        <f t="shared" si="53"/>
        <v>319.85570298158433</v>
      </c>
      <c r="R55" s="59">
        <f t="shared" si="0"/>
        <v>576.29098244516763</v>
      </c>
      <c r="S55" s="59">
        <f ca="1">AVERAGE(OFFSET($R$3,0,0,'Données projet'!$E$9+1,1))-AVERAGE(OFFSET($H$3,0,0,'Données projet'!$E$9+1,1))</f>
        <v>387.50901594883317</v>
      </c>
      <c r="T55" s="59">
        <f t="shared" si="34"/>
        <v>361.3623790401972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28.217828981352724</v>
      </c>
      <c r="AA55" s="21">
        <f>EXP(-LN(2)/25)*AA54+(1-EXP(-LN(2)/25))/(LN(2)/25)*Calculateur!V55*Calculateur!X55*VLOOKUP('Données projet'!$B$9,Paramètres!$A$1:$I$89,3,0)*0.475*44/12</f>
        <v>28.992779675795926</v>
      </c>
      <c r="AB55" s="21">
        <f>EXP(-LN(2)/2)*AB54+(1-EXP(-LN(2)/2))/(LN(2)/2)*V55*Y55*VLOOKUP('Données projet'!$B$9,Paramètres!$A$1:$I$89,3,0)*0.475*44/12</f>
        <v>5.8149543889546438</v>
      </c>
      <c r="AC55" s="22">
        <f t="shared" si="3"/>
        <v>63.025563046103301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</v>
      </c>
      <c r="AI55" s="13">
        <f>IF('Données projet'!$A$62&gt;35,AI54+AH55-AQ54,IF(A55&lt;'Données projet'!$A$62,$AF$205^A55,IF(A55='Données projet'!$A$62,'Données projet'!$B$62,AI54+AH55-AQ54)))</f>
        <v>327.98000000000019</v>
      </c>
      <c r="AJ55" s="13">
        <f>AI55*VLOOKUP('Données projet'!$B$10,Paramètres!$A$1:$I$89,3,0)*VLOOKUP('Données projet'!$B$10,Paramètres!$A$1:$I$89,5,0)</f>
        <v>196.13204000000013</v>
      </c>
      <c r="AK55" s="13">
        <f t="shared" si="35"/>
        <v>48.893143423385645</v>
      </c>
      <c r="AL55" s="20">
        <f t="shared" si="4"/>
        <v>426.75219446239686</v>
      </c>
      <c r="AM55" s="59">
        <f t="shared" si="5"/>
        <v>683.18747392598016</v>
      </c>
      <c r="AN55" s="59">
        <f ca="1">AVERAGE(OFFSET($AM$3,0,0,'Données projet'!$E$10+1,1))-AVERAGE(OFFSET($H$3,0,0,'Données projet'!$E$10+1,1))</f>
        <v>373.47758082856359</v>
      </c>
      <c r="AO55" s="59">
        <f t="shared" si="36"/>
        <v>277.24895424120166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34.282777431061845</v>
      </c>
      <c r="AV55" s="21">
        <f>EXP(-LN(2)/25)*AV54+(1-EXP(-LN(2)/25))/(LN(2)/25)*Calculateur!AQ55*Calculateur!AS55*VLOOKUP('Données projet'!$B$10,Paramètres!$A$1:$I$89,3,0)*0.475*44/12</f>
        <v>20.361415596085177</v>
      </c>
      <c r="AW55" s="21">
        <f>EXP(-LN(2)/2)*AW54+(1-EXP(-LN(2)/2))/(LN(2)/2)*AQ55*AT55*VLOOKUP('Données projet'!$B$10,Paramètres!$A$1:$I$89,3,0)*0.475*44/12</f>
        <v>4.5291814592349118</v>
      </c>
      <c r="AX55" s="21">
        <f t="shared" si="6"/>
        <v>59.173374486381938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17.857000000000006</v>
      </c>
      <c r="BD55" s="12">
        <f>IF('Données projet'!$A$88&gt;35,BD54+BC55-BL54,IF(A55&lt;'Données projet'!$A$88,$BA$205^A55,IF(A55='Données projet'!$A$88,'Données projet'!$B$88,BD54+BC55-BL54)))</f>
        <v>480.27200000000005</v>
      </c>
      <c r="BE55" s="13">
        <f>BD55*VLOOKUP('Données projet'!$B$11,Paramètres!$A$1:$I$89,3,0)*VLOOKUP('Données projet'!$B$11,Paramètres!$A$1:$I$89,5,0)</f>
        <v>287.20265600000005</v>
      </c>
      <c r="BF55" s="13">
        <f t="shared" si="37"/>
        <v>68.486879853887146</v>
      </c>
      <c r="BG55" s="20">
        <f t="shared" si="7"/>
        <v>619.49260827885348</v>
      </c>
      <c r="BH55" s="59">
        <f t="shared" si="8"/>
        <v>875.92788774243684</v>
      </c>
      <c r="BI55" s="59">
        <f ca="1">AVERAGE(OFFSET($BH$3,0,0,'Données projet'!$E$11+1,1))-AVERAGE(OFFSET($H$3,0,0,'Données projet'!$E$11+1,1))</f>
        <v>460.88622650237176</v>
      </c>
      <c r="BJ55" s="59">
        <f t="shared" si="38"/>
        <v>396.05161661639647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35.622124234920619</v>
      </c>
      <c r="BQ55" s="21">
        <f>EXP(-LN(2)/25)*BQ54+(1-EXP(-LN(2)/25))/(LN(2)/25)*Calculateur!BL55*Calculateur!BN55*VLOOKUP('Données projet'!$B$11,Paramètres!$A$1:$I$89,3,0)*0.475*44/12</f>
        <v>19.985912399369884</v>
      </c>
      <c r="BR55" s="21">
        <f>EXP(-LN(2)/2)*BR54+(1-EXP(-LN(2)/2))/(LN(2)/2)*BL55*BO55*VLOOKUP('Données projet'!$B$11,Paramètres!$A$1:$I$89,3,0)*0.475*44/12</f>
        <v>1.4701644886505201</v>
      </c>
      <c r="BS55" s="22">
        <f t="shared" si="9"/>
        <v>57.078201122941017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20.324285714285718</v>
      </c>
      <c r="BY55" s="12">
        <f>IF('Données projet'!$A$114&gt;35,BY54+BX55-CG54,IF(A55&lt;'Données projet'!$A$114,$BV$205^A55,IF(A55='Données projet'!$A$114,'Données projet'!$B$114,BY54+BX55-CG54)))</f>
        <v>452.19285714285706</v>
      </c>
      <c r="BZ55" s="13">
        <f>BY55*VLOOKUP('Données projet'!$B$12,Paramètres!$A$1:$I$89,3,0)*VLOOKUP('Données projet'!$B$12,Paramètres!$A$1:$I$89,5,0)</f>
        <v>205.74774999999994</v>
      </c>
      <c r="CA55" s="13">
        <f t="shared" si="39"/>
        <v>51.005258674959606</v>
      </c>
      <c r="CB55" s="20">
        <f t="shared" si="10"/>
        <v>447.17815677555456</v>
      </c>
      <c r="CC55" s="59">
        <f t="shared" si="11"/>
        <v>703.61343623913785</v>
      </c>
      <c r="CD55" s="59">
        <f ca="1">AVERAGE(OFFSET($CC$3,0,0,'Données projet'!$E$12+1,1))-AVERAGE(OFFSET($H$3,0,0,'Données projet'!$E$12+1,1))</f>
        <v>341.60063595566282</v>
      </c>
      <c r="CE55" s="59">
        <f t="shared" si="40"/>
        <v>317.05609766344219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49.476649909285563</v>
      </c>
      <c r="CL55" s="21">
        <f>EXP(-LN(2)/25)*CL54+(1-EXP(-LN(2)/25))/(LN(2)/25)*Calculateur!CG55*Calculateur!CI55*VLOOKUP('Données projet'!$B$12,Paramètres!$A$1:$I$89,3,0)*0.475*44/12</f>
        <v>29.186479692329129</v>
      </c>
      <c r="CM55" s="21">
        <f>EXP(-LN(2)/2)*CM54+(1-EXP(-LN(2)/2))/(LN(2)/2)*CG55*CJ55*VLOOKUP('Données projet'!$B$12,Paramètres!$A$1:$I$89,3,0)*0.475*44/12</f>
        <v>4.0809744074387266</v>
      </c>
      <c r="CN55" s="22">
        <f t="shared" si="12"/>
        <v>82.744104009053416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4.3599999999999994</v>
      </c>
      <c r="CT55" s="12">
        <f>IF('Données projet'!$A$140&gt;35,CT54+CS55-DB54,IF(A55&lt;'Données projet'!$A$140,$CQ$205^A55,IF(A55='Données projet'!$A$140,'Données projet'!$B$140,CT54+CS55-DB54)))</f>
        <v>124.73999999999992</v>
      </c>
      <c r="CU55" s="17">
        <f>CT55*VLOOKUP('Données projet'!$B$13,Paramètres!$A$1:$I$89,3,0)*VLOOKUP('Données projet'!$B$13,Paramètres!$A$1:$I$89,5,0)</f>
        <v>130.37824799999993</v>
      </c>
      <c r="CV55" s="13">
        <f t="shared" si="41"/>
        <v>34.08374655497191</v>
      </c>
      <c r="CW55" s="20">
        <f t="shared" si="13"/>
        <v>286.43797384990927</v>
      </c>
      <c r="CX55" s="59">
        <f t="shared" si="14"/>
        <v>542.87325331349257</v>
      </c>
      <c r="CY55" s="59">
        <f ca="1">AVERAGE(OFFSET($CX$3,0,0,'Données projet'!$E$13+1,1))-AVERAGE(OFFSET($H$3,0,0,'Données projet'!$E$13+1,1))</f>
        <v>287.73449456153207</v>
      </c>
      <c r="CZ55" s="59">
        <f t="shared" si="42"/>
        <v>296.74833899433281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11.655029030872626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11.655029030872626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8.2874999999999979</v>
      </c>
      <c r="DO55" s="12">
        <f>IF('Données projet'!$A$166&gt;35,DO54+DN55-DW54,IF(A55&lt;'Données projet'!$A$166,$DL$205^A55,IF(A55='Données projet'!$A$166,'Données projet'!$B$166,DO54+DN55-DW54)))</f>
        <v>141.17750000000001</v>
      </c>
      <c r="DP55" s="17">
        <f>DO55*VLOOKUP('Données projet'!$B$14,Paramètres!$A$1:$I$89,3,0)*VLOOKUP('Données projet'!$B$14,Paramètres!$A$1:$I$89,5,0)</f>
        <v>143.15398500000001</v>
      </c>
      <c r="DQ55" s="13">
        <f t="shared" si="43"/>
        <v>37.018599662860296</v>
      </c>
      <c r="DR55" s="20">
        <f t="shared" si="16"/>
        <v>313.80058495448168</v>
      </c>
      <c r="DS55" s="59">
        <f t="shared" si="17"/>
        <v>570.23586441806503</v>
      </c>
      <c r="DT55" s="59">
        <f ca="1">AVERAGE(OFFSET($DS$3,0,0,'Données projet'!$E$14+1,1))-AVERAGE(OFFSET($H$3,0,0,'Données projet'!$E$14+1,1))</f>
        <v>532.34688562681413</v>
      </c>
      <c r="DU55" s="59">
        <f t="shared" si="44"/>
        <v>345.42627129678556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12.628988888419681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12.628988888419681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-5.6843418860808015E-14</v>
      </c>
      <c r="EK55" s="17">
        <f>EJ55*VLOOKUP('Données projet'!$B$15,Paramètres!$A$1:$I$89,3,0)*VLOOKUP('Données projet'!$B$15,Paramètres!$A$1:$I$89,5,0)</f>
        <v>-5.1431925385259088E-14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256.20286603823035</v>
      </c>
      <c r="EP55" s="59">
        <f t="shared" si="46"/>
        <v>364.83827155069434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43.828860117313916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43.828860117313916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8.2874999999999979</v>
      </c>
      <c r="FE55" s="12">
        <f>IF('Données projet'!$A$218&gt;35,FE54+FD55-FM54,IF(A55&lt;'Données projet'!$A$218,$FB$205^A55,IF(A55='Données projet'!$A$218,'Données projet'!$B$218,FE54+FD55-FM54)))</f>
        <v>141.17750000000001</v>
      </c>
      <c r="FF55" s="17">
        <f>FE55*VLOOKUP('Données projet'!$B$16,Paramètres!$A$1:$I$89,3,0)*VLOOKUP('Données projet'!$B$16,Paramètres!$A$1:$I$89,5,0)</f>
        <v>94.701867000000007</v>
      </c>
      <c r="FG55" s="13">
        <f t="shared" si="47"/>
        <v>25.695819427381455</v>
      </c>
      <c r="FH55" s="20">
        <f t="shared" si="22"/>
        <v>209.69263719435602</v>
      </c>
      <c r="FI55" s="59">
        <f t="shared" si="23"/>
        <v>466.12791665793941</v>
      </c>
      <c r="FJ55" s="59">
        <f ca="1">AVERAGE(OFFSET($FI$3,0,0,'Données projet'!$E$16+1,1))-AVERAGE(OFFSET($H$3,0,0,'Données projet'!$E$16+1,1))</f>
        <v>380.73695370216979</v>
      </c>
      <c r="FK55" s="59">
        <f t="shared" si="48"/>
        <v>249.34467160415713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10.297483247480663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10.297483247480663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8.2874999999999979</v>
      </c>
      <c r="FZ55" s="12">
        <f>IF('Données projet'!$A$244&gt;35,FZ54+FY55-GH54,IF(A55&lt;'Données projet'!$A$244,$FW$205^A55,IF(A55='Données projet'!$A$244,'Données projet'!$B$244,FZ54+FY55-GH54)))</f>
        <v>141.17750000000001</v>
      </c>
      <c r="GA55" s="17">
        <f>FZ55*VLOOKUP('Données projet'!$B$17,Paramètres!$A$1:$I$89,3,0)*VLOOKUP('Données projet'!$B$17,Paramètres!$A$1:$I$89,5,0)</f>
        <v>136.54687800000002</v>
      </c>
      <c r="GB55" s="13">
        <f t="shared" si="49"/>
        <v>35.504797595055813</v>
      </c>
      <c r="GC55" s="20">
        <f t="shared" si="25"/>
        <v>299.65666832805556</v>
      </c>
      <c r="GD55" s="59">
        <f t="shared" si="26"/>
        <v>556.09194779163886</v>
      </c>
      <c r="GE55" s="59">
        <f ca="1">AVERAGE(OFFSET($GD$3,0,0,'Données projet'!$E$17+1,1))-AVERAGE(OFFSET($H$3,0,0,'Données projet'!$E$17+1,1))</f>
        <v>511.7458522930001</v>
      </c>
      <c r="GF55" s="59">
        <f t="shared" si="50"/>
        <v>332.37317679966122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12.046112478184924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12.046112478184924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6</v>
      </c>
      <c r="GU55" s="12">
        <f>IF('Données projet'!$A$270&gt;35,GU54+GT55-HC54,IF(A55&lt;'Données projet'!$A$270,$GR$205^A55,IF(A55='Données projet'!$A$270,'Données projet'!$B$270,GU54+GT55-HC54)))</f>
        <v>213.99999999999989</v>
      </c>
      <c r="GV55" s="17">
        <f>GU55*VLOOKUP('Données projet'!$B$18,Paramètres!$A$1:$I$89,3,0)*VLOOKUP('Données projet'!$B$18,Paramètres!$A$1:$I$89,5,0)</f>
        <v>186.95039999999992</v>
      </c>
      <c r="GW55" s="13">
        <f t="shared" si="51"/>
        <v>46.86509597661761</v>
      </c>
      <c r="GX55" s="20">
        <f t="shared" si="28"/>
        <v>407.22865549260882</v>
      </c>
      <c r="GY55" s="59">
        <f t="shared" si="29"/>
        <v>663.66393495619218</v>
      </c>
      <c r="GZ55" s="59">
        <f ca="1">AVERAGE(OFFSET($GY$3,0,0,'Données projet'!$E$18+1,1))-AVERAGE(OFFSET($H$3,0,0,'Données projet'!$E$18+1,1))</f>
        <v>348.77506423101278</v>
      </c>
      <c r="HA55" s="59">
        <f t="shared" si="52"/>
        <v>336.13747591329548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15.580954043455991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15.580954043455991</v>
      </c>
    </row>
    <row r="56" spans="1:218" x14ac:dyDescent="0.2">
      <c r="A56" s="10">
        <f t="shared" si="31"/>
        <v>53</v>
      </c>
      <c r="B56" s="71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5">
        <f t="shared" si="1"/>
        <v>183.33333333333334</v>
      </c>
      <c r="I56" s="6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16.944285714285709</v>
      </c>
      <c r="N56" s="13">
        <f>IF('Données projet'!$A$36&gt;35,N55+M56-V55,IF(A56&lt;'Données projet'!$A$36,$K$205^A56,IF(A56='Données projet'!$A$36,'Données projet'!$B$36,N55+M56-V55)))</f>
        <v>328.87714285714276</v>
      </c>
      <c r="O56" s="13">
        <f>N56*VLOOKUP('Données projet'!$B$9,Paramètres!$A$1:$I$89,3,0)*VLOOKUP('Données projet'!$B$9,Paramètres!$A$1:$I$89,5,0)</f>
        <v>153.91450285714282</v>
      </c>
      <c r="P56" s="13">
        <f t="shared" si="33"/>
        <v>39.46683225936065</v>
      </c>
      <c r="Q56" s="20">
        <f t="shared" si="53"/>
        <v>336.80582532791021</v>
      </c>
      <c r="R56" s="59">
        <f t="shared" si="0"/>
        <v>593.88120353444344</v>
      </c>
      <c r="S56" s="59">
        <f ca="1">AVERAGE(OFFSET($R$3,0,0,'Données projet'!$E$9+1,1))-AVERAGE(OFFSET($H$3,0,0,'Données projet'!$E$9+1,1))</f>
        <v>387.50901594883317</v>
      </c>
      <c r="T56" s="59">
        <f t="shared" si="34"/>
        <v>361.3623790401972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27.664494566204613</v>
      </c>
      <c r="AA56" s="21">
        <f>EXP(-LN(2)/25)*AA55+(1-EXP(-LN(2)/25))/(LN(2)/25)*Calculateur!V56*Calculateur!X56*VLOOKUP('Données projet'!$B$9,Paramètres!$A$1:$I$89,3,0)*0.475*44/12</f>
        <v>28.199970590897269</v>
      </c>
      <c r="AB56" s="21">
        <f>EXP(-LN(2)/2)*AB55+(1-EXP(-LN(2)/2))/(LN(2)/2)*V56*Y56*VLOOKUP('Données projet'!$B$9,Paramètres!$A$1:$I$89,3,0)*0.475*44/12</f>
        <v>4.1117936807203055</v>
      </c>
      <c r="AC56" s="22">
        <f t="shared" si="3"/>
        <v>59.976258837822186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</v>
      </c>
      <c r="AI56" s="13">
        <f>IF('Données projet'!$A$62&gt;35,AI55+AH56-AQ55,IF(A56&lt;'Données projet'!$A$62,$AF$205^A56,IF(A56='Données projet'!$A$62,'Données projet'!$B$62,AI55+AH56-AQ55)))</f>
        <v>342.10000000000019</v>
      </c>
      <c r="AJ56" s="13">
        <f>AI56*VLOOKUP('Données projet'!$B$10,Paramètres!$A$1:$I$89,3,0)*VLOOKUP('Données projet'!$B$10,Paramètres!$A$1:$I$89,5,0)</f>
        <v>204.57580000000013</v>
      </c>
      <c r="AK56" s="13">
        <f t="shared" si="35"/>
        <v>50.748462290021173</v>
      </c>
      <c r="AL56" s="20">
        <f t="shared" si="4"/>
        <v>444.68975682178706</v>
      </c>
      <c r="AM56" s="59">
        <f t="shared" si="5"/>
        <v>701.76513502832029</v>
      </c>
      <c r="AN56" s="59">
        <f ca="1">AVERAGE(OFFSET($AM$3,0,0,'Données projet'!$E$10+1,1))-AVERAGE(OFFSET($H$3,0,0,'Données projet'!$E$10+1,1))</f>
        <v>373.47758082856359</v>
      </c>
      <c r="AO56" s="59">
        <f t="shared" si="36"/>
        <v>277.24895424120166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33.610513076068223</v>
      </c>
      <c r="AV56" s="21">
        <f>EXP(-LN(2)/25)*AV55+(1-EXP(-LN(2)/25))/(LN(2)/25)*Calculateur!AQ56*Calculateur!AS56*VLOOKUP('Données projet'!$B$10,Paramètres!$A$1:$I$89,3,0)*0.475*44/12</f>
        <v>19.804631615849917</v>
      </c>
      <c r="AW56" s="21">
        <f>EXP(-LN(2)/2)*AW55+(1-EXP(-LN(2)/2))/(LN(2)/2)*AQ56*AT56*VLOOKUP('Données projet'!$B$10,Paramètres!$A$1:$I$89,3,0)*0.475*44/12</f>
        <v>3.202614923049389</v>
      </c>
      <c r="AX56" s="21">
        <f t="shared" si="6"/>
        <v>56.617759614967532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17.857000000000006</v>
      </c>
      <c r="BD56" s="12">
        <f>IF('Données projet'!$A$88&gt;35,BD55+BC56-BL55,IF(A56&lt;'Données projet'!$A$88,$BA$205^A56,IF(A56='Données projet'!$A$88,'Données projet'!$B$88,BD55+BC56-BL55)))</f>
        <v>498.12900000000008</v>
      </c>
      <c r="BE56" s="13">
        <f>BD56*VLOOKUP('Données projet'!$B$11,Paramètres!$A$1:$I$89,3,0)*VLOOKUP('Données projet'!$B$11,Paramètres!$A$1:$I$89,5,0)</f>
        <v>297.88114200000007</v>
      </c>
      <c r="BF56" s="13">
        <f t="shared" si="37"/>
        <v>70.732086381240663</v>
      </c>
      <c r="BG56" s="20">
        <f t="shared" si="7"/>
        <v>642.00137276399425</v>
      </c>
      <c r="BH56" s="59">
        <f t="shared" si="8"/>
        <v>899.07675097052743</v>
      </c>
      <c r="BI56" s="59">
        <f ca="1">AVERAGE(OFFSET($BH$3,0,0,'Données projet'!$E$11+1,1))-AVERAGE(OFFSET($H$3,0,0,'Données projet'!$E$11+1,1))</f>
        <v>460.88622650237176</v>
      </c>
      <c r="BJ56" s="59">
        <f t="shared" si="38"/>
        <v>396.05161661639647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34.923596106024213</v>
      </c>
      <c r="BQ56" s="21">
        <f>EXP(-LN(2)/25)*BQ55+(1-EXP(-LN(2)/25))/(LN(2)/25)*Calculateur!BL56*Calculateur!BN56*VLOOKUP('Données projet'!$B$11,Paramètres!$A$1:$I$89,3,0)*0.475*44/12</f>
        <v>19.439396573795658</v>
      </c>
      <c r="BR56" s="21">
        <f>EXP(-LN(2)/2)*BR55+(1-EXP(-LN(2)/2))/(LN(2)/2)*BL56*BO56*VLOOKUP('Données projet'!$B$11,Paramètres!$A$1:$I$89,3,0)*0.475*44/12</f>
        <v>1.0395632793844358</v>
      </c>
      <c r="BS56" s="22">
        <f t="shared" si="9"/>
        <v>55.402555959204307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20.324285714285718</v>
      </c>
      <c r="BY56" s="12">
        <f>IF('Données projet'!$A$114&gt;35,BY55+BX56-CG55,IF(A56&lt;'Données projet'!$A$114,$BV$205^A56,IF(A56='Données projet'!$A$114,'Données projet'!$B$114,BY55+BX56-CG55)))</f>
        <v>472.5171428571428</v>
      </c>
      <c r="BZ56" s="13">
        <f>BY56*VLOOKUP('Données projet'!$B$12,Paramètres!$A$1:$I$89,3,0)*VLOOKUP('Données projet'!$B$12,Paramètres!$A$1:$I$89,5,0)</f>
        <v>214.99529999999996</v>
      </c>
      <c r="CA56" s="13">
        <f t="shared" si="39"/>
        <v>53.025686417561687</v>
      </c>
      <c r="CB56" s="20">
        <f t="shared" si="10"/>
        <v>466.80321801058653</v>
      </c>
      <c r="CC56" s="59">
        <f t="shared" si="11"/>
        <v>723.87859621711982</v>
      </c>
      <c r="CD56" s="59">
        <f ca="1">AVERAGE(OFFSET($CC$3,0,0,'Données projet'!$E$12+1,1))-AVERAGE(OFFSET($H$3,0,0,'Données projet'!$E$12+1,1))</f>
        <v>341.60063595566282</v>
      </c>
      <c r="CE56" s="59">
        <f t="shared" si="40"/>
        <v>317.05609766344219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48.506442982341106</v>
      </c>
      <c r="CL56" s="21">
        <f>EXP(-LN(2)/25)*CL55+(1-EXP(-LN(2)/25))/(LN(2)/25)*Calculateur!CG56*Calculateur!CI56*VLOOKUP('Données projet'!$B$12,Paramètres!$A$1:$I$89,3,0)*0.475*44/12</f>
        <v>28.388373870292128</v>
      </c>
      <c r="CM56" s="21">
        <f>EXP(-LN(2)/2)*CM55+(1-EXP(-LN(2)/2))/(LN(2)/2)*CG56*CJ56*VLOOKUP('Données projet'!$B$12,Paramètres!$A$1:$I$89,3,0)*0.475*44/12</f>
        <v>2.8856846773486762</v>
      </c>
      <c r="CN56" s="22">
        <f t="shared" si="12"/>
        <v>79.780501529981905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4.3599999999999994</v>
      </c>
      <c r="CT56" s="12">
        <f>IF('Données projet'!$A$140&gt;35,CT55+CS56-DB55,IF(A56&lt;'Données projet'!$A$140,$CQ$205^A56,IF(A56='Données projet'!$A$140,'Données projet'!$B$140,CT55+CS56-DB55)))</f>
        <v>129.09999999999991</v>
      </c>
      <c r="CU56" s="17">
        <f>CT56*VLOOKUP('Données projet'!$B$13,Paramètres!$A$1:$I$89,3,0)*VLOOKUP('Données projet'!$B$13,Paramètres!$A$1:$I$89,5,0)</f>
        <v>134.9353199999999</v>
      </c>
      <c r="CV56" s="13">
        <f t="shared" si="41"/>
        <v>35.134282043278652</v>
      </c>
      <c r="CW56" s="20">
        <f t="shared" si="13"/>
        <v>296.20455689204351</v>
      </c>
      <c r="CX56" s="59">
        <f t="shared" si="14"/>
        <v>553.27993509857674</v>
      </c>
      <c r="CY56" s="59">
        <f ca="1">AVERAGE(OFFSET($CX$3,0,0,'Données projet'!$E$13+1,1))-AVERAGE(OFFSET($H$3,0,0,'Données projet'!$E$13+1,1))</f>
        <v>287.73449456153207</v>
      </c>
      <c r="CZ56" s="59">
        <f t="shared" si="42"/>
        <v>296.74833899433281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11.426481020442981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11.426481020442981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8.2874999999999979</v>
      </c>
      <c r="DO56" s="12">
        <f>IF('Données projet'!$A$166&gt;35,DO55+DN56-DW55,IF(A56&lt;'Données projet'!$A$166,$DL$205^A56,IF(A56='Données projet'!$A$166,'Données projet'!$B$166,DO55+DN56-DW55)))</f>
        <v>149.465</v>
      </c>
      <c r="DP56" s="17">
        <f>DO56*VLOOKUP('Données projet'!$B$14,Paramètres!$A$1:$I$89,3,0)*VLOOKUP('Données projet'!$B$14,Paramètres!$A$1:$I$89,5,0)</f>
        <v>151.55751000000001</v>
      </c>
      <c r="DQ56" s="13">
        <f t="shared" si="43"/>
        <v>38.932322282515337</v>
      </c>
      <c r="DR56" s="20">
        <f t="shared" si="16"/>
        <v>331.76979122538091</v>
      </c>
      <c r="DS56" s="59">
        <f t="shared" si="17"/>
        <v>588.8451694319142</v>
      </c>
      <c r="DT56" s="59">
        <f ca="1">AVERAGE(OFFSET($DS$3,0,0,'Données projet'!$E$14+1,1))-AVERAGE(OFFSET($H$3,0,0,'Données projet'!$E$14+1,1))</f>
        <v>532.34688562681413</v>
      </c>
      <c r="DU56" s="59">
        <f t="shared" si="44"/>
        <v>345.42627129678556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12.381342119240392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12.381342119240392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-5.6843418860808015E-14</v>
      </c>
      <c r="EK56" s="17">
        <f>EJ56*VLOOKUP('Données projet'!$B$15,Paramètres!$A$1:$I$89,3,0)*VLOOKUP('Données projet'!$B$15,Paramètres!$A$1:$I$89,5,0)</f>
        <v>-5.1431925385259088E-14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256.20286603823035</v>
      </c>
      <c r="EP56" s="59">
        <f t="shared" si="46"/>
        <v>364.83827155069434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42.969402903378402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42.969402903378402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8.2874999999999979</v>
      </c>
      <c r="FE56" s="12">
        <f>IF('Données projet'!$A$218&gt;35,FE55+FD56-FM55,IF(A56&lt;'Données projet'!$A$218,$FB$205^A56,IF(A56='Données projet'!$A$218,'Données projet'!$B$218,FE55+FD56-FM55)))</f>
        <v>149.465</v>
      </c>
      <c r="FF56" s="17">
        <f>FE56*VLOOKUP('Données projet'!$B$16,Paramètres!$A$1:$I$89,3,0)*VLOOKUP('Données projet'!$B$16,Paramètres!$A$1:$I$89,5,0)</f>
        <v>100.261122</v>
      </c>
      <c r="FG56" s="13">
        <f t="shared" si="47"/>
        <v>27.024196819195303</v>
      </c>
      <c r="FH56" s="20">
        <f t="shared" si="22"/>
        <v>221.6885969434318</v>
      </c>
      <c r="FI56" s="59">
        <f t="shared" si="23"/>
        <v>478.76397514996506</v>
      </c>
      <c r="FJ56" s="59">
        <f ca="1">AVERAGE(OFFSET($FI$3,0,0,'Données projet'!$E$16+1,1))-AVERAGE(OFFSET($H$3,0,0,'Données projet'!$E$16+1,1))</f>
        <v>380.73695370216979</v>
      </c>
      <c r="FK56" s="59">
        <f t="shared" si="48"/>
        <v>249.34467160415713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10.095555881842166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10.095555881842166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8.2874999999999979</v>
      </c>
      <c r="FZ56" s="12">
        <f>IF('Données projet'!$A$244&gt;35,FZ55+FY56-GH55,IF(A56&lt;'Données projet'!$A$244,$FW$205^A56,IF(A56='Données projet'!$A$244,'Données projet'!$B$244,FZ55+FY56-GH55)))</f>
        <v>149.465</v>
      </c>
      <c r="GA56" s="17">
        <f>FZ56*VLOOKUP('Données projet'!$B$17,Paramètres!$A$1:$I$89,3,0)*VLOOKUP('Données projet'!$B$17,Paramètres!$A$1:$I$89,5,0)</f>
        <v>144.56254800000002</v>
      </c>
      <c r="GB56" s="13">
        <f t="shared" si="49"/>
        <v>37.340262331235436</v>
      </c>
      <c r="GC56" s="20">
        <f t="shared" si="25"/>
        <v>316.81406132690176</v>
      </c>
      <c r="GD56" s="59">
        <f t="shared" si="26"/>
        <v>573.88943953343505</v>
      </c>
      <c r="GE56" s="59">
        <f ca="1">AVERAGE(OFFSET($GD$3,0,0,'Données projet'!$E$17+1,1))-AVERAGE(OFFSET($H$3,0,0,'Données projet'!$E$17+1,1))</f>
        <v>511.7458522930001</v>
      </c>
      <c r="GF56" s="59">
        <f t="shared" si="50"/>
        <v>332.37317679966122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11.809895559890833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11.809895559890833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6</v>
      </c>
      <c r="GU56" s="12">
        <f>IF('Données projet'!$A$270&gt;35,GU55+GT56-HC55,IF(A56&lt;'Données projet'!$A$270,$GR$205^A56,IF(A56='Données projet'!$A$270,'Données projet'!$B$270,GU55+GT56-HC55)))</f>
        <v>219.99999999999989</v>
      </c>
      <c r="GV56" s="17">
        <f>GU56*VLOOKUP('Données projet'!$B$18,Paramètres!$A$1:$I$89,3,0)*VLOOKUP('Données projet'!$B$18,Paramètres!$A$1:$I$89,5,0)</f>
        <v>192.19199999999992</v>
      </c>
      <c r="GW56" s="13">
        <f t="shared" si="51"/>
        <v>48.02424892193244</v>
      </c>
      <c r="GX56" s="20">
        <f t="shared" si="28"/>
        <v>418.37663353903218</v>
      </c>
      <c r="GY56" s="59">
        <f t="shared" si="29"/>
        <v>675.45201174556541</v>
      </c>
      <c r="GZ56" s="59">
        <f ca="1">AVERAGE(OFFSET($GY$3,0,0,'Données projet'!$E$18+1,1))-AVERAGE(OFFSET($H$3,0,0,'Données projet'!$E$18+1,1))</f>
        <v>348.77506423101278</v>
      </c>
      <c r="HA56" s="59">
        <f t="shared" si="52"/>
        <v>336.13747591329548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15.275421038107398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15.275421038107398</v>
      </c>
    </row>
    <row r="57" spans="1:218" x14ac:dyDescent="0.2">
      <c r="A57" s="10">
        <f t="shared" si="31"/>
        <v>54</v>
      </c>
      <c r="B57" s="71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5">
        <f t="shared" si="1"/>
        <v>183.33333333333334</v>
      </c>
      <c r="I57" s="6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16.944285714285709</v>
      </c>
      <c r="N57" s="13">
        <f>IF('Données projet'!$A$36&gt;35,N56+M57-V56,IF(A57&lt;'Données projet'!$A$36,$K$205^A57,IF(A57='Données projet'!$A$36,'Données projet'!$B$36,N56+M57-V56)))</f>
        <v>345.82142857142844</v>
      </c>
      <c r="O57" s="13">
        <f>N57*VLOOKUP('Données projet'!$B$9,Paramètres!$A$1:$I$89,3,0)*VLOOKUP('Données projet'!$B$9,Paramètres!$A$1:$I$89,5,0)</f>
        <v>161.84442857142849</v>
      </c>
      <c r="P57" s="13">
        <f t="shared" si="33"/>
        <v>41.258253499805392</v>
      </c>
      <c r="Q57" s="20">
        <f t="shared" si="53"/>
        <v>353.7371712740657</v>
      </c>
      <c r="R57" s="59">
        <f t="shared" si="0"/>
        <v>611.44154394140503</v>
      </c>
      <c r="S57" s="59">
        <f ca="1">AVERAGE(OFFSET($R$3,0,0,'Données projet'!$E$9+1,1))-AVERAGE(OFFSET($H$3,0,0,'Données projet'!$E$9+1,1))</f>
        <v>387.50901594883317</v>
      </c>
      <c r="T57" s="59">
        <f t="shared" si="34"/>
        <v>361.3623790401972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27.122010701436889</v>
      </c>
      <c r="AA57" s="21">
        <f>EXP(-LN(2)/25)*AA56+(1-EXP(-LN(2)/25))/(LN(2)/25)*Calculateur!V57*Calculateur!X57*VLOOKUP('Données projet'!$B$9,Paramètres!$A$1:$I$89,3,0)*0.475*44/12</f>
        <v>27.428840912117181</v>
      </c>
      <c r="AB57" s="21">
        <f>EXP(-LN(2)/2)*AB56+(1-EXP(-LN(2)/2))/(LN(2)/2)*V57*Y57*VLOOKUP('Données projet'!$B$9,Paramètres!$A$1:$I$89,3,0)*0.475*44/12</f>
        <v>2.9074771944773219</v>
      </c>
      <c r="AC57" s="22">
        <f t="shared" si="3"/>
        <v>57.458328808031396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</v>
      </c>
      <c r="AI57" s="13">
        <f>IF('Données projet'!$A$62&gt;35,AI56+AH57-AQ56,IF(A57&lt;'Données projet'!$A$62,$AF$205^A57,IF(A57='Données projet'!$A$62,'Données projet'!$B$62,AI56+AH57-AQ56)))</f>
        <v>356.2200000000002</v>
      </c>
      <c r="AJ57" s="13">
        <f>AI57*VLOOKUP('Données projet'!$B$10,Paramètres!$A$1:$I$89,3,0)*VLOOKUP('Données projet'!$B$10,Paramètres!$A$1:$I$89,5,0)</f>
        <v>213.01956000000015</v>
      </c>
      <c r="AK57" s="13">
        <f t="shared" si="35"/>
        <v>52.594886266766075</v>
      </c>
      <c r="AL57" s="20">
        <f t="shared" si="4"/>
        <v>462.61182724795117</v>
      </c>
      <c r="AM57" s="59">
        <f t="shared" si="5"/>
        <v>720.31619991529055</v>
      </c>
      <c r="AN57" s="59">
        <f ca="1">AVERAGE(OFFSET($AM$3,0,0,'Données projet'!$E$10+1,1))-AVERAGE(OFFSET($H$3,0,0,'Données projet'!$E$10+1,1))</f>
        <v>373.47758082856359</v>
      </c>
      <c r="AO57" s="59">
        <f t="shared" si="36"/>
        <v>277.24895424120166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32.951431415035259</v>
      </c>
      <c r="AV57" s="21">
        <f>EXP(-LN(2)/25)*AV56+(1-EXP(-LN(2)/25))/(LN(2)/25)*Calculateur!AQ57*Calculateur!AS57*VLOOKUP('Données projet'!$B$10,Paramètres!$A$1:$I$89,3,0)*0.475*44/12</f>
        <v>19.263072922834187</v>
      </c>
      <c r="AW57" s="21">
        <f>EXP(-LN(2)/2)*AW56+(1-EXP(-LN(2)/2))/(LN(2)/2)*AQ57*AT57*VLOOKUP('Données projet'!$B$10,Paramètres!$A$1:$I$89,3,0)*0.475*44/12</f>
        <v>2.2645907296174563</v>
      </c>
      <c r="AX57" s="21">
        <f t="shared" si="6"/>
        <v>54.479095067486895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17.857000000000006</v>
      </c>
      <c r="BD57" s="12">
        <f>IF('Données projet'!$A$88&gt;35,BD56+BC57-BL56,IF(A57&lt;'Données projet'!$A$88,$BA$205^A57,IF(A57='Données projet'!$A$88,'Données projet'!$B$88,BD56+BC57-BL56)))</f>
        <v>515.9860000000001</v>
      </c>
      <c r="BE57" s="13">
        <f>BD57*VLOOKUP('Données projet'!$B$11,Paramètres!$A$1:$I$89,3,0)*VLOOKUP('Données projet'!$B$11,Paramètres!$A$1:$I$89,5,0)</f>
        <v>308.55962800000009</v>
      </c>
      <c r="BF57" s="13">
        <f t="shared" si="37"/>
        <v>72.967941685104847</v>
      </c>
      <c r="BG57" s="20">
        <f t="shared" si="7"/>
        <v>664.49385053489107</v>
      </c>
      <c r="BH57" s="59">
        <f t="shared" si="8"/>
        <v>922.19822320223034</v>
      </c>
      <c r="BI57" s="59">
        <f ca="1">AVERAGE(OFFSET($BH$3,0,0,'Données projet'!$E$11+1,1))-AVERAGE(OFFSET($H$3,0,0,'Données projet'!$E$11+1,1))</f>
        <v>460.88622650237176</v>
      </c>
      <c r="BJ57" s="59">
        <f t="shared" si="38"/>
        <v>396.05161661639647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34.238765687675375</v>
      </c>
      <c r="BQ57" s="21">
        <f>EXP(-LN(2)/25)*BQ56+(1-EXP(-LN(2)/25))/(LN(2)/25)*Calculateur!BL57*Calculateur!BN57*VLOOKUP('Données projet'!$B$11,Paramètres!$A$1:$I$89,3,0)*0.475*44/12</f>
        <v>18.907825252211779</v>
      </c>
      <c r="BR57" s="21">
        <f>EXP(-LN(2)/2)*BR56+(1-EXP(-LN(2)/2))/(LN(2)/2)*BL57*BO57*VLOOKUP('Données projet'!$B$11,Paramètres!$A$1:$I$89,3,0)*0.475*44/12</f>
        <v>0.73508224432526004</v>
      </c>
      <c r="BS57" s="22">
        <f t="shared" si="9"/>
        <v>53.881673184212417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20.324285714285718</v>
      </c>
      <c r="BY57" s="12">
        <f>IF('Données projet'!$A$114&gt;35,BY56+BX57-CG56,IF(A57&lt;'Données projet'!$A$114,$BV$205^A57,IF(A57='Données projet'!$A$114,'Données projet'!$B$114,BY56+BX57-CG56)))</f>
        <v>492.84142857142854</v>
      </c>
      <c r="BZ57" s="13">
        <f>BY57*VLOOKUP('Données projet'!$B$12,Paramètres!$A$1:$I$89,3,0)*VLOOKUP('Données projet'!$B$12,Paramètres!$A$1:$I$89,5,0)</f>
        <v>224.24285</v>
      </c>
      <c r="CA57" s="13">
        <f t="shared" si="39"/>
        <v>55.036020498783031</v>
      </c>
      <c r="CB57" s="20">
        <f t="shared" si="10"/>
        <v>486.41069945204708</v>
      </c>
      <c r="CC57" s="59">
        <f t="shared" si="11"/>
        <v>744.11507211938647</v>
      </c>
      <c r="CD57" s="59">
        <f ca="1">AVERAGE(OFFSET($CC$3,0,0,'Données projet'!$E$12+1,1))-AVERAGE(OFFSET($H$3,0,0,'Données projet'!$E$12+1,1))</f>
        <v>341.60063595566282</v>
      </c>
      <c r="CE57" s="59">
        <f t="shared" si="40"/>
        <v>317.05609766344219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47.555261221466239</v>
      </c>
      <c r="CL57" s="21">
        <f>EXP(-LN(2)/25)*CL56+(1-EXP(-LN(2)/25))/(LN(2)/25)*Calculateur!CG57*Calculateur!CI57*VLOOKUP('Données projet'!$B$12,Paramètres!$A$1:$I$89,3,0)*0.475*44/12</f>
        <v>27.61209229392929</v>
      </c>
      <c r="CM57" s="21">
        <f>EXP(-LN(2)/2)*CM56+(1-EXP(-LN(2)/2))/(LN(2)/2)*CG57*CJ57*VLOOKUP('Données projet'!$B$12,Paramètres!$A$1:$I$89,3,0)*0.475*44/12</f>
        <v>2.0404872037193633</v>
      </c>
      <c r="CN57" s="22">
        <f t="shared" si="12"/>
        <v>77.207840719114898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4.3599999999999994</v>
      </c>
      <c r="CT57" s="12">
        <f>IF('Données projet'!$A$140&gt;35,CT56+CS57-DB56,IF(A57&lt;'Données projet'!$A$140,$CQ$205^A57,IF(A57='Données projet'!$A$140,'Données projet'!$B$140,CT56+CS57-DB56)))</f>
        <v>133.45999999999992</v>
      </c>
      <c r="CU57" s="17">
        <f>CT57*VLOOKUP('Données projet'!$B$13,Paramètres!$A$1:$I$89,3,0)*VLOOKUP('Données projet'!$B$13,Paramètres!$A$1:$I$89,5,0)</f>
        <v>139.49239199999994</v>
      </c>
      <c r="CV57" s="13">
        <f t="shared" si="41"/>
        <v>36.180695058469666</v>
      </c>
      <c r="CW57" s="20">
        <f t="shared" si="13"/>
        <v>305.96395996016787</v>
      </c>
      <c r="CX57" s="59">
        <f t="shared" si="14"/>
        <v>563.6683326275072</v>
      </c>
      <c r="CY57" s="59">
        <f ca="1">AVERAGE(OFFSET($CX$3,0,0,'Données projet'!$E$13+1,1))-AVERAGE(OFFSET($H$3,0,0,'Données projet'!$E$13+1,1))</f>
        <v>287.73449456153207</v>
      </c>
      <c r="CZ57" s="59">
        <f t="shared" si="42"/>
        <v>296.74833899433281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11.202414697097339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11.202414697097339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8.2874999999999979</v>
      </c>
      <c r="DO57" s="12">
        <f>IF('Données projet'!$A$166&gt;35,DO56+DN57-DW56,IF(A57&lt;'Données projet'!$A$166,$DL$205^A57,IF(A57='Données projet'!$A$166,'Données projet'!$B$166,DO56+DN57-DW56)))</f>
        <v>157.7525</v>
      </c>
      <c r="DP57" s="17">
        <f>DO57*VLOOKUP('Données projet'!$B$14,Paramètres!$A$1:$I$89,3,0)*VLOOKUP('Données projet'!$B$14,Paramètres!$A$1:$I$89,5,0)</f>
        <v>159.96103500000001</v>
      </c>
      <c r="DQ57" s="13">
        <f t="shared" si="43"/>
        <v>40.833726617603936</v>
      </c>
      <c r="DR57" s="20">
        <f t="shared" si="16"/>
        <v>349.71754315066022</v>
      </c>
      <c r="DS57" s="59">
        <f t="shared" si="17"/>
        <v>607.42191581799955</v>
      </c>
      <c r="DT57" s="59">
        <f ca="1">AVERAGE(OFFSET($DS$3,0,0,'Données projet'!$E$14+1,1))-AVERAGE(OFFSET($H$3,0,0,'Données projet'!$E$14+1,1))</f>
        <v>532.34688562681413</v>
      </c>
      <c r="DU57" s="59">
        <f t="shared" si="44"/>
        <v>345.42627129678556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12.138551552155095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12.138551552155095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-5.6843418860808015E-14</v>
      </c>
      <c r="EK57" s="17">
        <f>EJ57*VLOOKUP('Données projet'!$B$15,Paramètres!$A$1:$I$89,3,0)*VLOOKUP('Données projet'!$B$15,Paramètres!$A$1:$I$89,5,0)</f>
        <v>-5.1431925385259088E-14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256.20286603823035</v>
      </c>
      <c r="EP57" s="59">
        <f t="shared" si="46"/>
        <v>364.83827155069434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42.126799121191027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42.126799121191027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8.2874999999999979</v>
      </c>
      <c r="FE57" s="12">
        <f>IF('Données projet'!$A$218&gt;35,FE56+FD57-FM56,IF(A57&lt;'Données projet'!$A$218,$FB$205^A57,IF(A57='Données projet'!$A$218,'Données projet'!$B$218,FE56+FD57-FM56)))</f>
        <v>157.7525</v>
      </c>
      <c r="FF57" s="17">
        <f>FE57*VLOOKUP('Données projet'!$B$16,Paramètres!$A$1:$I$89,3,0)*VLOOKUP('Données projet'!$B$16,Paramètres!$A$1:$I$89,5,0)</f>
        <v>105.82037699999999</v>
      </c>
      <c r="FG57" s="13">
        <f t="shared" si="47"/>
        <v>28.344023687251983</v>
      </c>
      <c r="FH57" s="20">
        <f t="shared" si="22"/>
        <v>233.66966453029715</v>
      </c>
      <c r="FI57" s="59">
        <f t="shared" si="23"/>
        <v>491.37403719763648</v>
      </c>
      <c r="FJ57" s="59">
        <f ca="1">AVERAGE(OFFSET($FI$3,0,0,'Données projet'!$E$16+1,1))-AVERAGE(OFFSET($H$3,0,0,'Données projet'!$E$16+1,1))</f>
        <v>380.73695370216979</v>
      </c>
      <c r="FK57" s="59">
        <f t="shared" si="48"/>
        <v>249.34467160415713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9.8975881886803094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9.8975881886803094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8.2874999999999979</v>
      </c>
      <c r="FZ57" s="12">
        <f>IF('Données projet'!$A$244&gt;35,FZ56+FY57-GH56,IF(A57&lt;'Données projet'!$A$244,$FW$205^A57,IF(A57='Données projet'!$A$244,'Données projet'!$B$244,FZ56+FY57-GH56)))</f>
        <v>157.7525</v>
      </c>
      <c r="GA57" s="17">
        <f>FZ57*VLOOKUP('Données projet'!$B$17,Paramètres!$A$1:$I$89,3,0)*VLOOKUP('Données projet'!$B$17,Paramètres!$A$1:$I$89,5,0)</f>
        <v>152.57821800000002</v>
      </c>
      <c r="GB57" s="13">
        <f t="shared" si="49"/>
        <v>39.163912514616456</v>
      </c>
      <c r="GC57" s="20">
        <f t="shared" si="25"/>
        <v>333.950877312957</v>
      </c>
      <c r="GD57" s="59">
        <f t="shared" si="26"/>
        <v>591.65524998029628</v>
      </c>
      <c r="GE57" s="59">
        <f ca="1">AVERAGE(OFFSET($GD$3,0,0,'Données projet'!$E$17+1,1))-AVERAGE(OFFSET($H$3,0,0,'Données projet'!$E$17+1,1))</f>
        <v>511.7458522930001</v>
      </c>
      <c r="GF57" s="59">
        <f t="shared" si="50"/>
        <v>332.37317679966122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11.578310711286397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11.578310711286397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6</v>
      </c>
      <c r="GU57" s="12">
        <f>IF('Données projet'!$A$270&gt;35,GU56+GT57-HC56,IF(A57&lt;'Données projet'!$A$270,$GR$205^A57,IF(A57='Données projet'!$A$270,'Données projet'!$B$270,GU56+GT57-HC56)))</f>
        <v>225.99999999999989</v>
      </c>
      <c r="GV57" s="17">
        <f>GU57*VLOOKUP('Données projet'!$B$18,Paramètres!$A$1:$I$89,3,0)*VLOOKUP('Données projet'!$B$18,Paramètres!$A$1:$I$89,5,0)</f>
        <v>197.43359999999993</v>
      </c>
      <c r="GW57" s="13">
        <f t="shared" si="51"/>
        <v>49.179727436837609</v>
      </c>
      <c r="GX57" s="20">
        <f t="shared" si="28"/>
        <v>429.51821195249204</v>
      </c>
      <c r="GY57" s="59">
        <f t="shared" si="29"/>
        <v>687.22258461983142</v>
      </c>
      <c r="GZ57" s="59">
        <f ca="1">AVERAGE(OFFSET($GY$3,0,0,'Données projet'!$E$18+1,1))-AVERAGE(OFFSET($H$3,0,0,'Données projet'!$E$18+1,1))</f>
        <v>348.77506423101278</v>
      </c>
      <c r="HA57" s="59">
        <f t="shared" si="52"/>
        <v>336.13747591329548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14.975879348636958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14.975879348636958</v>
      </c>
    </row>
    <row r="58" spans="1:218" x14ac:dyDescent="0.2">
      <c r="A58" s="10">
        <f t="shared" si="31"/>
        <v>55</v>
      </c>
      <c r="B58" s="71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5">
        <f t="shared" si="1"/>
        <v>183.33333333333334</v>
      </c>
      <c r="I58" s="6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16.944285714285709</v>
      </c>
      <c r="N58" s="13">
        <f>IF('Données projet'!$A$36&gt;35,N57+M58-V57,IF(A58&lt;'Données projet'!$A$36,$K$205^A58,IF(A58='Données projet'!$A$36,'Données projet'!$B$36,N57+M58-V57)))</f>
        <v>362.76571428571413</v>
      </c>
      <c r="O58" s="13">
        <f>N58*VLOOKUP('Données projet'!$B$9,Paramètres!$A$1:$I$89,3,0)*VLOOKUP('Données projet'!$B$9,Paramètres!$A$1:$I$89,5,0)</f>
        <v>169.7743542857142</v>
      </c>
      <c r="P58" s="13">
        <f t="shared" si="33"/>
        <v>43.039482545615591</v>
      </c>
      <c r="Q58" s="20">
        <f t="shared" si="53"/>
        <v>370.650765814566</v>
      </c>
      <c r="R58" s="59">
        <f t="shared" si="0"/>
        <v>628.97322129503732</v>
      </c>
      <c r="S58" s="59">
        <f ca="1">AVERAGE(OFFSET($R$3,0,0,'Données projet'!$E$9+1,1))-AVERAGE(OFFSET($H$3,0,0,'Données projet'!$E$9+1,1))</f>
        <v>387.50901594883317</v>
      </c>
      <c r="T58" s="59">
        <f t="shared" si="34"/>
        <v>361.3623790401972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26.590164614374775</v>
      </c>
      <c r="AA58" s="21">
        <f>EXP(-LN(2)/25)*AA57+(1-EXP(-LN(2)/25))/(LN(2)/25)*Calculateur!V58*Calculateur!X58*VLOOKUP('Données projet'!$B$9,Paramètres!$A$1:$I$89,3,0)*0.475*44/12</f>
        <v>26.678797814955281</v>
      </c>
      <c r="AB58" s="21">
        <f>EXP(-LN(2)/2)*AB57+(1-EXP(-LN(2)/2))/(LN(2)/2)*V58*Y58*VLOOKUP('Données projet'!$B$9,Paramètres!$A$1:$I$89,3,0)*0.475*44/12</f>
        <v>2.0558968403601527</v>
      </c>
      <c r="AC58" s="22">
        <f t="shared" si="3"/>
        <v>55.324859269690215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</v>
      </c>
      <c r="AI58" s="13">
        <f>IF('Données projet'!$A$62&gt;35,AI57+AH58-AQ57,IF(A58&lt;'Données projet'!$A$62,$AF$205^A58,IF(A58='Données projet'!$A$62,'Données projet'!$B$62,AI57+AH58-AQ57)))</f>
        <v>370.3400000000002</v>
      </c>
      <c r="AJ58" s="13">
        <f>AI58*VLOOKUP('Données projet'!$B$10,Paramètres!$A$1:$I$89,3,0)*VLOOKUP('Données projet'!$B$10,Paramètres!$A$1:$I$89,5,0)</f>
        <v>221.46332000000012</v>
      </c>
      <c r="AK58" s="13">
        <f t="shared" si="35"/>
        <v>54.432808276273747</v>
      </c>
      <c r="AL58" s="20">
        <f t="shared" si="4"/>
        <v>480.51909008117696</v>
      </c>
      <c r="AM58" s="59">
        <f t="shared" si="5"/>
        <v>738.84154556164833</v>
      </c>
      <c r="AN58" s="59">
        <f ca="1">AVERAGE(OFFSET($AM$3,0,0,'Données projet'!$E$10+1,1))-AVERAGE(OFFSET($H$3,0,0,'Données projet'!$E$10+1,1))</f>
        <v>373.47758082856359</v>
      </c>
      <c r="AO58" s="59">
        <f t="shared" si="36"/>
        <v>277.24895424120166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32.305273943375028</v>
      </c>
      <c r="AV58" s="21">
        <f>EXP(-LN(2)/25)*AV57+(1-EXP(-LN(2)/25))/(LN(2)/25)*Calculateur!AQ58*Calculateur!AS58*VLOOKUP('Données projet'!$B$10,Paramètres!$A$1:$I$89,3,0)*0.475*44/12</f>
        <v>18.736323180758308</v>
      </c>
      <c r="AW58" s="21">
        <f>EXP(-LN(2)/2)*AW57+(1-EXP(-LN(2)/2))/(LN(2)/2)*AQ58*AT58*VLOOKUP('Données projet'!$B$10,Paramètres!$A$1:$I$89,3,0)*0.475*44/12</f>
        <v>1.6013074615246947</v>
      </c>
      <c r="AX58" s="21">
        <f t="shared" si="6"/>
        <v>52.64290458565803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17.857000000000006</v>
      </c>
      <c r="BD58" s="12">
        <f>IF('Données projet'!$A$88&gt;35,BD57+BC58-BL57,IF(A58&lt;'Données projet'!$A$88,$BA$205^A58,IF(A58='Données projet'!$A$88,'Données projet'!$B$88,BD57+BC58-BL57)))</f>
        <v>533.84300000000007</v>
      </c>
      <c r="BE58" s="13">
        <f>BD58*VLOOKUP('Données projet'!$B$11,Paramètres!$A$1:$I$89,3,0)*VLOOKUP('Données projet'!$B$11,Paramètres!$A$1:$I$89,5,0)</f>
        <v>319.23811400000011</v>
      </c>
      <c r="BF58" s="13">
        <f t="shared" si="37"/>
        <v>75.194806477511975</v>
      </c>
      <c r="BG58" s="20">
        <f t="shared" si="7"/>
        <v>686.97066983166678</v>
      </c>
      <c r="BH58" s="59">
        <f t="shared" si="8"/>
        <v>945.29312531213816</v>
      </c>
      <c r="BI58" s="59">
        <f ca="1">AVERAGE(OFFSET($BH$3,0,0,'Données projet'!$E$11+1,1))-AVERAGE(OFFSET($H$3,0,0,'Données projet'!$E$11+1,1))</f>
        <v>460.88622650237176</v>
      </c>
      <c r="BJ58" s="59">
        <f t="shared" si="38"/>
        <v>396.05161661639647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33.567364376125049</v>
      </c>
      <c r="BQ58" s="21">
        <f>EXP(-LN(2)/25)*BQ57+(1-EXP(-LN(2)/25))/(LN(2)/25)*Calculateur!BL58*Calculateur!BN58*VLOOKUP('Données projet'!$B$11,Paramètres!$A$1:$I$89,3,0)*0.475*44/12</f>
        <v>18.390789776370731</v>
      </c>
      <c r="BR58" s="21">
        <f>EXP(-LN(2)/2)*BR57+(1-EXP(-LN(2)/2))/(LN(2)/2)*BL58*BO58*VLOOKUP('Données projet'!$B$11,Paramètres!$A$1:$I$89,3,0)*0.475*44/12</f>
        <v>0.51978163969221791</v>
      </c>
      <c r="BS58" s="22">
        <f t="shared" si="9"/>
        <v>52.477935792187999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20.324285714285718</v>
      </c>
      <c r="BY58" s="12">
        <f>IF('Données projet'!$A$114&gt;35,BY57+BX58-CG57,IF(A58&lt;'Données projet'!$A$114,$BV$205^A58,IF(A58='Données projet'!$A$114,'Données projet'!$B$114,BY57+BX58-CG57)))</f>
        <v>513.16571428571422</v>
      </c>
      <c r="BZ58" s="13">
        <f>BY58*VLOOKUP('Données projet'!$B$12,Paramètres!$A$1:$I$89,3,0)*VLOOKUP('Données projet'!$B$12,Paramètres!$A$1:$I$89,5,0)</f>
        <v>233.49039999999997</v>
      </c>
      <c r="CA58" s="13">
        <f t="shared" si="39"/>
        <v>57.036724777409667</v>
      </c>
      <c r="CB58" s="20">
        <f t="shared" si="10"/>
        <v>506.00140898732178</v>
      </c>
      <c r="CC58" s="59">
        <f t="shared" si="11"/>
        <v>764.3238644677931</v>
      </c>
      <c r="CD58" s="59">
        <f ca="1">AVERAGE(OFFSET($CC$3,0,0,'Données projet'!$E$12+1,1))-AVERAGE(OFFSET($H$3,0,0,'Données projet'!$E$12+1,1))</f>
        <v>341.60063595566282</v>
      </c>
      <c r="CE58" s="59">
        <f t="shared" si="40"/>
        <v>317.05609766344219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46.622731554758545</v>
      </c>
      <c r="CL58" s="21">
        <f>EXP(-LN(2)/25)*CL57+(1-EXP(-LN(2)/25))/(LN(2)/25)*Calculateur!CG58*Calculateur!CI58*VLOOKUP('Données projet'!$B$12,Paramètres!$A$1:$I$89,3,0)*0.475*44/12</f>
        <v>26.857038178094967</v>
      </c>
      <c r="CM58" s="21">
        <f>EXP(-LN(2)/2)*CM57+(1-EXP(-LN(2)/2))/(LN(2)/2)*CG58*CJ58*VLOOKUP('Données projet'!$B$12,Paramètres!$A$1:$I$89,3,0)*0.475*44/12</f>
        <v>1.4428423386743381</v>
      </c>
      <c r="CN58" s="22">
        <f t="shared" si="12"/>
        <v>74.922612071527851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137.82</v>
      </c>
      <c r="CR58" s="12">
        <f>VLOOKUP(A58,'Données projet'!$A$139:$I$159,9,0)</f>
        <v>4.3599999999999994</v>
      </c>
      <c r="CS58" s="12">
        <f t="array" ref="CS58">INDEX(CR:CR,MIN(IF(ISNUMBER(CR58:CR254),ROW(CR58:CR254),"")))</f>
        <v>4.3599999999999994</v>
      </c>
      <c r="CT58" s="12">
        <f>IF('Données projet'!$A$140&gt;35,CT57+CS58-DB57,IF(A58&lt;'Données projet'!$A$140,$CQ$205^A58,IF(A58='Données projet'!$A$140,'Données projet'!$B$140,CT57+CS58-DB57)))</f>
        <v>137.81999999999994</v>
      </c>
      <c r="CU58" s="17">
        <f>CT58*VLOOKUP('Données projet'!$B$13,Paramètres!$A$1:$I$89,3,0)*VLOOKUP('Données projet'!$B$13,Paramètres!$A$1:$I$89,5,0)</f>
        <v>144.04946399999994</v>
      </c>
      <c r="CV58" s="13">
        <f t="shared" si="41"/>
        <v>37.223135722578249</v>
      </c>
      <c r="CW58" s="20">
        <f t="shared" si="13"/>
        <v>315.71644451682369</v>
      </c>
      <c r="CX58" s="59">
        <f t="shared" si="14"/>
        <v>574.03889999729506</v>
      </c>
      <c r="CY58" s="59">
        <f ca="1">AVERAGE(OFFSET($CX$3,0,0,'Données projet'!$E$13+1,1))-AVERAGE(OFFSET($H$3,0,0,'Données projet'!$E$13+1,1))</f>
        <v>287.73449456153207</v>
      </c>
      <c r="CZ58" s="59">
        <f t="shared" si="42"/>
        <v>296.74833899433281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16.03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14.168468623084427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14.168468623084427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8.2874999999999979</v>
      </c>
      <c r="DO58" s="12">
        <f>IF('Données projet'!$A$166&gt;35,DO57+DN58-DW57,IF(A58&lt;'Données projet'!$A$166,$DL$205^A58,IF(A58='Données projet'!$A$166,'Données projet'!$B$166,DO57+DN58-DW57)))</f>
        <v>166.04</v>
      </c>
      <c r="DP58" s="17">
        <f>DO58*VLOOKUP('Données projet'!$B$14,Paramètres!$A$1:$I$89,3,0)*VLOOKUP('Données projet'!$B$14,Paramètres!$A$1:$I$89,5,0)</f>
        <v>168.36456000000001</v>
      </c>
      <c r="DQ58" s="13">
        <f t="shared" si="43"/>
        <v>42.72353360967368</v>
      </c>
      <c r="DR58" s="20">
        <f t="shared" si="16"/>
        <v>367.64509637018165</v>
      </c>
      <c r="DS58" s="59">
        <f t="shared" si="17"/>
        <v>625.96755185065308</v>
      </c>
      <c r="DT58" s="59">
        <f ca="1">AVERAGE(OFFSET($DS$3,0,0,'Données projet'!$E$14+1,1))-AVERAGE(OFFSET($H$3,0,0,'Données projet'!$E$14+1,1))</f>
        <v>532.34688562681413</v>
      </c>
      <c r="DU58" s="59">
        <f t="shared" si="44"/>
        <v>345.42627129678556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11.900521960002717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11.900521960002717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-5.6843418860808015E-14</v>
      </c>
      <c r="EK58" s="17">
        <f>EJ58*VLOOKUP('Données projet'!$B$15,Paramètres!$A$1:$I$89,3,0)*VLOOKUP('Données projet'!$B$15,Paramètres!$A$1:$I$89,5,0)</f>
        <v>-5.1431925385259088E-14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256.20286603823035</v>
      </c>
      <c r="EP58" s="59">
        <f t="shared" si="46"/>
        <v>364.83827155069434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41.300718285234787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41.300718285234787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8.2874999999999979</v>
      </c>
      <c r="FE58" s="12">
        <f>IF('Données projet'!$A$218&gt;35,FE57+FD58-FM57,IF(A58&lt;'Données projet'!$A$218,$FB$205^A58,IF(A58='Données projet'!$A$218,'Données projet'!$B$218,FE57+FD58-FM57)))</f>
        <v>166.04</v>
      </c>
      <c r="FF58" s="17">
        <f>FE58*VLOOKUP('Données projet'!$B$16,Paramètres!$A$1:$I$89,3,0)*VLOOKUP('Données projet'!$B$16,Paramètres!$A$1:$I$89,5,0)</f>
        <v>111.379632</v>
      </c>
      <c r="FG58" s="13">
        <f t="shared" si="47"/>
        <v>29.655800460632936</v>
      </c>
      <c r="FH58" s="20">
        <f t="shared" si="22"/>
        <v>245.63671153560236</v>
      </c>
      <c r="FI58" s="59">
        <f t="shared" si="23"/>
        <v>503.95916701607371</v>
      </c>
      <c r="FJ58" s="59">
        <f ca="1">AVERAGE(OFFSET($FI$3,0,0,'Données projet'!$E$16+1,1))-AVERAGE(OFFSET($H$3,0,0,'Données projet'!$E$16+1,1))</f>
        <v>380.73695370216979</v>
      </c>
      <c r="FK58" s="59">
        <f t="shared" si="48"/>
        <v>249.34467160415713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9.703502521232986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9.703502521232986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8.2874999999999979</v>
      </c>
      <c r="FZ58" s="12">
        <f>IF('Données projet'!$A$244&gt;35,FZ57+FY58-GH57,IF(A58&lt;'Données projet'!$A$244,$FW$205^A58,IF(A58='Données projet'!$A$244,'Données projet'!$B$244,FZ57+FY58-GH57)))</f>
        <v>166.04</v>
      </c>
      <c r="GA58" s="17">
        <f>FZ58*VLOOKUP('Données projet'!$B$17,Paramètres!$A$1:$I$89,3,0)*VLOOKUP('Données projet'!$B$17,Paramètres!$A$1:$I$89,5,0)</f>
        <v>160.59388799999999</v>
      </c>
      <c r="GB58" s="13">
        <f t="shared" si="49"/>
        <v>40.976439605274457</v>
      </c>
      <c r="GC58" s="20">
        <f t="shared" si="25"/>
        <v>351.06832057918632</v>
      </c>
      <c r="GD58" s="59">
        <f t="shared" si="26"/>
        <v>609.3907760596577</v>
      </c>
      <c r="GE58" s="59">
        <f ca="1">AVERAGE(OFFSET($GD$3,0,0,'Données projet'!$E$17+1,1))-AVERAGE(OFFSET($H$3,0,0,'Données projet'!$E$17+1,1))</f>
        <v>511.7458522930001</v>
      </c>
      <c r="GF58" s="59">
        <f t="shared" si="50"/>
        <v>332.37317679966122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11.351267100310283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11.351267100310283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232</v>
      </c>
      <c r="GS58" s="12">
        <f>VLOOKUP(A58,'Données projet'!$A$269:$I$289,9,0)</f>
        <v>6</v>
      </c>
      <c r="GT58" s="12">
        <f t="array" ref="GT58">INDEX(GS:GS,MIN(IF(ISNUMBER(GS58:GS254),ROW(GS58:GS254),"")))</f>
        <v>6</v>
      </c>
      <c r="GU58" s="12">
        <f>IF('Données projet'!$A$270&gt;35,GU57+GT58-HC57,IF(A58&lt;'Données projet'!$A$270,$GR$205^A58,IF(A58='Données projet'!$A$270,'Données projet'!$B$270,GU57+GT58-HC57)))</f>
        <v>231.99999999999989</v>
      </c>
      <c r="GV58" s="17">
        <f>GU58*VLOOKUP('Données projet'!$B$18,Paramètres!$A$1:$I$89,3,0)*VLOOKUP('Données projet'!$B$18,Paramètres!$A$1:$I$89,5,0)</f>
        <v>202.67519999999993</v>
      </c>
      <c r="GW58" s="13">
        <f t="shared" si="51"/>
        <v>50.33164028531364</v>
      </c>
      <c r="GX58" s="20">
        <f t="shared" si="28"/>
        <v>440.65358016358778</v>
      </c>
      <c r="GY58" s="59">
        <f t="shared" si="29"/>
        <v>698.97603564405915</v>
      </c>
      <c r="GZ58" s="59">
        <f ca="1">AVERAGE(OFFSET($GY$3,0,0,'Données projet'!$E$18+1,1))-AVERAGE(OFFSET($H$3,0,0,'Données projet'!$E$18+1,1))</f>
        <v>348.77506423101278</v>
      </c>
      <c r="HA58" s="59">
        <f t="shared" si="52"/>
        <v>336.13747591329548</v>
      </c>
      <c r="HB58" s="15">
        <f>IF(ISNA(VLOOKUP(A58,'Données projet'!$A$269:$I$289,3,0)),0,VLOOKUP(A58,'Données projet'!$A$269:$I$289,3,0))</f>
        <v>9</v>
      </c>
      <c r="HC58" s="15">
        <f>IF(ISNA(VLOOKUP(A58,'Données projet'!$A$269:$I$289,4,0)),0,VLOOKUP(A58,'Données projet'!$A$269:$I$289,4,0))</f>
        <v>13</v>
      </c>
      <c r="HD58" s="16">
        <f>IF(ISNA(VLOOKUP(A58,'Données projet'!$A$269:$I$289,5,0)),0%,VLOOKUP(A58,'Données projet'!$A$269:$I$289,5,0)*VLOOKUP('Données projet'!$B$18,Paramètres!$A$1:$I$89,7,0))</f>
        <v>0.26500000000000001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18.009182080658796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18.009182080658796</v>
      </c>
    </row>
    <row r="59" spans="1:218" x14ac:dyDescent="0.2">
      <c r="A59" s="10">
        <f t="shared" si="31"/>
        <v>56</v>
      </c>
      <c r="B59" s="71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5">
        <f t="shared" si="1"/>
        <v>183.33333333333334</v>
      </c>
      <c r="I59" s="6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379.71</v>
      </c>
      <c r="L59" s="12">
        <f>VLOOKUP(A59,'Données projet'!$A$35:$I$55,9,0)</f>
        <v>16.944285714285709</v>
      </c>
      <c r="M59" s="12">
        <f t="array" ref="M59">INDEX(L:L,MIN(IF(ISNUMBER(L59:L255),ROW(L59:L255),"")))</f>
        <v>16.944285714285709</v>
      </c>
      <c r="N59" s="13">
        <f>IF('Données projet'!$A$36&gt;35,N58+M59-V58,IF(A59&lt;'Données projet'!$A$36,$K$205^A59,IF(A59='Données projet'!$A$36,'Données projet'!$B$36,N58+M59-V58)))</f>
        <v>379.70999999999981</v>
      </c>
      <c r="O59" s="13">
        <f>N59*VLOOKUP('Données projet'!$B$9,Paramètres!$A$1:$I$89,3,0)*VLOOKUP('Données projet'!$B$9,Paramètres!$A$1:$I$89,5,0)</f>
        <v>177.70427999999993</v>
      </c>
      <c r="P59" s="13">
        <f t="shared" si="33"/>
        <v>44.811049826105538</v>
      </c>
      <c r="Q59" s="20">
        <f t="shared" si="53"/>
        <v>387.54753278046701</v>
      </c>
      <c r="R59" s="59">
        <f t="shared" si="0"/>
        <v>646.4773487190887</v>
      </c>
      <c r="S59" s="59">
        <f ca="1">AVERAGE(OFFSET($R$3,0,0,'Données projet'!$E$9+1,1))-AVERAGE(OFFSET($H$3,0,0,'Données projet'!$E$9+1,1))</f>
        <v>387.50901594883317</v>
      </c>
      <c r="T59" s="59">
        <f t="shared" si="34"/>
        <v>361.3623790401972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79.39</v>
      </c>
      <c r="W59" s="16">
        <f>IF(ISNA(VLOOKUP(A59,'Données projet'!$A$35:$I$55,5,0)),0%,VLOOKUP(A59,'Données projet'!$A$35:$I$55,5,0)*VLOOKUP('Données projet'!$B$9,Paramètres!$A$1:$I$89,7,0))</f>
        <v>0.27500000000000002</v>
      </c>
      <c r="X59" s="16">
        <f>IF(ISNA(VLOOKUP(A59,'Données projet'!$A$35:$I$55,6,0)),0%,VLOOKUP(A59,'Données projet'!$A$35:$I$55,6,0)*VLOOKUP('Données projet'!$B$9,Paramètres!$A$1:$I$89,7,0))</f>
        <v>0.15400000000000003</v>
      </c>
      <c r="Y59" s="16">
        <f>IF(ISNA(VLOOKUP(A59,'Données projet'!$A$35:$I$55,7,0)),0%,VLOOKUP(A59,'Données projet'!$A$35:$I$55,7,0))</f>
        <v>0.22</v>
      </c>
      <c r="Z59" s="21">
        <f>EXP(-LN(2)/35)*Z58+(1-EXP(-LN(2)/35))/(LN(2)/35)*V59*W59*VLOOKUP('Données projet'!$B$9,Paramètres!$A$1:$I$89,3,0)*0.475*44/12</f>
        <v>39.622910742188182</v>
      </c>
      <c r="AA59" s="21">
        <f>EXP(-LN(2)/25)*AA58+(1-EXP(-LN(2)/25))/(LN(2)/25)*Calculateur!V59*Calculateur!X59*VLOOKUP('Données projet'!$B$9,Paramètres!$A$1:$I$89,3,0)*0.475*44/12</f>
        <v>33.509709960254618</v>
      </c>
      <c r="AB59" s="21">
        <f>EXP(-LN(2)/2)*AB58+(1-EXP(-LN(2)/2))/(LN(2)/2)*V59*Y59*VLOOKUP('Données projet'!$B$9,Paramètres!$A$1:$I$89,3,0)*0.475*44/12</f>
        <v>10.708599056719127</v>
      </c>
      <c r="AC59" s="22">
        <f t="shared" si="3"/>
        <v>83.84121975916193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</v>
      </c>
      <c r="AI59" s="13">
        <f>IF('Données projet'!$A$62&gt;35,AI58+AH59-AQ58,IF(A59&lt;'Données projet'!$A$62,$AF$205^A59,IF(A59='Données projet'!$A$62,'Données projet'!$B$62,AI58+AH59-AQ58)))</f>
        <v>384.46000000000021</v>
      </c>
      <c r="AJ59" s="13">
        <f>AI59*VLOOKUP('Données projet'!$B$10,Paramètres!$A$1:$I$89,3,0)*VLOOKUP('Données projet'!$B$10,Paramètres!$A$1:$I$89,5,0)</f>
        <v>229.90708000000015</v>
      </c>
      <c r="AK59" s="13">
        <f t="shared" si="35"/>
        <v>56.262589582193186</v>
      </c>
      <c r="AL59" s="20">
        <f t="shared" si="4"/>
        <v>498.41217452232013</v>
      </c>
      <c r="AM59" s="59">
        <f t="shared" si="5"/>
        <v>757.34199046094182</v>
      </c>
      <c r="AN59" s="59">
        <f ca="1">AVERAGE(OFFSET($AM$3,0,0,'Données projet'!$E$10+1,1))-AVERAGE(OFFSET($H$3,0,0,'Données projet'!$E$10+1,1))</f>
        <v>373.47758082856359</v>
      </c>
      <c r="AO59" s="59">
        <f t="shared" si="36"/>
        <v>277.24895424120166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31.671787225616914</v>
      </c>
      <c r="AV59" s="21">
        <f>EXP(-LN(2)/25)*AV58+(1-EXP(-LN(2)/25))/(LN(2)/25)*Calculateur!AQ59*Calculateur!AS59*VLOOKUP('Données projet'!$B$10,Paramètres!$A$1:$I$89,3,0)*0.475*44/12</f>
        <v>18.223977438080059</v>
      </c>
      <c r="AW59" s="21">
        <f>EXP(-LN(2)/2)*AW58+(1-EXP(-LN(2)/2))/(LN(2)/2)*AQ59*AT59*VLOOKUP('Données projet'!$B$10,Paramètres!$A$1:$I$89,3,0)*0.475*44/12</f>
        <v>1.1322953648087282</v>
      </c>
      <c r="AX59" s="21">
        <f t="shared" si="6"/>
        <v>51.028060028505699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551.70000000000005</v>
      </c>
      <c r="BB59" s="12">
        <f>VLOOKUP(A59,'Données projet'!$A$87:$I$107,9,0)</f>
        <v>17.857000000000006</v>
      </c>
      <c r="BC59" s="12">
        <f t="array" ref="BC59">INDEX(BB:BB,MIN(IF(ISNUMBER(BB59:BB255),ROW(BB59:BB255),"")))</f>
        <v>17.857000000000006</v>
      </c>
      <c r="BD59" s="12">
        <f>IF('Données projet'!$A$88&gt;35,BD58+BC59-BL58,IF(A59&lt;'Données projet'!$A$88,$BA$205^A59,IF(A59='Données projet'!$A$88,'Données projet'!$B$88,BD58+BC59-BL58)))</f>
        <v>551.70000000000005</v>
      </c>
      <c r="BE59" s="13">
        <f>BD59*VLOOKUP('Données projet'!$B$11,Paramètres!$A$1:$I$89,3,0)*VLOOKUP('Données projet'!$B$11,Paramètres!$A$1:$I$89,5,0)</f>
        <v>329.91660000000007</v>
      </c>
      <c r="BF59" s="13">
        <f t="shared" si="37"/>
        <v>77.413015969653813</v>
      </c>
      <c r="BG59" s="20">
        <f t="shared" si="7"/>
        <v>709.43241448048047</v>
      </c>
      <c r="BH59" s="59">
        <f t="shared" si="8"/>
        <v>968.36223041910216</v>
      </c>
      <c r="BI59" s="59">
        <f ca="1">AVERAGE(OFFSET($BH$3,0,0,'Données projet'!$E$11+1,1))-AVERAGE(OFFSET($H$3,0,0,'Données projet'!$E$11+1,1))</f>
        <v>460.88622650237176</v>
      </c>
      <c r="BJ59" s="59">
        <f t="shared" si="38"/>
        <v>396.05161661639647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77.37</v>
      </c>
      <c r="BM59" s="16">
        <f>IF(ISNA(VLOOKUP(A59,'Données projet'!$A$87:$I$107,5,0)),0%,VLOOKUP(A59,'Données projet'!$A$87:$I$107,5,0)*VLOOKUP('Données projet'!$B$11,Paramètres!$A$1:$I$89,7,0))</f>
        <v>0.27</v>
      </c>
      <c r="BN59" s="16">
        <f>IF(ISNA(VLOOKUP(A59,'Données projet'!$A$87:$I$107,6,0)),0%,VLOOKUP(A59,'Données projet'!$A$87:$I$107,6,0)*VLOOKUP('Données projet'!$B$11,Paramètres!$A$1:$I$89,7,0))</f>
        <v>9.9000000000000005E-2</v>
      </c>
      <c r="BO59" s="16">
        <f>IF(ISNA(VLOOKUP(A59,'Données projet'!$A$87:$I$107,7,0)),0%,VLOOKUP(A59,'Données projet'!$A$87:$I$107,7,0))</f>
        <v>0.18</v>
      </c>
      <c r="BP59" s="21">
        <f>EXP(-LN(2)/35)*BP58+(1-EXP(-LN(2)/35))/(LN(2)/35)*BL59*BM59*VLOOKUP('Données projet'!$B$11,Paramètres!$A$1:$I$89,3,0)*0.475*44/12</f>
        <v>49.480784527756356</v>
      </c>
      <c r="BQ59" s="21">
        <f>EXP(-LN(2)/25)*BQ58+(1-EXP(-LN(2)/25))/(LN(2)/25)*Calculateur!BL59*Calculateur!BN59*VLOOKUP('Données projet'!$B$11,Paramètres!$A$1:$I$89,3,0)*0.475*44/12</f>
        <v>23.940241811885986</v>
      </c>
      <c r="BR59" s="21">
        <f>EXP(-LN(2)/2)*BR58+(1-EXP(-LN(2)/2))/(LN(2)/2)*BL59*BO59*VLOOKUP('Données projet'!$B$11,Paramètres!$A$1:$I$89,3,0)*0.475*44/12</f>
        <v>9.7968926183724143</v>
      </c>
      <c r="BS59" s="22">
        <f t="shared" si="9"/>
        <v>83.217918958014749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533.49</v>
      </c>
      <c r="BW59" s="12">
        <f>VLOOKUP(A59,'Données projet'!$A$113:$I$133,9,0)</f>
        <v>20.324285714285718</v>
      </c>
      <c r="BX59" s="12">
        <f t="array" ref="BX59">INDEX(BW:BW,MIN(IF(ISNUMBER(BW59:BW255),ROW(BW59:BW255),"")))</f>
        <v>20.324285714285718</v>
      </c>
      <c r="BY59" s="12">
        <f>IF('Données projet'!$A$114&gt;35,BY58+BX59-CG58,IF(A59&lt;'Données projet'!$A$114,$BV$205^A59,IF(A59='Données projet'!$A$114,'Données projet'!$B$114,BY58+BX59-CG58)))</f>
        <v>533.4899999999999</v>
      </c>
      <c r="BZ59" s="13">
        <f>BY59*VLOOKUP('Données projet'!$B$12,Paramètres!$A$1:$I$89,3,0)*VLOOKUP('Données projet'!$B$12,Paramètres!$A$1:$I$89,5,0)</f>
        <v>242.73794999999996</v>
      </c>
      <c r="CA59" s="13">
        <f t="shared" si="39"/>
        <v>59.02822428930677</v>
      </c>
      <c r="CB59" s="20">
        <f t="shared" si="10"/>
        <v>525.57608688720916</v>
      </c>
      <c r="CC59" s="59">
        <f t="shared" si="11"/>
        <v>784.50590282583084</v>
      </c>
      <c r="CD59" s="59">
        <f ca="1">AVERAGE(OFFSET($CC$3,0,0,'Données projet'!$E$12+1,1))-AVERAGE(OFFSET($H$3,0,0,'Données projet'!$E$12+1,1))</f>
        <v>341.60063595566282</v>
      </c>
      <c r="CE59" s="59">
        <f t="shared" si="40"/>
        <v>317.05609766344219</v>
      </c>
      <c r="CF59" s="15">
        <f>IF(ISNA(VLOOKUP(A59,'Données projet'!$A$113:$I$133,3,0)),0,VLOOKUP(A59,'Données projet'!$A$113:$I$133,3,0))</f>
        <v>7</v>
      </c>
      <c r="CG59" s="15">
        <f>IF(ISNA(VLOOKUP(A59,'Données projet'!$A$113:$I$133,4,0)),0,VLOOKUP(A59,'Données projet'!$A$113:$I$133,4,0))</f>
        <v>94.57</v>
      </c>
      <c r="CH59" s="16">
        <f>IF(ISNA(VLOOKUP(A59,'Données projet'!$A$113:$I$133,5,0)),0%,VLOOKUP(A59,'Données projet'!$A$113:$I$133,5,0)*VLOOKUP('Données projet'!$B$12,Paramètres!$A$1:$I$89,7,0))</f>
        <v>0.33</v>
      </c>
      <c r="CI59" s="16">
        <f>IF(ISNA(VLOOKUP(A59,'Données projet'!$A$113:$I$133,6,0)),0%,VLOOKUP(A59,'Données projet'!$A$113:$I$133,6,0)*VLOOKUP('Données projet'!$B$12,Paramètres!$A$1:$I$89,7,0))</f>
        <v>0.12100000000000001</v>
      </c>
      <c r="CJ59" s="16">
        <f>IF(ISNA(VLOOKUP(A59,'Données projet'!$A$113:$I$133,7,0)),0%,VLOOKUP(A59,'Données projet'!$A$113:$I$133,7,0))</f>
        <v>0.18</v>
      </c>
      <c r="CK59" s="21">
        <f>EXP(-LN(2)/35)*CK58+(1-EXP(-LN(2)/35))/(LN(2)/35)*CG59*CH59*VLOOKUP('Données projet'!$B$12,Paramètres!$A$1:$I$89,3,0)*0.475*44/12</f>
        <v>64.545286288748287</v>
      </c>
      <c r="CL59" s="21">
        <f>EXP(-LN(2)/25)*CL58+(1-EXP(-LN(2)/25))/(LN(2)/25)*Calculateur!CG59*Calculateur!CI59*VLOOKUP('Données projet'!$B$12,Paramètres!$A$1:$I$89,3,0)*0.475*44/12</f>
        <v>33.00226220759837</v>
      </c>
      <c r="CM59" s="21">
        <f>EXP(-LN(2)/2)*CM58+(1-EXP(-LN(2)/2))/(LN(2)/2)*CG59*CJ59*VLOOKUP('Données projet'!$B$12,Paramètres!$A$1:$I$89,3,0)*0.475*44/12</f>
        <v>9.7897031679423581</v>
      </c>
      <c r="CN59" s="22">
        <f t="shared" si="12"/>
        <v>107.33725166428901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3.8480000000000016</v>
      </c>
      <c r="CT59" s="12">
        <f>IF('Données projet'!$A$140&gt;35,CT58+CS59-DB58,IF(A59&lt;'Données projet'!$A$140,$CQ$205^A59,IF(A59='Données projet'!$A$140,'Données projet'!$B$140,CT58+CS59-DB58)))</f>
        <v>125.63799999999995</v>
      </c>
      <c r="CU59" s="17">
        <f>CT59*VLOOKUP('Données projet'!$B$13,Paramètres!$A$1:$I$89,3,0)*VLOOKUP('Données projet'!$B$13,Paramètres!$A$1:$I$89,5,0)</f>
        <v>131.31683759999996</v>
      </c>
      <c r="CV59" s="13">
        <f t="shared" si="41"/>
        <v>34.300463124887081</v>
      </c>
      <c r="CW59" s="20">
        <f t="shared" si="13"/>
        <v>288.45013209584488</v>
      </c>
      <c r="CX59" s="59">
        <f t="shared" si="14"/>
        <v>547.37994803446668</v>
      </c>
      <c r="CY59" s="59">
        <f ca="1">AVERAGE(OFFSET($CX$3,0,0,'Données projet'!$E$13+1,1))-AVERAGE(OFFSET($H$3,0,0,'Données projet'!$E$13+1,1))</f>
        <v>287.73449456153207</v>
      </c>
      <c r="CZ59" s="59">
        <f t="shared" si="42"/>
        <v>296.74833899433281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13.890633595298285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13.890633595298285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8.2874999999999979</v>
      </c>
      <c r="DO59" s="12">
        <f>IF('Données projet'!$A$166&gt;35,DO58+DN59-DW58,IF(A59&lt;'Données projet'!$A$166,$DL$205^A59,IF(A59='Données projet'!$A$166,'Données projet'!$B$166,DO58+DN59-DW58)))</f>
        <v>174.32749999999999</v>
      </c>
      <c r="DP59" s="17">
        <f>DO59*VLOOKUP('Données projet'!$B$14,Paramètres!$A$1:$I$89,3,0)*VLOOKUP('Données projet'!$B$14,Paramètres!$A$1:$I$89,5,0)</f>
        <v>176.76808499999999</v>
      </c>
      <c r="DQ59" s="13">
        <f t="shared" si="43"/>
        <v>44.602388166551528</v>
      </c>
      <c r="DR59" s="20">
        <f t="shared" si="16"/>
        <v>385.55357409841054</v>
      </c>
      <c r="DS59" s="59">
        <f t="shared" si="17"/>
        <v>644.48339003703222</v>
      </c>
      <c r="DT59" s="59">
        <f ca="1">AVERAGE(OFFSET($DS$3,0,0,'Données projet'!$E$14+1,1))-AVERAGE(OFFSET($H$3,0,0,'Données projet'!$E$14+1,1))</f>
        <v>532.34688562681413</v>
      </c>
      <c r="DU59" s="59">
        <f t="shared" si="44"/>
        <v>345.42627129678556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11.667159982968732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11.667159982968732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-5.6843418860808015E-14</v>
      </c>
      <c r="EK59" s="17">
        <f>EJ59*VLOOKUP('Données projet'!$B$15,Paramètres!$A$1:$I$89,3,0)*VLOOKUP('Données projet'!$B$15,Paramètres!$A$1:$I$89,5,0)</f>
        <v>-5.1431925385259088E-14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256.20286603823035</v>
      </c>
      <c r="EP59" s="59">
        <f t="shared" si="46"/>
        <v>364.83827155069434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40.490836390612088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40.490836390612088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8.2874999999999979</v>
      </c>
      <c r="FE59" s="12">
        <f>IF('Données projet'!$A$218&gt;35,FE58+FD59-FM58,IF(A59&lt;'Données projet'!$A$218,$FB$205^A59,IF(A59='Données projet'!$A$218,'Données projet'!$B$218,FE58+FD59-FM58)))</f>
        <v>174.32749999999999</v>
      </c>
      <c r="FF59" s="17">
        <f>FE59*VLOOKUP('Données projet'!$B$16,Paramètres!$A$1:$I$89,3,0)*VLOOKUP('Données projet'!$B$16,Paramètres!$A$1:$I$89,5,0)</f>
        <v>116.93888700000001</v>
      </c>
      <c r="FG59" s="13">
        <f t="shared" si="47"/>
        <v>30.959974790929973</v>
      </c>
      <c r="FH59" s="20">
        <f t="shared" si="22"/>
        <v>257.59051761920301</v>
      </c>
      <c r="FI59" s="59">
        <f t="shared" si="23"/>
        <v>516.52033355782476</v>
      </c>
      <c r="FJ59" s="59">
        <f ca="1">AVERAGE(OFFSET($FI$3,0,0,'Données projet'!$E$16+1,1))-AVERAGE(OFFSET($H$3,0,0,'Données projet'!$E$16+1,1))</f>
        <v>380.73695370216979</v>
      </c>
      <c r="FK59" s="59">
        <f t="shared" si="48"/>
        <v>249.34467160415713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9.5132227553437367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9.5132227553437367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8.2874999999999979</v>
      </c>
      <c r="FZ59" s="12">
        <f>IF('Données projet'!$A$244&gt;35,FZ58+FY59-GH58,IF(A59&lt;'Données projet'!$A$244,$FW$205^A59,IF(A59='Données projet'!$A$244,'Données projet'!$B$244,FZ58+FY59-GH58)))</f>
        <v>174.32749999999999</v>
      </c>
      <c r="GA59" s="17">
        <f>FZ59*VLOOKUP('Données projet'!$B$17,Paramètres!$A$1:$I$89,3,0)*VLOOKUP('Données projet'!$B$17,Paramètres!$A$1:$I$89,5,0)</f>
        <v>168.60955799999999</v>
      </c>
      <c r="GB59" s="13">
        <f t="shared" si="49"/>
        <v>42.778462138812415</v>
      </c>
      <c r="GC59" s="20">
        <f t="shared" si="25"/>
        <v>368.1674684084316</v>
      </c>
      <c r="GD59" s="59">
        <f t="shared" si="26"/>
        <v>627.09728434705335</v>
      </c>
      <c r="GE59" s="59">
        <f ca="1">AVERAGE(OFFSET($GD$3,0,0,'Données projet'!$E$17+1,1))-AVERAGE(OFFSET($H$3,0,0,'Données projet'!$E$17+1,1))</f>
        <v>511.7458522930001</v>
      </c>
      <c r="GF59" s="59">
        <f t="shared" si="50"/>
        <v>332.37317679966122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11.128675676062482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11.128675676062482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5.2</v>
      </c>
      <c r="GU59" s="12">
        <f>IF('Données projet'!$A$270&gt;35,GU58+GT59-HC58,IF(A59&lt;'Données projet'!$A$270,$GR$205^A59,IF(A59='Données projet'!$A$270,'Données projet'!$B$270,GU58+GT59-HC58)))</f>
        <v>224.19999999999987</v>
      </c>
      <c r="GV59" s="17">
        <f>GU59*VLOOKUP('Données projet'!$B$18,Paramètres!$A$1:$I$89,3,0)*VLOOKUP('Données projet'!$B$18,Paramètres!$A$1:$I$89,5,0)</f>
        <v>195.86111999999991</v>
      </c>
      <c r="GW59" s="13">
        <f t="shared" si="51"/>
        <v>48.833463106716422</v>
      </c>
      <c r="GX59" s="20">
        <f t="shared" si="28"/>
        <v>426.17639891086424</v>
      </c>
      <c r="GY59" s="59">
        <f t="shared" si="29"/>
        <v>685.10621484948592</v>
      </c>
      <c r="GZ59" s="59">
        <f ca="1">AVERAGE(OFFSET($GY$3,0,0,'Données projet'!$E$18+1,1))-AVERAGE(OFFSET($H$3,0,0,'Données projet'!$E$18+1,1))</f>
        <v>348.77506423101278</v>
      </c>
      <c r="HA59" s="59">
        <f t="shared" si="52"/>
        <v>336.13747591329548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17.656033004573516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17.656033004573516</v>
      </c>
    </row>
    <row r="60" spans="1:218" x14ac:dyDescent="0.2">
      <c r="A60" s="10">
        <f t="shared" si="31"/>
        <v>57</v>
      </c>
      <c r="B60" s="71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5">
        <f t="shared" si="1"/>
        <v>183.33333333333334</v>
      </c>
      <c r="I60" s="6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16.595714285714287</v>
      </c>
      <c r="N60" s="13">
        <f>IF('Données projet'!$A$36&gt;35,N59+M60-V59,IF(A60&lt;'Données projet'!$A$36,$K$205^A60,IF(A60='Données projet'!$A$36,'Données projet'!$B$36,N59+M60-V59)))</f>
        <v>316.9157142857141</v>
      </c>
      <c r="O60" s="13">
        <f>N60*VLOOKUP('Données projet'!$B$9,Paramètres!$A$1:$I$89,3,0)*VLOOKUP('Données projet'!$B$9,Paramètres!$A$1:$I$89,5,0)</f>
        <v>148.3165542857142</v>
      </c>
      <c r="P60" s="13">
        <f t="shared" si="33"/>
        <v>38.195765606294593</v>
      </c>
      <c r="Q60" s="20">
        <f t="shared" si="53"/>
        <v>324.84229047858202</v>
      </c>
      <c r="R60" s="59">
        <f t="shared" si="0"/>
        <v>584.36893052925973</v>
      </c>
      <c r="S60" s="59">
        <f ca="1">AVERAGE(OFFSET($R$3,0,0,'Données projet'!$E$9+1,1))-AVERAGE(OFFSET($H$3,0,0,'Données projet'!$E$9+1,1))</f>
        <v>387.50901594883317</v>
      </c>
      <c r="T60" s="59">
        <f t="shared" si="34"/>
        <v>361.3623790401972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38.845929630123074</v>
      </c>
      <c r="AA60" s="21">
        <f>EXP(-LN(2)/25)*AA59+(1-EXP(-LN(2)/25))/(LN(2)/25)*Calculateur!V60*Calculateur!X60*VLOOKUP('Données projet'!$B$9,Paramètres!$A$1:$I$89,3,0)*0.475*44/12</f>
        <v>32.593385179192396</v>
      </c>
      <c r="AB60" s="21">
        <f>EXP(-LN(2)/2)*AB59+(1-EXP(-LN(2)/2))/(LN(2)/2)*V60*Y60*VLOOKUP('Données projet'!$B$9,Paramètres!$A$1:$I$89,3,0)*0.475*44/12</f>
        <v>7.5721230100139616</v>
      </c>
      <c r="AC60" s="22">
        <f t="shared" si="3"/>
        <v>79.011437819329444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</v>
      </c>
      <c r="AI60" s="13">
        <f>IF('Données projet'!$A$62&gt;35,AI59+AH60-AQ59,IF(A60&lt;'Données projet'!$A$62,$AF$205^A60,IF(A60='Données projet'!$A$62,'Données projet'!$B$62,AI59+AH60-AQ59)))</f>
        <v>398.58000000000021</v>
      </c>
      <c r="AJ60" s="13">
        <f>AI60*VLOOKUP('Données projet'!$B$10,Paramètres!$A$1:$I$89,3,0)*VLOOKUP('Données projet'!$B$10,Paramètres!$A$1:$I$89,5,0)</f>
        <v>238.35084000000015</v>
      </c>
      <c r="AK60" s="13">
        <f t="shared" si="35"/>
        <v>58.084563408326787</v>
      </c>
      <c r="AL60" s="20">
        <f t="shared" si="4"/>
        <v>516.29166093616936</v>
      </c>
      <c r="AM60" s="59">
        <f t="shared" si="5"/>
        <v>775.81830098684713</v>
      </c>
      <c r="AN60" s="59">
        <f ca="1">AVERAGE(OFFSET($AM$3,0,0,'Données projet'!$E$10+1,1))-AVERAGE(OFFSET($H$3,0,0,'Données projet'!$E$10+1,1))</f>
        <v>373.47758082856359</v>
      </c>
      <c r="AO60" s="59">
        <f t="shared" si="36"/>
        <v>277.24895424120166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31.050722796005292</v>
      </c>
      <c r="AV60" s="21">
        <f>EXP(-LN(2)/25)*AV59+(1-EXP(-LN(2)/25))/(LN(2)/25)*Calculateur!AQ60*Calculateur!AS60*VLOOKUP('Données projet'!$B$10,Paramètres!$A$1:$I$89,3,0)*0.475*44/12</f>
        <v>17.725641816678436</v>
      </c>
      <c r="AW60" s="21">
        <f>EXP(-LN(2)/2)*AW59+(1-EXP(-LN(2)/2))/(LN(2)/2)*AQ60*AT60*VLOOKUP('Données projet'!$B$10,Paramètres!$A$1:$I$89,3,0)*0.475*44/12</f>
        <v>0.80065373076234736</v>
      </c>
      <c r="AX60" s="21">
        <f t="shared" si="6"/>
        <v>49.577018343446078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15.602999999999998</v>
      </c>
      <c r="BD60" s="12">
        <f>IF('Données projet'!$A$88&gt;35,BD59+BC60-BL59,IF(A60&lt;'Données projet'!$A$88,$BA$205^A60,IF(A60='Données projet'!$A$88,'Données projet'!$B$88,BD59+BC60-BL59)))</f>
        <v>489.93299999999999</v>
      </c>
      <c r="BE60" s="13">
        <f>BD60*VLOOKUP('Données projet'!$B$11,Paramètres!$A$1:$I$89,3,0)*VLOOKUP('Données projet'!$B$11,Paramètres!$A$1:$I$89,5,0)</f>
        <v>292.97993400000001</v>
      </c>
      <c r="BF60" s="13">
        <f t="shared" si="37"/>
        <v>69.702766061708147</v>
      </c>
      <c r="BG60" s="20">
        <f t="shared" si="7"/>
        <v>631.67236927414172</v>
      </c>
      <c r="BH60" s="59">
        <f t="shared" si="8"/>
        <v>891.19900932481937</v>
      </c>
      <c r="BI60" s="59">
        <f ca="1">AVERAGE(OFFSET($BH$3,0,0,'Données projet'!$E$11+1,1))-AVERAGE(OFFSET($H$3,0,0,'Données projet'!$E$11+1,1))</f>
        <v>460.88622650237176</v>
      </c>
      <c r="BJ60" s="59">
        <f t="shared" si="38"/>
        <v>396.05161661639647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48.510496523465555</v>
      </c>
      <c r="BQ60" s="21">
        <f>EXP(-LN(2)/25)*BQ59+(1-EXP(-LN(2)/25))/(LN(2)/25)*Calculateur!BL60*Calculateur!BN60*VLOOKUP('Données projet'!$B$11,Paramètres!$A$1:$I$89,3,0)*0.475*44/12</f>
        <v>23.285594640577365</v>
      </c>
      <c r="BR60" s="21">
        <f>EXP(-LN(2)/2)*BR59+(1-EXP(-LN(2)/2))/(LN(2)/2)*BL60*BO60*VLOOKUP('Données projet'!$B$11,Paramètres!$A$1:$I$89,3,0)*0.475*44/12</f>
        <v>6.9274492050075658</v>
      </c>
      <c r="BS60" s="22">
        <f t="shared" si="9"/>
        <v>78.723540369050482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18.58285714285714</v>
      </c>
      <c r="BY60" s="12">
        <f>IF('Données projet'!$A$114&gt;35,BY59+BX60-CG59,IF(A60&lt;'Données projet'!$A$114,$BV$205^A60,IF(A60='Données projet'!$A$114,'Données projet'!$B$114,BY59+BX60-CG59)))</f>
        <v>457.50285714285707</v>
      </c>
      <c r="BZ60" s="13">
        <f>BY60*VLOOKUP('Données projet'!$B$12,Paramètres!$A$1:$I$89,3,0)*VLOOKUP('Données projet'!$B$12,Paramètres!$A$1:$I$89,5,0)</f>
        <v>208.16379999999998</v>
      </c>
      <c r="CA60" s="13">
        <f t="shared" si="39"/>
        <v>51.534124937669475</v>
      </c>
      <c r="CB60" s="20">
        <f t="shared" si="10"/>
        <v>452.30721926644088</v>
      </c>
      <c r="CC60" s="59">
        <f t="shared" si="11"/>
        <v>711.83385931711859</v>
      </c>
      <c r="CD60" s="59">
        <f ca="1">AVERAGE(OFFSET($CC$3,0,0,'Données projet'!$E$12+1,1))-AVERAGE(OFFSET($H$3,0,0,'Données projet'!$E$12+1,1))</f>
        <v>341.60063595566282</v>
      </c>
      <c r="CE60" s="59">
        <f t="shared" si="40"/>
        <v>317.05609766344219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63.279592593363226</v>
      </c>
      <c r="CL60" s="21">
        <f>EXP(-LN(2)/25)*CL59+(1-EXP(-LN(2)/25))/(LN(2)/25)*Calculateur!CG60*Calculateur!CI60*VLOOKUP('Données projet'!$B$12,Paramètres!$A$1:$I$89,3,0)*0.475*44/12</f>
        <v>32.099813612018053</v>
      </c>
      <c r="CM60" s="21">
        <f>EXP(-LN(2)/2)*CM59+(1-EXP(-LN(2)/2))/(LN(2)/2)*CG60*CJ60*VLOOKUP('Données projet'!$B$12,Paramètres!$A$1:$I$89,3,0)*0.475*44/12</f>
        <v>6.9223654958554688</v>
      </c>
      <c r="CN60" s="22">
        <f t="shared" si="12"/>
        <v>102.30177170123676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3.8480000000000016</v>
      </c>
      <c r="CT60" s="12">
        <f>IF('Données projet'!$A$140&gt;35,CT59+CS60-DB59,IF(A60&lt;'Données projet'!$A$140,$CQ$205^A60,IF(A60='Données projet'!$A$140,'Données projet'!$B$140,CT59+CS60-DB59)))</f>
        <v>129.48599999999996</v>
      </c>
      <c r="CU60" s="17">
        <f>CT60*VLOOKUP('Données projet'!$B$13,Paramètres!$A$1:$I$89,3,0)*VLOOKUP('Données projet'!$B$13,Paramètres!$A$1:$I$89,5,0)</f>
        <v>135.33876719999998</v>
      </c>
      <c r="CV60" s="13">
        <f t="shared" si="41"/>
        <v>35.227087253109971</v>
      </c>
      <c r="CW60" s="20">
        <f t="shared" si="13"/>
        <v>297.06886317249985</v>
      </c>
      <c r="CX60" s="59">
        <f t="shared" si="14"/>
        <v>556.5955032231775</v>
      </c>
      <c r="CY60" s="59">
        <f ca="1">AVERAGE(OFFSET($CX$3,0,0,'Données projet'!$E$13+1,1))-AVERAGE(OFFSET($H$3,0,0,'Données projet'!$E$13+1,1))</f>
        <v>287.73449456153207</v>
      </c>
      <c r="CZ60" s="59">
        <f t="shared" si="42"/>
        <v>296.74833899433281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13.618246742944393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13.618246742944393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8.2874999999999979</v>
      </c>
      <c r="DO60" s="12">
        <f>IF('Données projet'!$A$166&gt;35,DO59+DN60-DW59,IF(A60&lt;'Données projet'!$A$166,$DL$205^A60,IF(A60='Données projet'!$A$166,'Données projet'!$B$166,DO59+DN60-DW59)))</f>
        <v>182.61499999999998</v>
      </c>
      <c r="DP60" s="17">
        <f>DO60*VLOOKUP('Données projet'!$B$14,Paramètres!$A$1:$I$89,3,0)*VLOOKUP('Données projet'!$B$14,Paramètres!$A$1:$I$89,5,0)</f>
        <v>185.17160999999999</v>
      </c>
      <c r="DQ60" s="13">
        <f t="shared" si="43"/>
        <v>46.470870413614271</v>
      </c>
      <c r="DR60" s="20">
        <f t="shared" si="16"/>
        <v>403.44398672037818</v>
      </c>
      <c r="DS60" s="59">
        <f t="shared" si="17"/>
        <v>662.97062677105589</v>
      </c>
      <c r="DT60" s="59">
        <f ca="1">AVERAGE(OFFSET($DS$3,0,0,'Données projet'!$E$14+1,1))-AVERAGE(OFFSET($H$3,0,0,'Données projet'!$E$14+1,1))</f>
        <v>532.34688562681413</v>
      </c>
      <c r="DU60" s="59">
        <f t="shared" si="44"/>
        <v>345.42627129678556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11.438374091967631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11.438374091967631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-5.6843418860808015E-14</v>
      </c>
      <c r="EK60" s="17">
        <f>EJ60*VLOOKUP('Données projet'!$B$15,Paramètres!$A$1:$I$89,3,0)*VLOOKUP('Données projet'!$B$15,Paramètres!$A$1:$I$89,5,0)</f>
        <v>-5.1431925385259088E-14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256.20286603823035</v>
      </c>
      <c r="EP60" s="59">
        <f t="shared" si="46"/>
        <v>364.83827155069434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39.696835785963763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39.696835785963763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8.2874999999999979</v>
      </c>
      <c r="FE60" s="12">
        <f>IF('Données projet'!$A$218&gt;35,FE59+FD60-FM59,IF(A60&lt;'Données projet'!$A$218,$FB$205^A60,IF(A60='Données projet'!$A$218,'Données projet'!$B$218,FE59+FD60-FM59)))</f>
        <v>182.61499999999998</v>
      </c>
      <c r="FF60" s="17">
        <f>FE60*VLOOKUP('Données projet'!$B$16,Paramètres!$A$1:$I$89,3,0)*VLOOKUP('Données projet'!$B$16,Paramètres!$A$1:$I$89,5,0)</f>
        <v>122.49814199999999</v>
      </c>
      <c r="FG60" s="13">
        <f t="shared" si="47"/>
        <v>32.256949362119968</v>
      </c>
      <c r="FH60" s="20">
        <f t="shared" si="22"/>
        <v>269.53178412235894</v>
      </c>
      <c r="FI60" s="59">
        <f t="shared" si="23"/>
        <v>529.05842417303666</v>
      </c>
      <c r="FJ60" s="59">
        <f ca="1">AVERAGE(OFFSET($FI$3,0,0,'Données projet'!$E$16+1,1))-AVERAGE(OFFSET($H$3,0,0,'Données projet'!$E$16+1,1))</f>
        <v>380.73695370216979</v>
      </c>
      <c r="FK60" s="59">
        <f t="shared" si="48"/>
        <v>249.34467160415713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9.3266742596043777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9.3266742596043777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8.2874999999999979</v>
      </c>
      <c r="FZ60" s="12">
        <f>IF('Données projet'!$A$244&gt;35,FZ59+FY60-GH59,IF(A60&lt;'Données projet'!$A$244,$FW$205^A60,IF(A60='Données projet'!$A$244,'Données projet'!$B$244,FZ59+FY60-GH59)))</f>
        <v>182.61499999999998</v>
      </c>
      <c r="GA60" s="17">
        <f>FZ60*VLOOKUP('Données projet'!$B$17,Paramètres!$A$1:$I$89,3,0)*VLOOKUP('Données projet'!$B$17,Paramètres!$A$1:$I$89,5,0)</f>
        <v>176.62522799999999</v>
      </c>
      <c r="GB60" s="13">
        <f t="shared" si="49"/>
        <v>44.570536517532766</v>
      </c>
      <c r="GC60" s="20">
        <f t="shared" si="25"/>
        <v>385.24928986803616</v>
      </c>
      <c r="GD60" s="59">
        <f t="shared" si="26"/>
        <v>644.77592991871393</v>
      </c>
      <c r="GE60" s="59">
        <f ca="1">AVERAGE(OFFSET($GD$3,0,0,'Données projet'!$E$17+1,1))-AVERAGE(OFFSET($H$3,0,0,'Données projet'!$E$17+1,1))</f>
        <v>511.7458522930001</v>
      </c>
      <c r="GF60" s="59">
        <f t="shared" si="50"/>
        <v>332.37317679966122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10.910449133876817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10.910449133876817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5.2</v>
      </c>
      <c r="GU60" s="12">
        <f>IF('Données projet'!$A$270&gt;35,GU59+GT60-HC59,IF(A60&lt;'Données projet'!$A$270,$GR$205^A60,IF(A60='Données projet'!$A$270,'Données projet'!$B$270,GU59+GT60-HC59)))</f>
        <v>229.39999999999986</v>
      </c>
      <c r="GV60" s="17">
        <f>GU60*VLOOKUP('Données projet'!$B$18,Paramètres!$A$1:$I$89,3,0)*VLOOKUP('Données projet'!$B$18,Paramètres!$A$1:$I$89,5,0)</f>
        <v>200.40383999999992</v>
      </c>
      <c r="GW60" s="13">
        <f t="shared" si="51"/>
        <v>49.832909112305636</v>
      </c>
      <c r="GX60" s="20">
        <f t="shared" si="28"/>
        <v>435.82900470393218</v>
      </c>
      <c r="GY60" s="59">
        <f t="shared" si="29"/>
        <v>695.3556447546099</v>
      </c>
      <c r="GZ60" s="59">
        <f ca="1">AVERAGE(OFFSET($GY$3,0,0,'Données projet'!$E$18+1,1))-AVERAGE(OFFSET($H$3,0,0,'Données projet'!$E$18+1,1))</f>
        <v>348.77506423101278</v>
      </c>
      <c r="HA60" s="59">
        <f t="shared" si="52"/>
        <v>336.13747591329548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17.309808966470598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17.309808966470598</v>
      </c>
    </row>
    <row r="61" spans="1:218" x14ac:dyDescent="0.2">
      <c r="A61" s="10">
        <f t="shared" si="31"/>
        <v>58</v>
      </c>
      <c r="B61" s="71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5">
        <f t="shared" si="1"/>
        <v>183.33333333333334</v>
      </c>
      <c r="I61" s="6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16.595714285714287</v>
      </c>
      <c r="N61" s="13">
        <f>IF('Données projet'!$A$36&gt;35,N60+M61-V60,IF(A61&lt;'Données projet'!$A$36,$K$205^A61,IF(A61='Données projet'!$A$36,'Données projet'!$B$36,N60+M61-V60)))</f>
        <v>333.51142857142838</v>
      </c>
      <c r="O61" s="13">
        <f>N61*VLOOKUP('Données projet'!$B$9,Paramètres!$A$1:$I$89,3,0)*VLOOKUP('Données projet'!$B$9,Paramètres!$A$1:$I$89,5,0)</f>
        <v>156.08334857142847</v>
      </c>
      <c r="P61" s="13">
        <f t="shared" si="33"/>
        <v>39.957833547833964</v>
      </c>
      <c r="Q61" s="20">
        <f t="shared" si="53"/>
        <v>341.43839219104871</v>
      </c>
      <c r="R61" s="59">
        <f t="shared" si="0"/>
        <v>601.55150278973713</v>
      </c>
      <c r="S61" s="59">
        <f ca="1">AVERAGE(OFFSET($R$3,0,0,'Données projet'!$E$9+1,1))-AVERAGE(OFFSET($H$3,0,0,'Données projet'!$E$9+1,1))</f>
        <v>387.50901594883317</v>
      </c>
      <c r="T61" s="59">
        <f t="shared" si="34"/>
        <v>361.3623790401972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38.084184643753879</v>
      </c>
      <c r="AA61" s="21">
        <f>EXP(-LN(2)/25)*AA60+(1-EXP(-LN(2)/25))/(LN(2)/25)*Calculateur!V61*Calculateur!X61*VLOOKUP('Données projet'!$B$9,Paramètres!$A$1:$I$89,3,0)*0.475*44/12</f>
        <v>31.702117347455747</v>
      </c>
      <c r="AB61" s="21">
        <f>EXP(-LN(2)/2)*AB60+(1-EXP(-LN(2)/2))/(LN(2)/2)*V61*Y61*VLOOKUP('Données projet'!$B$9,Paramètres!$A$1:$I$89,3,0)*0.475*44/12</f>
        <v>5.3542995283595642</v>
      </c>
      <c r="AC61" s="22">
        <f t="shared" si="3"/>
        <v>75.140601519569188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14.12</v>
      </c>
      <c r="AI61" s="13">
        <f>IF('Données projet'!$A$62&gt;35,AI60+AH61-AQ60,IF(A61&lt;'Données projet'!$A$62,$AF$205^A61,IF(A61='Données projet'!$A$62,'Données projet'!$B$62,AI60+AH61-AQ60)))</f>
        <v>412.70000000000022</v>
      </c>
      <c r="AJ61" s="13">
        <f>AI61*VLOOKUP('Données projet'!$B$10,Paramètres!$A$1:$I$89,3,0)*VLOOKUP('Données projet'!$B$10,Paramètres!$A$1:$I$89,5,0)</f>
        <v>246.79460000000014</v>
      </c>
      <c r="AK61" s="13">
        <f t="shared" si="35"/>
        <v>59.899038030532552</v>
      </c>
      <c r="AL61" s="20">
        <f t="shared" si="4"/>
        <v>534.15808623651117</v>
      </c>
      <c r="AM61" s="59">
        <f t="shared" si="5"/>
        <v>794.27119683519959</v>
      </c>
      <c r="AN61" s="59">
        <f ca="1">AVERAGE(OFFSET($AM$3,0,0,'Données projet'!$E$10+1,1))-AVERAGE(OFFSET($H$3,0,0,'Données projet'!$E$10+1,1))</f>
        <v>373.47758082856359</v>
      </c>
      <c r="AO61" s="59">
        <f t="shared" si="36"/>
        <v>277.24895424120166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30.441837061046456</v>
      </c>
      <c r="AV61" s="21">
        <f>EXP(-LN(2)/25)*AV60+(1-EXP(-LN(2)/25))/(LN(2)/25)*Calculateur!AQ61*Calculateur!AS61*VLOOKUP('Données projet'!$B$10,Paramètres!$A$1:$I$89,3,0)*0.475*44/12</f>
        <v>17.240933209050375</v>
      </c>
      <c r="AW61" s="21">
        <f>EXP(-LN(2)/2)*AW60+(1-EXP(-LN(2)/2))/(LN(2)/2)*AQ61*AT61*VLOOKUP('Données projet'!$B$10,Paramètres!$A$1:$I$89,3,0)*0.475*44/12</f>
        <v>0.56614768240436408</v>
      </c>
      <c r="AX61" s="21">
        <f t="shared" si="6"/>
        <v>48.248917952501195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15.602999999999998</v>
      </c>
      <c r="BD61" s="12">
        <f>IF('Données projet'!$A$88&gt;35,BD60+BC61-BL60,IF(A61&lt;'Données projet'!$A$88,$BA$205^A61,IF(A61='Données projet'!$A$88,'Données projet'!$B$88,BD60+BC61-BL60)))</f>
        <v>505.536</v>
      </c>
      <c r="BE61" s="13">
        <f>BD61*VLOOKUP('Données projet'!$B$11,Paramètres!$A$1:$I$89,3,0)*VLOOKUP('Données projet'!$B$11,Paramètres!$A$1:$I$89,5,0)</f>
        <v>302.31052800000003</v>
      </c>
      <c r="BF61" s="13">
        <f t="shared" si="37"/>
        <v>71.66062239498595</v>
      </c>
      <c r="BG61" s="20">
        <f t="shared" si="7"/>
        <v>651.3330869379339</v>
      </c>
      <c r="BH61" s="59">
        <f t="shared" si="8"/>
        <v>911.44619753662232</v>
      </c>
      <c r="BI61" s="59">
        <f ca="1">AVERAGE(OFFSET($BH$3,0,0,'Données projet'!$E$11+1,1))-AVERAGE(OFFSET($H$3,0,0,'Données projet'!$E$11+1,1))</f>
        <v>460.88622650237176</v>
      </c>
      <c r="BJ61" s="59">
        <f t="shared" si="38"/>
        <v>396.05161661639647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47.559235275121658</v>
      </c>
      <c r="BQ61" s="21">
        <f>EXP(-LN(2)/25)*BQ60+(1-EXP(-LN(2)/25))/(LN(2)/25)*Calculateur!BL61*Calculateur!BN61*VLOOKUP('Données projet'!$B$11,Paramètres!$A$1:$I$89,3,0)*0.475*44/12</f>
        <v>22.648848830594574</v>
      </c>
      <c r="BR61" s="21">
        <f>EXP(-LN(2)/2)*BR60+(1-EXP(-LN(2)/2))/(LN(2)/2)*BL61*BO61*VLOOKUP('Données projet'!$B$11,Paramètres!$A$1:$I$89,3,0)*0.475*44/12</f>
        <v>4.898446309186208</v>
      </c>
      <c r="BS61" s="22">
        <f t="shared" si="9"/>
        <v>75.106530414902451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18.58285714285714</v>
      </c>
      <c r="BY61" s="12">
        <f>IF('Données projet'!$A$114&gt;35,BY60+BX61-CG60,IF(A61&lt;'Données projet'!$A$114,$BV$205^A61,IF(A61='Données projet'!$A$114,'Données projet'!$B$114,BY60+BX61-CG60)))</f>
        <v>476.08571428571423</v>
      </c>
      <c r="BZ61" s="13">
        <f>BY61*VLOOKUP('Données projet'!$B$12,Paramètres!$A$1:$I$89,3,0)*VLOOKUP('Données projet'!$B$12,Paramètres!$A$1:$I$89,5,0)</f>
        <v>216.61899999999997</v>
      </c>
      <c r="CA61" s="13">
        <f t="shared" si="39"/>
        <v>53.379381020828205</v>
      </c>
      <c r="CB61" s="20">
        <f t="shared" si="10"/>
        <v>470.24718027794233</v>
      </c>
      <c r="CC61" s="59">
        <f t="shared" si="11"/>
        <v>730.36029087663076</v>
      </c>
      <c r="CD61" s="59">
        <f ca="1">AVERAGE(OFFSET($CC$3,0,0,'Données projet'!$E$12+1,1))-AVERAGE(OFFSET($H$3,0,0,'Données projet'!$E$12+1,1))</f>
        <v>341.60063595566282</v>
      </c>
      <c r="CE61" s="59">
        <f t="shared" si="40"/>
        <v>317.05609766344219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62.038718379347742</v>
      </c>
      <c r="CL61" s="21">
        <f>EXP(-LN(2)/25)*CL60+(1-EXP(-LN(2)/25))/(LN(2)/25)*Calculateur!CG61*Calculateur!CI61*VLOOKUP('Données projet'!$B$12,Paramètres!$A$1:$I$89,3,0)*0.475*44/12</f>
        <v>31.222042520741589</v>
      </c>
      <c r="CM61" s="21">
        <f>EXP(-LN(2)/2)*CM60+(1-EXP(-LN(2)/2))/(LN(2)/2)*CG61*CJ61*VLOOKUP('Données projet'!$B$12,Paramètres!$A$1:$I$89,3,0)*0.475*44/12</f>
        <v>4.8948515839711799</v>
      </c>
      <c r="CN61" s="22">
        <f t="shared" si="12"/>
        <v>98.155612484060512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3.8480000000000016</v>
      </c>
      <c r="CT61" s="12">
        <f>IF('Données projet'!$A$140&gt;35,CT60+CS61-DB60,IF(A61&lt;'Données projet'!$A$140,$CQ$205^A61,IF(A61='Données projet'!$A$140,'Données projet'!$B$140,CT60+CS61-DB60)))</f>
        <v>133.33399999999997</v>
      </c>
      <c r="CU61" s="17">
        <f>CT61*VLOOKUP('Données projet'!$B$13,Paramètres!$A$1:$I$89,3,0)*VLOOKUP('Données projet'!$B$13,Paramètres!$A$1:$I$89,5,0)</f>
        <v>139.3606968</v>
      </c>
      <c r="CV61" s="13">
        <f t="shared" si="41"/>
        <v>36.150511119897388</v>
      </c>
      <c r="CW61" s="20">
        <f t="shared" si="13"/>
        <v>305.68202046048793</v>
      </c>
      <c r="CX61" s="59">
        <f t="shared" si="14"/>
        <v>565.79513105917636</v>
      </c>
      <c r="CY61" s="59">
        <f ca="1">AVERAGE(OFFSET($CX$3,0,0,'Données projet'!$E$13+1,1))-AVERAGE(OFFSET($H$3,0,0,'Données projet'!$E$13+1,1))</f>
        <v>287.73449456153207</v>
      </c>
      <c r="CZ61" s="59">
        <f t="shared" si="42"/>
        <v>296.74833899433281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13.351201230625588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13.351201230625588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8.2874999999999979</v>
      </c>
      <c r="DO61" s="12">
        <f>IF('Données projet'!$A$166&gt;35,DO60+DN61-DW60,IF(A61&lt;'Données projet'!$A$166,$DL$205^A61,IF(A61='Données projet'!$A$166,'Données projet'!$B$166,DO60+DN61-DW60)))</f>
        <v>190.90249999999997</v>
      </c>
      <c r="DP61" s="17">
        <f>DO61*VLOOKUP('Données projet'!$B$14,Paramètres!$A$1:$I$89,3,0)*VLOOKUP('Données projet'!$B$14,Paramètres!$A$1:$I$89,5,0)</f>
        <v>193.57513499999999</v>
      </c>
      <c r="DQ61" s="13">
        <f t="shared" si="43"/>
        <v>48.329504844891687</v>
      </c>
      <c r="DR61" s="20">
        <f t="shared" si="16"/>
        <v>421.31724772985291</v>
      </c>
      <c r="DS61" s="59">
        <f t="shared" si="17"/>
        <v>681.43035832854139</v>
      </c>
      <c r="DT61" s="59">
        <f ca="1">AVERAGE(OFFSET($DS$3,0,0,'Données projet'!$E$14+1,1))-AVERAGE(OFFSET($H$3,0,0,'Données projet'!$E$14+1,1))</f>
        <v>532.34688562681413</v>
      </c>
      <c r="DU61" s="59">
        <f t="shared" si="44"/>
        <v>345.42627129678556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11.214074552743448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11.214074552743448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-5.6843418860808015E-14</v>
      </c>
      <c r="EK61" s="17">
        <f>EJ61*VLOOKUP('Données projet'!$B$15,Paramètres!$A$1:$I$89,3,0)*VLOOKUP('Données projet'!$B$15,Paramètres!$A$1:$I$89,5,0)</f>
        <v>-5.1431925385259088E-14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256.20286603823035</v>
      </c>
      <c r="EP61" s="59">
        <f t="shared" si="46"/>
        <v>364.83827155069434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38.918405048880039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38.918405048880039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8.2874999999999979</v>
      </c>
      <c r="FE61" s="12">
        <f>IF('Données projet'!$A$218&gt;35,FE60+FD61-FM60,IF(A61&lt;'Données projet'!$A$218,$FB$205^A61,IF(A61='Données projet'!$A$218,'Données projet'!$B$218,FE60+FD61-FM60)))</f>
        <v>190.90249999999997</v>
      </c>
      <c r="FF61" s="17">
        <f>FE61*VLOOKUP('Données projet'!$B$16,Paramètres!$A$1:$I$89,3,0)*VLOOKUP('Données projet'!$B$16,Paramètres!$A$1:$I$89,5,0)</f>
        <v>128.05739699999998</v>
      </c>
      <c r="FG61" s="13">
        <f t="shared" si="47"/>
        <v>33.547088242644222</v>
      </c>
      <c r="FH61" s="20">
        <f t="shared" si="22"/>
        <v>281.46114513093863</v>
      </c>
      <c r="FI61" s="59">
        <f t="shared" si="23"/>
        <v>541.57425572962711</v>
      </c>
      <c r="FJ61" s="59">
        <f ca="1">AVERAGE(OFFSET($FI$3,0,0,'Données projet'!$E$16+1,1))-AVERAGE(OFFSET($H$3,0,0,'Données projet'!$E$16+1,1))</f>
        <v>380.73695370216979</v>
      </c>
      <c r="FK61" s="59">
        <f t="shared" si="48"/>
        <v>249.34467160415713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9.1437838660831208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9.1437838660831208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8.2874999999999979</v>
      </c>
      <c r="FZ61" s="12">
        <f>IF('Données projet'!$A$244&gt;35,FZ60+FY61-GH60,IF(A61&lt;'Données projet'!$A$244,$FW$205^A61,IF(A61='Données projet'!$A$244,'Données projet'!$B$244,FZ60+FY61-GH60)))</f>
        <v>190.90249999999997</v>
      </c>
      <c r="GA61" s="17">
        <f>FZ61*VLOOKUP('Données projet'!$B$17,Paramètres!$A$1:$I$89,3,0)*VLOOKUP('Données projet'!$B$17,Paramètres!$A$1:$I$89,5,0)</f>
        <v>184.64089799999999</v>
      </c>
      <c r="GB61" s="13">
        <f t="shared" si="49"/>
        <v>46.353165787324208</v>
      </c>
      <c r="GC61" s="20">
        <f t="shared" si="25"/>
        <v>402.31466109625626</v>
      </c>
      <c r="GD61" s="59">
        <f t="shared" si="26"/>
        <v>662.42777169494468</v>
      </c>
      <c r="GE61" s="59">
        <f ca="1">AVERAGE(OFFSET($GD$3,0,0,'Données projet'!$E$17+1,1))-AVERAGE(OFFSET($H$3,0,0,'Données projet'!$E$17+1,1))</f>
        <v>511.7458522930001</v>
      </c>
      <c r="GF61" s="59">
        <f t="shared" si="50"/>
        <v>332.37317679966122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10.696501881078365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10.696501881078365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5.2</v>
      </c>
      <c r="GU61" s="12">
        <f>IF('Données projet'!$A$270&gt;35,GU60+GT61-HC60,IF(A61&lt;'Données projet'!$A$270,$GR$205^A61,IF(A61='Données projet'!$A$270,'Données projet'!$B$270,GU60+GT61-HC60)))</f>
        <v>234.59999999999985</v>
      </c>
      <c r="GV61" s="17">
        <f>GU61*VLOOKUP('Données projet'!$B$18,Paramètres!$A$1:$I$89,3,0)*VLOOKUP('Données projet'!$B$18,Paramètres!$A$1:$I$89,5,0)</f>
        <v>204.94655999999989</v>
      </c>
      <c r="GW61" s="13">
        <f t="shared" si="51"/>
        <v>50.829721281867236</v>
      </c>
      <c r="GX61" s="20">
        <f t="shared" si="28"/>
        <v>445.47702323258522</v>
      </c>
      <c r="GY61" s="59">
        <f t="shared" si="29"/>
        <v>705.59013383127365</v>
      </c>
      <c r="GZ61" s="59">
        <f ca="1">AVERAGE(OFFSET($GY$3,0,0,'Données projet'!$E$18+1,1))-AVERAGE(OFFSET($H$3,0,0,'Données projet'!$E$18+1,1))</f>
        <v>348.77506423101278</v>
      </c>
      <c r="HA61" s="59">
        <f t="shared" si="52"/>
        <v>336.13747591329548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16.97037417057907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16.97037417057907</v>
      </c>
    </row>
    <row r="62" spans="1:218" x14ac:dyDescent="0.2">
      <c r="A62" s="10">
        <f t="shared" si="31"/>
        <v>59</v>
      </c>
      <c r="B62" s="71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5">
        <f t="shared" si="1"/>
        <v>183.33333333333334</v>
      </c>
      <c r="I62" s="6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16.595714285714287</v>
      </c>
      <c r="N62" s="13">
        <f>IF('Données projet'!$A$36&gt;35,N61+M62-V61,IF(A62&lt;'Données projet'!$A$36,$K$205^A62,IF(A62='Données projet'!$A$36,'Données projet'!$B$36,N61+M62-V61)))</f>
        <v>350.10714285714266</v>
      </c>
      <c r="O62" s="13">
        <f>N62*VLOOKUP('Données projet'!$B$9,Paramètres!$A$1:$I$89,3,0)*VLOOKUP('Données projet'!$B$9,Paramètres!$A$1:$I$89,5,0)</f>
        <v>163.85014285714277</v>
      </c>
      <c r="P62" s="13">
        <f t="shared" si="33"/>
        <v>41.709720429643745</v>
      </c>
      <c r="Q62" s="20">
        <f t="shared" si="53"/>
        <v>358.01676189115318</v>
      </c>
      <c r="R62" s="59">
        <f t="shared" si="0"/>
        <v>618.70616908499596</v>
      </c>
      <c r="S62" s="59">
        <f ca="1">AVERAGE(OFFSET($R$3,0,0,'Données projet'!$E$9+1,1))-AVERAGE(OFFSET($H$3,0,0,'Données projet'!$E$9+1,1))</f>
        <v>387.50901594883317</v>
      </c>
      <c r="T62" s="59">
        <f t="shared" si="34"/>
        <v>361.3623790401972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37.337377011948817</v>
      </c>
      <c r="AA62" s="21">
        <f>EXP(-LN(2)/25)*AA61+(1-EXP(-LN(2)/25))/(LN(2)/25)*Calculateur!V62*Calculateur!X62*VLOOKUP('Données projet'!$B$9,Paramètres!$A$1:$I$89,3,0)*0.475*44/12</f>
        <v>30.835221281447673</v>
      </c>
      <c r="AB62" s="21">
        <f>EXP(-LN(2)/2)*AB61+(1-EXP(-LN(2)/2))/(LN(2)/2)*V62*Y62*VLOOKUP('Données projet'!$B$9,Paramètres!$A$1:$I$89,3,0)*0.475*44/12</f>
        <v>3.7860615050069812</v>
      </c>
      <c r="AC62" s="22">
        <f t="shared" si="3"/>
        <v>71.958659798403474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14.12</v>
      </c>
      <c r="AI62" s="13">
        <f>IF('Données projet'!$A$62&gt;35,AI61+AH62-AQ61,IF(A62&lt;'Données projet'!$A$62,$AF$205^A62,IF(A62='Données projet'!$A$62,'Données projet'!$B$62,AI61+AH62-AQ61)))</f>
        <v>426.82000000000022</v>
      </c>
      <c r="AJ62" s="13">
        <f>AI62*VLOOKUP('Données projet'!$B$10,Paramètres!$A$1:$I$89,3,0)*VLOOKUP('Données projet'!$B$10,Paramètres!$A$1:$I$89,5,0)</f>
        <v>255.23836000000014</v>
      </c>
      <c r="AK62" s="13">
        <f t="shared" si="35"/>
        <v>61.706299433596136</v>
      </c>
      <c r="AL62" s="20">
        <f t="shared" si="4"/>
        <v>552.0119485135134</v>
      </c>
      <c r="AM62" s="59">
        <f t="shared" si="5"/>
        <v>812.70135570735624</v>
      </c>
      <c r="AN62" s="59">
        <f ca="1">AVERAGE(OFFSET($AM$3,0,0,'Données projet'!$E$10+1,1))-AVERAGE(OFFSET($H$3,0,0,'Données projet'!$E$10+1,1))</f>
        <v>373.47758082856359</v>
      </c>
      <c r="AO62" s="59">
        <f t="shared" si="36"/>
        <v>277.24895424120166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29.844891203966537</v>
      </c>
      <c r="AV62" s="21">
        <f>EXP(-LN(2)/25)*AV61+(1-EXP(-LN(2)/25))/(LN(2)/25)*Calculateur!AQ62*Calculateur!AS62*VLOOKUP('Données projet'!$B$10,Paramètres!$A$1:$I$89,3,0)*0.475*44/12</f>
        <v>16.769478983787621</v>
      </c>
      <c r="AW62" s="21">
        <f>EXP(-LN(2)/2)*AW61+(1-EXP(-LN(2)/2))/(LN(2)/2)*AQ62*AT62*VLOOKUP('Données projet'!$B$10,Paramètres!$A$1:$I$89,3,0)*0.475*44/12</f>
        <v>0.40032686538117368</v>
      </c>
      <c r="AX62" s="21">
        <f t="shared" si="6"/>
        <v>47.014697053135336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15.602999999999998</v>
      </c>
      <c r="BD62" s="12">
        <f>IF('Données projet'!$A$88&gt;35,BD61+BC62-BL61,IF(A62&lt;'Données projet'!$A$88,$BA$205^A62,IF(A62='Données projet'!$A$88,'Données projet'!$B$88,BD61+BC62-BL61)))</f>
        <v>521.13900000000001</v>
      </c>
      <c r="BE62" s="13">
        <f>BD62*VLOOKUP('Données projet'!$B$11,Paramètres!$A$1:$I$89,3,0)*VLOOKUP('Données projet'!$B$11,Paramètres!$A$1:$I$89,5,0)</f>
        <v>311.64112200000005</v>
      </c>
      <c r="BF62" s="13">
        <f t="shared" si="37"/>
        <v>73.611456373141493</v>
      </c>
      <c r="BG62" s="20">
        <f t="shared" si="7"/>
        <v>670.98157399988816</v>
      </c>
      <c r="BH62" s="59">
        <f t="shared" si="8"/>
        <v>931.670981193731</v>
      </c>
      <c r="BI62" s="59">
        <f ca="1">AVERAGE(OFFSET($BH$3,0,0,'Données projet'!$E$11+1,1))-AVERAGE(OFFSET($H$3,0,0,'Données projet'!$E$11+1,1))</f>
        <v>460.88622650237176</v>
      </c>
      <c r="BJ62" s="59">
        <f t="shared" si="38"/>
        <v>396.05161661639647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46.626627679645715</v>
      </c>
      <c r="BQ62" s="21">
        <f>EXP(-LN(2)/25)*BQ61+(1-EXP(-LN(2)/25))/(LN(2)/25)*Calculateur!BL62*Calculateur!BN62*VLOOKUP('Données projet'!$B$11,Paramètres!$A$1:$I$89,3,0)*0.475*44/12</f>
        <v>22.02951486827077</v>
      </c>
      <c r="BR62" s="21">
        <f>EXP(-LN(2)/2)*BR61+(1-EXP(-LN(2)/2))/(LN(2)/2)*BL62*BO62*VLOOKUP('Données projet'!$B$11,Paramètres!$A$1:$I$89,3,0)*0.475*44/12</f>
        <v>3.4637246025037838</v>
      </c>
      <c r="BS62" s="22">
        <f t="shared" si="9"/>
        <v>72.119867150420276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18.58285714285714</v>
      </c>
      <c r="BY62" s="12">
        <f>IF('Données projet'!$A$114&gt;35,BY61+BX62-CG61,IF(A62&lt;'Données projet'!$A$114,$BV$205^A62,IF(A62='Données projet'!$A$114,'Données projet'!$B$114,BY61+BX62-CG61)))</f>
        <v>494.6685714285714</v>
      </c>
      <c r="BZ62" s="13">
        <f>BY62*VLOOKUP('Données projet'!$B$12,Paramètres!$A$1:$I$89,3,0)*VLOOKUP('Données projet'!$B$12,Paramètres!$A$1:$I$89,5,0)</f>
        <v>225.07419999999999</v>
      </c>
      <c r="CA62" s="13">
        <f t="shared" si="39"/>
        <v>55.216270152667754</v>
      </c>
      <c r="CB62" s="20">
        <f t="shared" si="10"/>
        <v>488.17256884922966</v>
      </c>
      <c r="CC62" s="59">
        <f t="shared" si="11"/>
        <v>748.86197604307245</v>
      </c>
      <c r="CD62" s="59">
        <f ca="1">AVERAGE(OFFSET($CC$3,0,0,'Données projet'!$E$12+1,1))-AVERAGE(OFFSET($H$3,0,0,'Données projet'!$E$12+1,1))</f>
        <v>341.60063595566282</v>
      </c>
      <c r="CE62" s="59">
        <f t="shared" si="40"/>
        <v>317.05609766344219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60.822176951810569</v>
      </c>
      <c r="CL62" s="21">
        <f>EXP(-LN(2)/25)*CL61+(1-EXP(-LN(2)/25))/(LN(2)/25)*Calculateur!CG62*Calculateur!CI62*VLOOKUP('Données projet'!$B$12,Paramètres!$A$1:$I$89,3,0)*0.475*44/12</f>
        <v>30.368274126116052</v>
      </c>
      <c r="CM62" s="21">
        <f>EXP(-LN(2)/2)*CM61+(1-EXP(-LN(2)/2))/(LN(2)/2)*CG62*CJ62*VLOOKUP('Données projet'!$B$12,Paramètres!$A$1:$I$89,3,0)*0.475*44/12</f>
        <v>3.4611827479277348</v>
      </c>
      <c r="CN62" s="22">
        <f t="shared" si="12"/>
        <v>94.651633825854361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3.8480000000000016</v>
      </c>
      <c r="CT62" s="12">
        <f>IF('Données projet'!$A$140&gt;35,CT61+CS62-DB61,IF(A62&lt;'Données projet'!$A$140,$CQ$205^A62,IF(A62='Données projet'!$A$140,'Données projet'!$B$140,CT61+CS62-DB61)))</f>
        <v>137.18199999999999</v>
      </c>
      <c r="CU62" s="17">
        <f>CT62*VLOOKUP('Données projet'!$B$13,Paramètres!$A$1:$I$89,3,0)*VLOOKUP('Données projet'!$B$13,Paramètres!$A$1:$I$89,5,0)</f>
        <v>143.38262640000002</v>
      </c>
      <c r="CV62" s="13">
        <f t="shared" si="41"/>
        <v>37.070837690904995</v>
      </c>
      <c r="CW62" s="20">
        <f t="shared" si="13"/>
        <v>314.28978329165955</v>
      </c>
      <c r="CX62" s="59">
        <f t="shared" si="14"/>
        <v>574.97919048550239</v>
      </c>
      <c r="CY62" s="59">
        <f ca="1">AVERAGE(OFFSET($CX$3,0,0,'Données projet'!$E$13+1,1))-AVERAGE(OFFSET($H$3,0,0,'Données projet'!$E$13+1,1))</f>
        <v>287.73449456153207</v>
      </c>
      <c r="CZ62" s="59">
        <f t="shared" si="42"/>
        <v>296.74833899433281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13.089392317921673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13.089392317921673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199.19</v>
      </c>
      <c r="DM62" s="12">
        <f>VLOOKUP(A62,'Données projet'!$A$165:$I$185,9,0)</f>
        <v>8.2874999999999979</v>
      </c>
      <c r="DN62" s="12">
        <f t="array" ref="DN62">INDEX(DM:DM,MIN(IF(ISNUMBER(DM62:DM258),ROW(DM62:DM258),"")))</f>
        <v>8.2874999999999979</v>
      </c>
      <c r="DO62" s="12">
        <f>IF('Données projet'!$A$166&gt;35,DO61+DN62-DW61,IF(A62&lt;'Données projet'!$A$166,$DL$205^A62,IF(A62='Données projet'!$A$166,'Données projet'!$B$166,DO61+DN62-DW61)))</f>
        <v>199.18999999999997</v>
      </c>
      <c r="DP62" s="17">
        <f>DO62*VLOOKUP('Données projet'!$B$14,Paramètres!$A$1:$I$89,3,0)*VLOOKUP('Données projet'!$B$14,Paramètres!$A$1:$I$89,5,0)</f>
        <v>201.97865999999996</v>
      </c>
      <c r="DQ62" s="13">
        <f t="shared" si="43"/>
        <v>50.178767840254075</v>
      </c>
      <c r="DR62" s="20">
        <f t="shared" si="16"/>
        <v>439.17418682177572</v>
      </c>
      <c r="DS62" s="59">
        <f t="shared" si="17"/>
        <v>699.86359401561845</v>
      </c>
      <c r="DT62" s="59">
        <f ca="1">AVERAGE(OFFSET($DS$3,0,0,'Données projet'!$E$14+1,1))-AVERAGE(OFFSET($H$3,0,0,'Données projet'!$E$14+1,1))</f>
        <v>532.34688562681413</v>
      </c>
      <c r="DU62" s="59">
        <f t="shared" si="44"/>
        <v>345.42627129678556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48.96</v>
      </c>
      <c r="DX62" s="16">
        <f>IF(ISNA(VLOOKUP(A62,'Données projet'!$A$165:$I$185,5,0)),0%,VLOOKUP(A62,'Données projet'!$A$165:$I$185,5,0)*VLOOKUP('Données projet'!$B$14,Paramètres!$A$1:$I$89,7,0))</f>
        <v>0.17200000000000001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20.433802295281659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20.433802295281659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-5.6843418860808015E-14</v>
      </c>
      <c r="EK62" s="17">
        <f>EJ62*VLOOKUP('Données projet'!$B$15,Paramètres!$A$1:$I$89,3,0)*VLOOKUP('Données projet'!$B$15,Paramètres!$A$1:$I$89,5,0)</f>
        <v>-5.1431925385259088E-14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256.20286603823035</v>
      </c>
      <c r="EP62" s="59">
        <f t="shared" si="46"/>
        <v>364.83827155069434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38.155238863754661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38.155238863754661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>
        <f>VLOOKUP(A62,'Données projet'!$A$217:$I$237,2,0)</f>
        <v>199.19</v>
      </c>
      <c r="FC62" s="12">
        <f>VLOOKUP(A62,'Données projet'!$A$217:$I$237,9,0)</f>
        <v>8.2874999999999979</v>
      </c>
      <c r="FD62" s="12">
        <f t="array" ref="FD62">INDEX(FC:FC,MIN(IF(ISNUMBER(FC62:FC258),ROW(FC62:FC258),"")))</f>
        <v>8.2874999999999979</v>
      </c>
      <c r="FE62" s="12">
        <f>IF('Données projet'!$A$218&gt;35,FE61+FD62-FM61,IF(A62&lt;'Données projet'!$A$218,$FB$205^A62,IF(A62='Données projet'!$A$218,'Données projet'!$B$218,FE61+FD62-FM61)))</f>
        <v>199.18999999999997</v>
      </c>
      <c r="FF62" s="17">
        <f>FE62*VLOOKUP('Données projet'!$B$16,Paramètres!$A$1:$I$89,3,0)*VLOOKUP('Données projet'!$B$16,Paramètres!$A$1:$I$89,5,0)</f>
        <v>133.61665199999999</v>
      </c>
      <c r="FG62" s="13">
        <f t="shared" si="47"/>
        <v>34.830722103334132</v>
      </c>
      <c r="FH62" s="20">
        <f t="shared" si="22"/>
        <v>293.37917656330688</v>
      </c>
      <c r="FI62" s="59">
        <f t="shared" si="23"/>
        <v>554.06858375714967</v>
      </c>
      <c r="FJ62" s="59">
        <f ca="1">AVERAGE(OFFSET($FI$3,0,0,'Données projet'!$E$16+1,1))-AVERAGE(OFFSET($H$3,0,0,'Données projet'!$E$16+1,1))</f>
        <v>380.73695370216979</v>
      </c>
      <c r="FK62" s="59">
        <f t="shared" si="48"/>
        <v>249.34467160415713</v>
      </c>
      <c r="FL62" s="15">
        <f>IF(ISNA(VLOOKUP(A62,'Données projet'!$A$217:$I$237,3,0)),0,VLOOKUP(A62,'Données projet'!$A$217:$I$237,3,0))</f>
        <v>3</v>
      </c>
      <c r="FM62" s="15">
        <f>IF(ISNA(VLOOKUP(A62,'Données projet'!$A$217:$I$237,4,0)),0,VLOOKUP(A62,'Données projet'!$A$217:$I$237,4,0))</f>
        <v>48.96</v>
      </c>
      <c r="FN62" s="16">
        <f>IF(ISNA(VLOOKUP(A62,'Données projet'!$A$217:$I$237,5,0)),0%,VLOOKUP(A62,'Données projet'!$A$217:$I$237,5,0)*VLOOKUP('Données projet'!$B$16,Paramètres!$A$1:$I$89,7,0))</f>
        <v>0.21200000000000002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16.661408025383505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16.661408025383505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>
        <f>VLOOKUP(A62,'Données projet'!$A$243:$I$263,2,0)</f>
        <v>199.19</v>
      </c>
      <c r="FX62" s="12">
        <f>VLOOKUP(A62,'Données projet'!$A$243:$I$263,9,0)</f>
        <v>8.2874999999999979</v>
      </c>
      <c r="FY62" s="12">
        <f t="array" ref="FY62">INDEX(FX:FX,MIN(IF(ISNUMBER(FX62:FX258),ROW(FX62:FX258),"")))</f>
        <v>8.2874999999999979</v>
      </c>
      <c r="FZ62" s="12">
        <f>IF('Données projet'!$A$244&gt;35,FZ61+FY62-GH61,IF(A62&lt;'Données projet'!$A$244,$FW$205^A62,IF(A62='Données projet'!$A$244,'Données projet'!$B$244,FZ61+FY62-GH61)))</f>
        <v>199.18999999999997</v>
      </c>
      <c r="GA62" s="17">
        <f>FZ62*VLOOKUP('Données projet'!$B$17,Paramètres!$A$1:$I$89,3,0)*VLOOKUP('Données projet'!$B$17,Paramètres!$A$1:$I$89,5,0)</f>
        <v>192.65656799999999</v>
      </c>
      <c r="GB62" s="13">
        <f t="shared" si="49"/>
        <v>48.126806847448968</v>
      </c>
      <c r="GC62" s="20">
        <f t="shared" si="25"/>
        <v>419.3643778593069</v>
      </c>
      <c r="GD62" s="59">
        <f t="shared" si="26"/>
        <v>680.05378505314968</v>
      </c>
      <c r="GE62" s="59">
        <f ca="1">AVERAGE(OFFSET($GD$3,0,0,'Données projet'!$E$17+1,1))-AVERAGE(OFFSET($H$3,0,0,'Données projet'!$E$17+1,1))</f>
        <v>511.7458522930001</v>
      </c>
      <c r="GF62" s="59">
        <f t="shared" si="50"/>
        <v>332.37317679966122</v>
      </c>
      <c r="GG62" s="15">
        <f>IF(ISNA(VLOOKUP(A62,'Données projet'!$A$243:$I$263,3,0)),0,VLOOKUP(A62,'Données projet'!$A$243:$I$263,3,0))</f>
        <v>3</v>
      </c>
      <c r="GH62" s="15">
        <f>IF(ISNA(VLOOKUP(A62,'Données projet'!$A$243:$I$263,4,0)),0,VLOOKUP(A62,'Données projet'!$A$243:$I$263,4,0))</f>
        <v>48.96</v>
      </c>
      <c r="GI62" s="16">
        <f>IF(ISNA(VLOOKUP(A62,'Données projet'!$A$243:$I$263,5,0)),0%,VLOOKUP(A62,'Données projet'!$A$243:$I$263,5,0)*VLOOKUP('Données projet'!$B$17,Paramètres!$A$1:$I$89,7,0))</f>
        <v>0.17200000000000001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19.490703727807116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19.490703727807116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5.2</v>
      </c>
      <c r="GU62" s="12">
        <f>IF('Données projet'!$A$270&gt;35,GU61+GT62-HC61,IF(A62&lt;'Données projet'!$A$270,$GR$205^A62,IF(A62='Données projet'!$A$270,'Données projet'!$B$270,GU61+GT62-HC61)))</f>
        <v>239.79999999999984</v>
      </c>
      <c r="GV62" s="17">
        <f>GU62*VLOOKUP('Données projet'!$B$18,Paramètres!$A$1:$I$89,3,0)*VLOOKUP('Données projet'!$B$18,Paramètres!$A$1:$I$89,5,0)</f>
        <v>209.48927999999989</v>
      </c>
      <c r="GW62" s="13">
        <f t="shared" si="51"/>
        <v>51.823964717594365</v>
      </c>
      <c r="GX62" s="20">
        <f t="shared" si="28"/>
        <v>455.12056788314334</v>
      </c>
      <c r="GY62" s="59">
        <f t="shared" si="29"/>
        <v>715.80997507698612</v>
      </c>
      <c r="GZ62" s="59">
        <f ca="1">AVERAGE(OFFSET($GY$3,0,0,'Données projet'!$E$18+1,1))-AVERAGE(OFFSET($H$3,0,0,'Données projet'!$E$18+1,1))</f>
        <v>348.77506423101278</v>
      </c>
      <c r="HA62" s="59">
        <f t="shared" si="52"/>
        <v>336.13747591329548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16.63759548400019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16.63759548400019</v>
      </c>
    </row>
    <row r="63" spans="1:218" x14ac:dyDescent="0.2">
      <c r="A63" s="10">
        <f t="shared" si="31"/>
        <v>60</v>
      </c>
      <c r="B63" s="71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5">
        <f t="shared" si="1"/>
        <v>183.33333333333334</v>
      </c>
      <c r="I63" s="6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16.595714285714287</v>
      </c>
      <c r="N63" s="13">
        <f>IF('Données projet'!$A$36&gt;35,N62+M63-V62,IF(A63&lt;'Données projet'!$A$36,$K$205^A63,IF(A63='Données projet'!$A$36,'Données projet'!$B$36,N62+M63-V62)))</f>
        <v>366.70285714285694</v>
      </c>
      <c r="O63" s="13">
        <f>N63*VLOOKUP('Données projet'!$B$9,Paramètres!$A$1:$I$89,3,0)*VLOOKUP('Données projet'!$B$9,Paramètres!$A$1:$I$89,5,0)</f>
        <v>171.61693714285704</v>
      </c>
      <c r="P63" s="13">
        <f t="shared" si="33"/>
        <v>43.45196395541258</v>
      </c>
      <c r="Q63" s="20">
        <f t="shared" si="53"/>
        <v>374.57833607948623</v>
      </c>
      <c r="R63" s="59">
        <f t="shared" si="0"/>
        <v>635.83404241096378</v>
      </c>
      <c r="S63" s="59">
        <f ca="1">AVERAGE(OFFSET($R$3,0,0,'Données projet'!$E$9+1,1))-AVERAGE(OFFSET($H$3,0,0,'Données projet'!$E$9+1,1))</f>
        <v>387.50901594883317</v>
      </c>
      <c r="T63" s="59">
        <f t="shared" si="34"/>
        <v>361.3623790401972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36.605213822295774</v>
      </c>
      <c r="AA63" s="21">
        <f>EXP(-LN(2)/25)*AA62+(1-EXP(-LN(2)/25))/(LN(2)/25)*Calculateur!V63*Calculateur!X63*VLOOKUP('Données projet'!$B$9,Paramètres!$A$1:$I$89,3,0)*0.475*44/12</f>
        <v>29.992030533952676</v>
      </c>
      <c r="AB63" s="21">
        <f>EXP(-LN(2)/2)*AB62+(1-EXP(-LN(2)/2))/(LN(2)/2)*V63*Y63*VLOOKUP('Données projet'!$B$9,Paramètres!$A$1:$I$89,3,0)*0.475*44/12</f>
        <v>2.6771497641797826</v>
      </c>
      <c r="AC63" s="22">
        <f t="shared" si="3"/>
        <v>69.274394120428241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14.12</v>
      </c>
      <c r="AH63" s="12">
        <f t="array" ref="AH63">INDEX(AG:AG,MIN(IF(ISNUMBER(AG63:AG259),ROW(AG63:AG259),"")))</f>
        <v>14.12</v>
      </c>
      <c r="AI63" s="13">
        <f>IF('Données projet'!$A$62&gt;35,AI62+AH63-AQ62,IF(A63&lt;'Données projet'!$A$62,$AF$205^A63,IF(A63='Données projet'!$A$62,'Données projet'!$B$62,AI62+AH63-AQ62)))</f>
        <v>440.94000000000023</v>
      </c>
      <c r="AJ63" s="13">
        <f>AI63*VLOOKUP('Données projet'!$B$10,Paramètres!$A$1:$I$89,3,0)*VLOOKUP('Données projet'!$B$10,Paramètres!$A$1:$I$89,5,0)</f>
        <v>263.68212000000017</v>
      </c>
      <c r="AK63" s="13">
        <f t="shared" si="35"/>
        <v>63.506613606650063</v>
      </c>
      <c r="AL63" s="20">
        <f t="shared" si="4"/>
        <v>569.85371103158241</v>
      </c>
      <c r="AM63" s="59">
        <f t="shared" si="5"/>
        <v>831.10941736305995</v>
      </c>
      <c r="AN63" s="59">
        <f ca="1">AVERAGE(OFFSET($AM$3,0,0,'Données projet'!$E$10+1,1))-AVERAGE(OFFSET($H$3,0,0,'Données projet'!$E$10+1,1))</f>
        <v>373.47758082856359</v>
      </c>
      <c r="AO63" s="59">
        <f t="shared" si="36"/>
        <v>277.24895424120166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69.849999999999994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9.9000000000000005E-2</v>
      </c>
      <c r="AT63" s="16">
        <f>IF(ISNA(VLOOKUP(A63,'Données projet'!$A$61:$I$81,7,0)),0%,VLOOKUP(A63,'Données projet'!$A$61:$I$81,7,0))</f>
        <v>0.18</v>
      </c>
      <c r="AU63" s="21">
        <f>EXP(-LN(2)/35)*AU62+(1-EXP(-LN(2)/35))/(LN(2)/35)*AQ63*AR63*VLOOKUP('Données projet'!$B$10,Paramètres!$A$1:$I$89,3,0)*0.475*44/12</f>
        <v>44.220619814765413</v>
      </c>
      <c r="AV63" s="21">
        <f>EXP(-LN(2)/25)*AV62+(1-EXP(-LN(2)/25))/(LN(2)/25)*Calculateur!AQ63*Calculateur!AS63*VLOOKUP('Données projet'!$B$10,Paramètres!$A$1:$I$89,3,0)*0.475*44/12</f>
        <v>21.775005985177142</v>
      </c>
      <c r="AW63" s="21">
        <f>EXP(-LN(2)/2)*AW62+(1-EXP(-LN(2)/2))/(LN(2)/2)*AQ63*AT63*VLOOKUP('Données projet'!$B$10,Paramètres!$A$1:$I$89,3,0)*0.475*44/12</f>
        <v>8.795936733928734</v>
      </c>
      <c r="AX63" s="21">
        <f t="shared" si="6"/>
        <v>74.791562533871286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15.602999999999998</v>
      </c>
      <c r="BD63" s="12">
        <f>IF('Données projet'!$A$88&gt;35,BD62+BC63-BL62,IF(A63&lt;'Données projet'!$A$88,$BA$205^A63,IF(A63='Données projet'!$A$88,'Données projet'!$B$88,BD62+BC63-BL62)))</f>
        <v>536.74199999999996</v>
      </c>
      <c r="BE63" s="13">
        <f>BD63*VLOOKUP('Données projet'!$B$11,Paramètres!$A$1:$I$89,3,0)*VLOOKUP('Données projet'!$B$11,Paramètres!$A$1:$I$89,5,0)</f>
        <v>320.97171600000001</v>
      </c>
      <c r="BF63" s="13">
        <f t="shared" si="37"/>
        <v>75.555502382460148</v>
      </c>
      <c r="BG63" s="20">
        <f t="shared" si="7"/>
        <v>690.61823868278464</v>
      </c>
      <c r="BH63" s="59">
        <f t="shared" si="8"/>
        <v>951.87394501426206</v>
      </c>
      <c r="BI63" s="59">
        <f ca="1">AVERAGE(OFFSET($BH$3,0,0,'Données projet'!$E$11+1,1))-AVERAGE(OFFSET($H$3,0,0,'Données projet'!$E$11+1,1))</f>
        <v>460.88622650237176</v>
      </c>
      <c r="BJ63" s="59">
        <f t="shared" si="38"/>
        <v>396.05161661639647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45.712307950282586</v>
      </c>
      <c r="BQ63" s="21">
        <f>EXP(-LN(2)/25)*BQ62+(1-EXP(-LN(2)/25))/(LN(2)/25)*Calculateur!BL63*Calculateur!BN63*VLOOKUP('Données projet'!$B$11,Paramètres!$A$1:$I$89,3,0)*0.475*44/12</f>
        <v>21.427116625716067</v>
      </c>
      <c r="BR63" s="21">
        <f>EXP(-LN(2)/2)*BR62+(1-EXP(-LN(2)/2))/(LN(2)/2)*BL63*BO63*VLOOKUP('Données projet'!$B$11,Paramètres!$A$1:$I$89,3,0)*0.475*44/12</f>
        <v>2.4492231545931045</v>
      </c>
      <c r="BS63" s="22">
        <f t="shared" si="9"/>
        <v>69.588647730591745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18.58285714285714</v>
      </c>
      <c r="BY63" s="12">
        <f>IF('Données projet'!$A$114&gt;35,BY62+BX63-CG62,IF(A63&lt;'Données projet'!$A$114,$BV$205^A63,IF(A63='Données projet'!$A$114,'Données projet'!$B$114,BY62+BX63-CG62)))</f>
        <v>513.25142857142851</v>
      </c>
      <c r="BZ63" s="13">
        <f>BY63*VLOOKUP('Données projet'!$B$12,Paramètres!$A$1:$I$89,3,0)*VLOOKUP('Données projet'!$B$12,Paramètres!$A$1:$I$89,5,0)</f>
        <v>233.52939999999998</v>
      </c>
      <c r="CA63" s="13">
        <f t="shared" si="39"/>
        <v>57.045142636322367</v>
      </c>
      <c r="CB63" s="20">
        <f t="shared" si="10"/>
        <v>506.08399509159472</v>
      </c>
      <c r="CC63" s="59">
        <f t="shared" si="11"/>
        <v>767.33970142307226</v>
      </c>
      <c r="CD63" s="59">
        <f ca="1">AVERAGE(OFFSET($CC$3,0,0,'Données projet'!$E$12+1,1))-AVERAGE(OFFSET($H$3,0,0,'Données projet'!$E$12+1,1))</f>
        <v>341.60063595566282</v>
      </c>
      <c r="CE63" s="59">
        <f t="shared" si="40"/>
        <v>317.05609766344219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59.629491159650392</v>
      </c>
      <c r="CL63" s="21">
        <f>EXP(-LN(2)/25)*CL62+(1-EXP(-LN(2)/25))/(LN(2)/25)*Calculateur!CG63*Calculateur!CI63*VLOOKUP('Données projet'!$B$12,Paramètres!$A$1:$I$89,3,0)*0.475*44/12</f>
        <v>29.53785207313928</v>
      </c>
      <c r="CM63" s="21">
        <f>EXP(-LN(2)/2)*CM62+(1-EXP(-LN(2)/2))/(LN(2)/2)*CG63*CJ63*VLOOKUP('Données projet'!$B$12,Paramètres!$A$1:$I$89,3,0)*0.475*44/12</f>
        <v>2.4474257919855904</v>
      </c>
      <c r="CN63" s="22">
        <f t="shared" si="12"/>
        <v>91.614769024775271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141.03</v>
      </c>
      <c r="CR63" s="12">
        <f>VLOOKUP(A63,'Données projet'!$A$139:$I$159,9,0)</f>
        <v>3.8480000000000016</v>
      </c>
      <c r="CS63" s="12">
        <f t="array" ref="CS63">INDEX(CR:CR,MIN(IF(ISNUMBER(CR63:CR259),ROW(CR63:CR259),"")))</f>
        <v>3.8480000000000016</v>
      </c>
      <c r="CT63" s="12">
        <f>IF('Données projet'!$A$140&gt;35,CT62+CS63-DB62,IF(A63&lt;'Données projet'!$A$140,$CQ$205^A63,IF(A63='Données projet'!$A$140,'Données projet'!$B$140,CT62+CS63-DB62)))</f>
        <v>141.03</v>
      </c>
      <c r="CU63" s="17">
        <f>CT63*VLOOKUP('Données projet'!$B$13,Paramètres!$A$1:$I$89,3,0)*VLOOKUP('Données projet'!$B$13,Paramètres!$A$1:$I$89,5,0)</f>
        <v>147.40455600000001</v>
      </c>
      <c r="CV63" s="13">
        <f t="shared" si="41"/>
        <v>37.988163826705851</v>
      </c>
      <c r="CW63" s="20">
        <f t="shared" si="13"/>
        <v>322.89232036484606</v>
      </c>
      <c r="CX63" s="59">
        <f t="shared" si="14"/>
        <v>584.14802669632354</v>
      </c>
      <c r="CY63" s="59">
        <f ca="1">AVERAGE(OFFSET($CX$3,0,0,'Données projet'!$E$13+1,1))-AVERAGE(OFFSET($H$3,0,0,'Données projet'!$E$13+1,1))</f>
        <v>287.73449456153207</v>
      </c>
      <c r="CZ63" s="59">
        <f t="shared" si="42"/>
        <v>296.74833899433281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14.1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16.3354265260534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16.3354265260534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7.6762499999999996</v>
      </c>
      <c r="DO63" s="12">
        <f>IF('Données projet'!$A$166&gt;35,DO62+DN63-DW62,IF(A63&lt;'Données projet'!$A$166,$DL$205^A63,IF(A63='Données projet'!$A$166,'Données projet'!$B$166,DO62+DN63-DW62)))</f>
        <v>157.90624999999997</v>
      </c>
      <c r="DP63" s="17">
        <f>DO63*VLOOKUP('Données projet'!$B$14,Paramètres!$A$1:$I$89,3,0)*VLOOKUP('Données projet'!$B$14,Paramètres!$A$1:$I$89,5,0)</f>
        <v>160.11693749999998</v>
      </c>
      <c r="DQ63" s="13">
        <f t="shared" si="43"/>
        <v>40.868889864625359</v>
      </c>
      <c r="DR63" s="20">
        <f t="shared" si="16"/>
        <v>350.05031599338912</v>
      </c>
      <c r="DS63" s="59">
        <f t="shared" si="17"/>
        <v>611.3060223248666</v>
      </c>
      <c r="DT63" s="59">
        <f ca="1">AVERAGE(OFFSET($DS$3,0,0,'Données projet'!$E$14+1,1))-AVERAGE(OFFSET($H$3,0,0,'Données projet'!$E$14+1,1))</f>
        <v>532.34688562681413</v>
      </c>
      <c r="DU63" s="59">
        <f t="shared" si="44"/>
        <v>345.42627129678556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20.033107895659928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20.033107895659928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-5.6843418860808015E-14</v>
      </c>
      <c r="EK63" s="17">
        <f>EJ63*VLOOKUP('Données projet'!$B$15,Paramètres!$A$1:$I$89,3,0)*VLOOKUP('Données projet'!$B$15,Paramètres!$A$1:$I$89,5,0)</f>
        <v>-5.1431925385259088E-14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256.20286603823035</v>
      </c>
      <c r="EP63" s="59">
        <f t="shared" si="46"/>
        <v>364.83827155069434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37.407037902034183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37.407037902034183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7.6762499999999996</v>
      </c>
      <c r="FE63" s="12">
        <f>IF('Données projet'!$A$218&gt;35,FE62+FD63-FM62,IF(A63&lt;'Données projet'!$A$218,$FB$205^A63,IF(A63='Données projet'!$A$218,'Données projet'!$B$218,FE62+FD63-FM62)))</f>
        <v>157.90624999999997</v>
      </c>
      <c r="FF63" s="17">
        <f>FE63*VLOOKUP('Données projet'!$B$16,Paramètres!$A$1:$I$89,3,0)*VLOOKUP('Données projet'!$B$16,Paramètres!$A$1:$I$89,5,0)</f>
        <v>105.92351249999997</v>
      </c>
      <c r="FG63" s="13">
        <f t="shared" si="47"/>
        <v>28.368431645796388</v>
      </c>
      <c r="FH63" s="20">
        <f t="shared" si="22"/>
        <v>233.89180272059528</v>
      </c>
      <c r="FI63" s="59">
        <f t="shared" si="23"/>
        <v>495.14750905207279</v>
      </c>
      <c r="FJ63" s="59">
        <f ca="1">AVERAGE(OFFSET($FI$3,0,0,'Données projet'!$E$16+1,1))-AVERAGE(OFFSET($H$3,0,0,'Données projet'!$E$16+1,1))</f>
        <v>380.73695370216979</v>
      </c>
      <c r="FK63" s="59">
        <f t="shared" si="48"/>
        <v>249.34467160415713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16.334687976461172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16.334687976461172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7.6762499999999996</v>
      </c>
      <c r="FZ63" s="12">
        <f>IF('Données projet'!$A$244&gt;35,FZ62+FY63-GH62,IF(A63&lt;'Données projet'!$A$244,$FW$205^A63,IF(A63='Données projet'!$A$244,'Données projet'!$B$244,FZ62+FY63-GH62)))</f>
        <v>157.90624999999997</v>
      </c>
      <c r="GA63" s="17">
        <f>FZ63*VLOOKUP('Données projet'!$B$17,Paramètres!$A$1:$I$89,3,0)*VLOOKUP('Données projet'!$B$17,Paramètres!$A$1:$I$89,5,0)</f>
        <v>152.72692499999997</v>
      </c>
      <c r="GB63" s="13">
        <f t="shared" si="49"/>
        <v>39.197637830529253</v>
      </c>
      <c r="GC63" s="20">
        <f t="shared" si="25"/>
        <v>334.26861359650508</v>
      </c>
      <c r="GD63" s="59">
        <f t="shared" si="26"/>
        <v>595.52431992798256</v>
      </c>
      <c r="GE63" s="59">
        <f ca="1">AVERAGE(OFFSET($GD$3,0,0,'Données projet'!$E$17+1,1))-AVERAGE(OFFSET($H$3,0,0,'Données projet'!$E$17+1,1))</f>
        <v>511.7458522930001</v>
      </c>
      <c r="GF63" s="59">
        <f t="shared" si="50"/>
        <v>332.37317679966122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19.108502915860235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19.108502915860235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245</v>
      </c>
      <c r="GS63" s="12">
        <f>VLOOKUP(A63,'Données projet'!$A$269:$I$289,9,0)</f>
        <v>5.2</v>
      </c>
      <c r="GT63" s="12">
        <f t="array" ref="GT63">INDEX(GS:GS,MIN(IF(ISNUMBER(GS63:GS259),ROW(GS63:GS259),"")))</f>
        <v>5.2</v>
      </c>
      <c r="GU63" s="12">
        <f>IF('Données projet'!$A$270&gt;35,GU62+GT63-HC62,IF(A63&lt;'Données projet'!$A$270,$GR$205^A63,IF(A63='Données projet'!$A$270,'Données projet'!$B$270,GU62+GT63-HC62)))</f>
        <v>244.99999999999983</v>
      </c>
      <c r="GV63" s="17">
        <f>GU63*VLOOKUP('Données projet'!$B$18,Paramètres!$A$1:$I$89,3,0)*VLOOKUP('Données projet'!$B$18,Paramètres!$A$1:$I$89,5,0)</f>
        <v>214.03199999999987</v>
      </c>
      <c r="GW63" s="13">
        <f t="shared" si="51"/>
        <v>52.815701536972192</v>
      </c>
      <c r="GX63" s="20">
        <f t="shared" si="28"/>
        <v>464.7597468435597</v>
      </c>
      <c r="GY63" s="59">
        <f t="shared" si="29"/>
        <v>726.01545317503724</v>
      </c>
      <c r="GZ63" s="59">
        <f ca="1">AVERAGE(OFFSET($GY$3,0,0,'Données projet'!$E$18+1,1))-AVERAGE(OFFSET($H$3,0,0,'Données projet'!$E$18+1,1))</f>
        <v>348.77506423101278</v>
      </c>
      <c r="HA63" s="59">
        <f t="shared" si="52"/>
        <v>336.13747591329548</v>
      </c>
      <c r="HB63" s="15">
        <f>IF(ISNA(VLOOKUP(A63,'Données projet'!$A$269:$I$289,3,0)),0,VLOOKUP(A63,'Données projet'!$A$269:$I$289,3,0))</f>
        <v>10</v>
      </c>
      <c r="HC63" s="15">
        <f>IF(ISNA(VLOOKUP(A63,'Données projet'!$A$269:$I$289,4,0)),0,VLOOKUP(A63,'Données projet'!$A$269:$I$289,4,0))</f>
        <v>12</v>
      </c>
      <c r="HD63" s="16">
        <f>IF(ISNA(VLOOKUP(A63,'Données projet'!$A$269:$I$289,5,0)),0%,VLOOKUP(A63,'Données projet'!$A$269:$I$289,5,0)*VLOOKUP('Données projet'!$B$18,Paramètres!$A$1:$I$89,7,0))</f>
        <v>0.26500000000000001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19.38239216141092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19.38239216141092</v>
      </c>
    </row>
    <row r="64" spans="1:218" x14ac:dyDescent="0.2">
      <c r="A64" s="10">
        <f t="shared" si="31"/>
        <v>61</v>
      </c>
      <c r="B64" s="71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5">
        <f t="shared" si="1"/>
        <v>183.33333333333334</v>
      </c>
      <c r="I64" s="6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16.595714285714287</v>
      </c>
      <c r="N64" s="13">
        <f>IF('Données projet'!$A$36&gt;35,N63+M64-V63,IF(A64&lt;'Données projet'!$A$36,$K$205^A64,IF(A64='Données projet'!$A$36,'Données projet'!$B$36,N63+M64-V63)))</f>
        <v>383.29857142857122</v>
      </c>
      <c r="O64" s="13">
        <f>N64*VLOOKUP('Données projet'!$B$9,Paramètres!$A$1:$I$89,3,0)*VLOOKUP('Données projet'!$B$9,Paramètres!$A$1:$I$89,5,0)</f>
        <v>179.38373142857134</v>
      </c>
      <c r="P64" s="13">
        <f t="shared" si="33"/>
        <v>45.185050408380668</v>
      </c>
      <c r="Q64" s="20">
        <f t="shared" si="53"/>
        <v>391.12396169935806</v>
      </c>
      <c r="R64" s="59">
        <f t="shared" si="0"/>
        <v>652.93614314448746</v>
      </c>
      <c r="S64" s="59">
        <f ca="1">AVERAGE(OFFSET($R$3,0,0,'Données projet'!$E$9+1,1))-AVERAGE(OFFSET($H$3,0,0,'Données projet'!$E$9+1,1))</f>
        <v>387.50901594883317</v>
      </c>
      <c r="T64" s="59">
        <f t="shared" si="34"/>
        <v>361.3623790401972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35.887407906216382</v>
      </c>
      <c r="AA64" s="21">
        <f>EXP(-LN(2)/25)*AA63+(1-EXP(-LN(2)/25))/(LN(2)/25)*Calculateur!V64*Calculateur!X64*VLOOKUP('Données projet'!$B$9,Paramètres!$A$1:$I$89,3,0)*0.475*44/12</f>
        <v>29.171896881789401</v>
      </c>
      <c r="AB64" s="21">
        <f>EXP(-LN(2)/2)*AB63+(1-EXP(-LN(2)/2))/(LN(2)/2)*V64*Y64*VLOOKUP('Données projet'!$B$9,Paramètres!$A$1:$I$89,3,0)*0.475*44/12</f>
        <v>1.8930307525034908</v>
      </c>
      <c r="AC64" s="22">
        <f t="shared" si="3"/>
        <v>66.952335540509281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382.98700000000019</v>
      </c>
      <c r="AJ64" s="13">
        <f>AI64*VLOOKUP('Données projet'!$B$10,Paramètres!$A$1:$I$89,3,0)*VLOOKUP('Données projet'!$B$10,Paramètres!$A$1:$I$89,5,0)</f>
        <v>229.02622600000012</v>
      </c>
      <c r="AK64" s="13">
        <f t="shared" si="35"/>
        <v>56.072076861881605</v>
      </c>
      <c r="AL64" s="20">
        <f t="shared" si="4"/>
        <v>496.54621081777736</v>
      </c>
      <c r="AM64" s="59">
        <f t="shared" si="5"/>
        <v>758.3583922629067</v>
      </c>
      <c r="AN64" s="59">
        <f ca="1">AVERAGE(OFFSET($AM$3,0,0,'Données projet'!$E$10+1,1))-AVERAGE(OFFSET($H$3,0,0,'Données projet'!$E$10+1,1))</f>
        <v>373.47758082856359</v>
      </c>
      <c r="AO64" s="59">
        <f t="shared" si="36"/>
        <v>277.24895424120166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43.353480432112697</v>
      </c>
      <c r="AV64" s="21">
        <f>EXP(-LN(2)/25)*AV63+(1-EXP(-LN(2)/25))/(LN(2)/25)*Calculateur!AQ64*Calculateur!AS64*VLOOKUP('Données projet'!$B$10,Paramètres!$A$1:$I$89,3,0)*0.475*44/12</f>
        <v>21.179567301414675</v>
      </c>
      <c r="AW64" s="21">
        <f>EXP(-LN(2)/2)*AW63+(1-EXP(-LN(2)/2))/(LN(2)/2)*AQ64*AT64*VLOOKUP('Données projet'!$B$10,Paramètres!$A$1:$I$89,3,0)*0.475*44/12</f>
        <v>6.2196665114488612</v>
      </c>
      <c r="AX64" s="21">
        <f t="shared" si="6"/>
        <v>70.752714244976232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15.602999999999998</v>
      </c>
      <c r="BD64" s="12">
        <f>IF('Données projet'!$A$88&gt;35,BD63+BC64-BL63,IF(A64&lt;'Données projet'!$A$88,$BA$205^A64,IF(A64='Données projet'!$A$88,'Données projet'!$B$88,BD63+BC64-BL63)))</f>
        <v>552.34499999999991</v>
      </c>
      <c r="BE64" s="13">
        <f>BD64*VLOOKUP('Données projet'!$B$11,Paramètres!$A$1:$I$89,3,0)*VLOOKUP('Données projet'!$B$11,Paramètres!$A$1:$I$89,5,0)</f>
        <v>330.30230999999998</v>
      </c>
      <c r="BF64" s="13">
        <f t="shared" si="37"/>
        <v>77.492980407216848</v>
      </c>
      <c r="BG64" s="20">
        <f t="shared" si="7"/>
        <v>710.24346412590251</v>
      </c>
      <c r="BH64" s="59">
        <f t="shared" si="8"/>
        <v>972.05564557103185</v>
      </c>
      <c r="BI64" s="59">
        <f ca="1">AVERAGE(OFFSET($BH$3,0,0,'Données projet'!$E$11+1,1))-AVERAGE(OFFSET($H$3,0,0,'Données projet'!$E$11+1,1))</f>
        <v>460.88622650237176</v>
      </c>
      <c r="BJ64" s="59">
        <f t="shared" si="38"/>
        <v>396.05161661639647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44.815917473132302</v>
      </c>
      <c r="BQ64" s="21">
        <f>EXP(-LN(2)/25)*BQ63+(1-EXP(-LN(2)/25))/(LN(2)/25)*Calculateur!BL64*Calculateur!BN64*VLOOKUP('Données projet'!$B$11,Paramètres!$A$1:$I$89,3,0)*0.475*44/12</f>
        <v>20.841190994782771</v>
      </c>
      <c r="BR64" s="21">
        <f>EXP(-LN(2)/2)*BR63+(1-EXP(-LN(2)/2))/(LN(2)/2)*BL64*BO64*VLOOKUP('Données projet'!$B$11,Paramètres!$A$1:$I$89,3,0)*0.475*44/12</f>
        <v>1.7318623012518921</v>
      </c>
      <c r="BS64" s="22">
        <f t="shared" si="9"/>
        <v>67.38897076916696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18.58285714285714</v>
      </c>
      <c r="BY64" s="12">
        <f>IF('Données projet'!$A$114&gt;35,BY63+BX64-CG63,IF(A64&lt;'Données projet'!$A$114,$BV$205^A64,IF(A64='Données projet'!$A$114,'Données projet'!$B$114,BY63+BX64-CG63)))</f>
        <v>531.83428571428567</v>
      </c>
      <c r="BZ64" s="13">
        <f>BY64*VLOOKUP('Données projet'!$B$12,Paramètres!$A$1:$I$89,3,0)*VLOOKUP('Données projet'!$B$12,Paramètres!$A$1:$I$89,5,0)</f>
        <v>241.98459999999997</v>
      </c>
      <c r="CA64" s="13">
        <f t="shared" si="39"/>
        <v>58.866321970977971</v>
      </c>
      <c r="CB64" s="20">
        <f t="shared" si="10"/>
        <v>523.98202243278661</v>
      </c>
      <c r="CC64" s="59">
        <f t="shared" si="11"/>
        <v>785.79420387791595</v>
      </c>
      <c r="CD64" s="59">
        <f ca="1">AVERAGE(OFFSET($CC$3,0,0,'Données projet'!$E$12+1,1))-AVERAGE(OFFSET($H$3,0,0,'Données projet'!$E$12+1,1))</f>
        <v>341.60063595566282</v>
      </c>
      <c r="CE64" s="59">
        <f t="shared" si="40"/>
        <v>317.05609766344219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58.460193208407979</v>
      </c>
      <c r="CL64" s="21">
        <f>EXP(-LN(2)/25)*CL63+(1-EXP(-LN(2)/25))/(LN(2)/25)*Calculateur!CG64*Calculateur!CI64*VLOOKUP('Données projet'!$B$12,Paramètres!$A$1:$I$89,3,0)*0.475*44/12</f>
        <v>28.730137954871157</v>
      </c>
      <c r="CM64" s="21">
        <f>EXP(-LN(2)/2)*CM63+(1-EXP(-LN(2)/2))/(LN(2)/2)*CG64*CJ64*VLOOKUP('Données projet'!$B$12,Paramètres!$A$1:$I$89,3,0)*0.475*44/12</f>
        <v>1.7305913739638679</v>
      </c>
      <c r="CN64" s="22">
        <f t="shared" si="12"/>
        <v>88.920922537243001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3.3319999999999994</v>
      </c>
      <c r="CT64" s="12">
        <f>IF('Données projet'!$A$140&gt;35,CT63+CS64-DB63,IF(A64&lt;'Données projet'!$A$140,$CQ$205^A64,IF(A64='Données projet'!$A$140,'Données projet'!$B$140,CT63+CS64-DB63)))</f>
        <v>130.262</v>
      </c>
      <c r="CU64" s="17">
        <f>CT64*VLOOKUP('Données projet'!$B$13,Paramètres!$A$1:$I$89,3,0)*VLOOKUP('Données projet'!$B$13,Paramètres!$A$1:$I$89,5,0)</f>
        <v>136.14984240000001</v>
      </c>
      <c r="CV64" s="13">
        <f t="shared" si="41"/>
        <v>35.41356206685311</v>
      </c>
      <c r="CW64" s="20">
        <f t="shared" si="13"/>
        <v>298.80626277976916</v>
      </c>
      <c r="CX64" s="59">
        <f t="shared" si="14"/>
        <v>560.61844422489844</v>
      </c>
      <c r="CY64" s="59">
        <f ca="1">AVERAGE(OFFSET($CX$3,0,0,'Données projet'!$E$13+1,1))-AVERAGE(OFFSET($H$3,0,0,'Données projet'!$E$13+1,1))</f>
        <v>287.73449456153207</v>
      </c>
      <c r="CZ64" s="59">
        <f t="shared" si="42"/>
        <v>296.74833899433281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16.015098775503848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16.015098775503848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7.6762499999999996</v>
      </c>
      <c r="DO64" s="12">
        <f>IF('Données projet'!$A$166&gt;35,DO63+DN64-DW63,IF(A64&lt;'Données projet'!$A$166,$DL$205^A64,IF(A64='Données projet'!$A$166,'Données projet'!$B$166,DO63+DN64-DW63)))</f>
        <v>165.58249999999998</v>
      </c>
      <c r="DP64" s="17">
        <f>DO64*VLOOKUP('Données projet'!$B$14,Paramètres!$A$1:$I$89,3,0)*VLOOKUP('Données projet'!$B$14,Paramètres!$A$1:$I$89,5,0)</f>
        <v>167.90065499999997</v>
      </c>
      <c r="DQ64" s="13">
        <f t="shared" si="43"/>
        <v>42.61950064939839</v>
      </c>
      <c r="DR64" s="20">
        <f t="shared" si="16"/>
        <v>366.65593775603548</v>
      </c>
      <c r="DS64" s="59">
        <f t="shared" si="17"/>
        <v>628.46811920116488</v>
      </c>
      <c r="DT64" s="59">
        <f ca="1">AVERAGE(OFFSET($DS$3,0,0,'Données projet'!$E$14+1,1))-AVERAGE(OFFSET($H$3,0,0,'Données projet'!$E$14+1,1))</f>
        <v>532.34688562681413</v>
      </c>
      <c r="DU64" s="59">
        <f t="shared" si="44"/>
        <v>345.42627129678556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19.640270868815328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19.640270868815328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-5.6843418860808015E-14</v>
      </c>
      <c r="EK64" s="17">
        <f>EJ64*VLOOKUP('Données projet'!$B$15,Paramètres!$A$1:$I$89,3,0)*VLOOKUP('Données projet'!$B$15,Paramètres!$A$1:$I$89,5,0)</f>
        <v>-5.1431925385259088E-14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256.20286603823035</v>
      </c>
      <c r="EP64" s="59">
        <f t="shared" si="46"/>
        <v>364.83827155069434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36.673508704815518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36.673508704815518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7.6762499999999996</v>
      </c>
      <c r="FE64" s="12">
        <f>IF('Données projet'!$A$218&gt;35,FE63+FD64-FM63,IF(A64&lt;'Données projet'!$A$218,$FB$205^A64,IF(A64='Données projet'!$A$218,'Données projet'!$B$218,FE63+FD64-FM63)))</f>
        <v>165.58249999999998</v>
      </c>
      <c r="FF64" s="17">
        <f>FE64*VLOOKUP('Données projet'!$B$16,Paramètres!$A$1:$I$89,3,0)*VLOOKUP('Données projet'!$B$16,Paramètres!$A$1:$I$89,5,0)</f>
        <v>111.07274099999999</v>
      </c>
      <c r="FG64" s="13">
        <f t="shared" si="47"/>
        <v>29.583587784138508</v>
      </c>
      <c r="FH64" s="20">
        <f t="shared" si="22"/>
        <v>244.97643929904123</v>
      </c>
      <c r="FI64" s="59">
        <f t="shared" si="23"/>
        <v>506.78862074417054</v>
      </c>
      <c r="FJ64" s="59">
        <f ca="1">AVERAGE(OFFSET($FI$3,0,0,'Données projet'!$E$16+1,1))-AVERAGE(OFFSET($H$3,0,0,'Données projet'!$E$16+1,1))</f>
        <v>380.73695370216979</v>
      </c>
      <c r="FK64" s="59">
        <f t="shared" si="48"/>
        <v>249.34467160415713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16.014374708418654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16.014374708418654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7.6762499999999996</v>
      </c>
      <c r="FZ64" s="12">
        <f>IF('Données projet'!$A$244&gt;35,FZ63+FY64-GH63,IF(A64&lt;'Données projet'!$A$244,$FW$205^A64,IF(A64='Données projet'!$A$244,'Données projet'!$B$244,FZ63+FY64-GH63)))</f>
        <v>165.58249999999998</v>
      </c>
      <c r="GA64" s="17">
        <f>FZ64*VLOOKUP('Données projet'!$B$17,Paramètres!$A$1:$I$89,3,0)*VLOOKUP('Données projet'!$B$17,Paramètres!$A$1:$I$89,5,0)</f>
        <v>160.15139399999998</v>
      </c>
      <c r="GB64" s="13">
        <f t="shared" si="49"/>
        <v>40.87666086616958</v>
      </c>
      <c r="GC64" s="20">
        <f t="shared" si="25"/>
        <v>350.12386222524532</v>
      </c>
      <c r="GD64" s="59">
        <f t="shared" si="26"/>
        <v>611.9360436703746</v>
      </c>
      <c r="GE64" s="59">
        <f ca="1">AVERAGE(OFFSET($GD$3,0,0,'Données projet'!$E$17+1,1))-AVERAGE(OFFSET($H$3,0,0,'Données projet'!$E$17+1,1))</f>
        <v>511.7458522930001</v>
      </c>
      <c r="GF64" s="59">
        <f t="shared" si="50"/>
        <v>332.37317679966122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18.733796828716155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18.733796828716155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4.4000000000000004</v>
      </c>
      <c r="GU64" s="12">
        <f>IF('Données projet'!$A$270&gt;35,GU63+GT64-HC63,IF(A64&lt;'Données projet'!$A$270,$GR$205^A64,IF(A64='Données projet'!$A$270,'Données projet'!$B$270,GU63+GT64-HC63)))</f>
        <v>237.39999999999984</v>
      </c>
      <c r="GV64" s="17">
        <f>GU64*VLOOKUP('Données projet'!$B$18,Paramètres!$A$1:$I$89,3,0)*VLOOKUP('Données projet'!$B$18,Paramètres!$A$1:$I$89,5,0)</f>
        <v>207.39263999999989</v>
      </c>
      <c r="GW64" s="13">
        <f t="shared" si="51"/>
        <v>51.365398298247158</v>
      </c>
      <c r="GX64" s="20">
        <f t="shared" si="28"/>
        <v>450.67025003611349</v>
      </c>
      <c r="GY64" s="59">
        <f t="shared" si="29"/>
        <v>712.48243148124288</v>
      </c>
      <c r="GZ64" s="59">
        <f ca="1">AVERAGE(OFFSET($GY$3,0,0,'Données projet'!$E$18+1,1))-AVERAGE(OFFSET($H$3,0,0,'Données projet'!$E$18+1,1))</f>
        <v>348.77506423101278</v>
      </c>
      <c r="HA64" s="59">
        <f t="shared" si="52"/>
        <v>336.13747591329548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19.002315273217537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19.002315273217537</v>
      </c>
    </row>
    <row r="65" spans="1:218" x14ac:dyDescent="0.2">
      <c r="A65" s="10">
        <f t="shared" si="31"/>
        <v>62</v>
      </c>
      <c r="B65" s="71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5">
        <f t="shared" si="1"/>
        <v>183.33333333333334</v>
      </c>
      <c r="I65" s="6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16.595714285714287</v>
      </c>
      <c r="N65" s="13">
        <f>IF('Données projet'!$A$36&gt;35,N64+M65-V64,IF(A65&lt;'Données projet'!$A$36,$K$205^A65,IF(A65='Données projet'!$A$36,'Données projet'!$B$36,N64+M65-V64)))</f>
        <v>399.8942857142855</v>
      </c>
      <c r="O65" s="13">
        <f>N65*VLOOKUP('Données projet'!$B$9,Paramètres!$A$1:$I$89,3,0)*VLOOKUP('Données projet'!$B$9,Paramètres!$A$1:$I$89,5,0)</f>
        <v>187.15052571428564</v>
      </c>
      <c r="P65" s="13">
        <f t="shared" si="33"/>
        <v>46.909421581101313</v>
      </c>
      <c r="Q65" s="20">
        <f t="shared" si="53"/>
        <v>407.6544082061323</v>
      </c>
      <c r="R65" s="59">
        <f t="shared" si="0"/>
        <v>670.01341116578362</v>
      </c>
      <c r="S65" s="59">
        <f ca="1">AVERAGE(OFFSET($R$3,0,0,'Données projet'!$E$9+1,1))-AVERAGE(OFFSET($H$3,0,0,'Données projet'!$E$9+1,1))</f>
        <v>387.50901594883317</v>
      </c>
      <c r="T65" s="59">
        <f t="shared" si="34"/>
        <v>361.3623790401972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35.183677726332924</v>
      </c>
      <c r="AA65" s="21">
        <f>EXP(-LN(2)/25)*AA64+(1-EXP(-LN(2)/25))/(LN(2)/25)*Calculateur!V65*Calculateur!X65*VLOOKUP('Données projet'!$B$9,Paramètres!$A$1:$I$89,3,0)*0.475*44/12</f>
        <v>28.374189827473487</v>
      </c>
      <c r="AB65" s="21">
        <f>EXP(-LN(2)/2)*AB64+(1-EXP(-LN(2)/2))/(LN(2)/2)*V65*Y65*VLOOKUP('Données projet'!$B$9,Paramètres!$A$1:$I$89,3,0)*0.475*44/12</f>
        <v>1.3385748820898913</v>
      </c>
      <c r="AC65" s="22">
        <f t="shared" si="3"/>
        <v>64.896442435896304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394.88400000000019</v>
      </c>
      <c r="AJ65" s="13">
        <f>AI65*VLOOKUP('Données projet'!$B$10,Paramètres!$A$1:$I$89,3,0)*VLOOKUP('Données projet'!$B$10,Paramètres!$A$1:$I$89,5,0)</f>
        <v>236.14063200000015</v>
      </c>
      <c r="AK65" s="13">
        <f t="shared" si="35"/>
        <v>57.608386833134347</v>
      </c>
      <c r="AL65" s="20">
        <f t="shared" si="4"/>
        <v>511.61287446770933</v>
      </c>
      <c r="AM65" s="59">
        <f t="shared" si="5"/>
        <v>773.9718774273606</v>
      </c>
      <c r="AN65" s="59">
        <f ca="1">AVERAGE(OFFSET($AM$3,0,0,'Données projet'!$E$10+1,1))-AVERAGE(OFFSET($H$3,0,0,'Données projet'!$E$10+1,1))</f>
        <v>373.47758082856359</v>
      </c>
      <c r="AO65" s="59">
        <f t="shared" si="36"/>
        <v>277.24895424120166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42.503345123850998</v>
      </c>
      <c r="AV65" s="21">
        <f>EXP(-LN(2)/25)*AV64+(1-EXP(-LN(2)/25))/(LN(2)/25)*Calculateur!AQ65*Calculateur!AS65*VLOOKUP('Données projet'!$B$10,Paramètres!$A$1:$I$89,3,0)*0.475*44/12</f>
        <v>20.600410919772454</v>
      </c>
      <c r="AW65" s="21">
        <f>EXP(-LN(2)/2)*AW64+(1-EXP(-LN(2)/2))/(LN(2)/2)*AQ65*AT65*VLOOKUP('Données projet'!$B$10,Paramètres!$A$1:$I$89,3,0)*0.475*44/12</f>
        <v>4.3979683669643679</v>
      </c>
      <c r="AX65" s="21">
        <f t="shared" si="6"/>
        <v>67.501724410587812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15.602999999999998</v>
      </c>
      <c r="BD65" s="12">
        <f>IF('Données projet'!$A$88&gt;35,BD64+BC65-BL64,IF(A65&lt;'Données projet'!$A$88,$BA$205^A65,IF(A65='Données projet'!$A$88,'Données projet'!$B$88,BD64+BC65-BL64)))</f>
        <v>567.94799999999987</v>
      </c>
      <c r="BE65" s="13">
        <f>BD65*VLOOKUP('Données projet'!$B$11,Paramètres!$A$1:$I$89,3,0)*VLOOKUP('Données projet'!$B$11,Paramètres!$A$1:$I$89,5,0)</f>
        <v>339.63290399999994</v>
      </c>
      <c r="BF65" s="13">
        <f t="shared" si="37"/>
        <v>79.424097296144211</v>
      </c>
      <c r="BG65" s="20">
        <f t="shared" si="7"/>
        <v>729.85761059078425</v>
      </c>
      <c r="BH65" s="59">
        <f t="shared" si="8"/>
        <v>992.21661355043557</v>
      </c>
      <c r="BI65" s="59">
        <f ca="1">AVERAGE(OFFSET($BH$3,0,0,'Données projet'!$E$11+1,1))-AVERAGE(OFFSET($H$3,0,0,'Données projet'!$E$11+1,1))</f>
        <v>460.88622650237176</v>
      </c>
      <c r="BJ65" s="59">
        <f t="shared" si="38"/>
        <v>396.05161661639647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43.937104666494726</v>
      </c>
      <c r="BQ65" s="21">
        <f>EXP(-LN(2)/25)*BQ64+(1-EXP(-LN(2)/25))/(LN(2)/25)*Calculateur!BL65*Calculateur!BN65*VLOOKUP('Données projet'!$B$11,Paramètres!$A$1:$I$89,3,0)*0.475*44/12</f>
        <v>20.271287531039835</v>
      </c>
      <c r="BR65" s="21">
        <f>EXP(-LN(2)/2)*BR64+(1-EXP(-LN(2)/2))/(LN(2)/2)*BL65*BO65*VLOOKUP('Données projet'!$B$11,Paramètres!$A$1:$I$89,3,0)*0.475*44/12</f>
        <v>1.2246115772965525</v>
      </c>
      <c r="BS65" s="22">
        <f t="shared" si="9"/>
        <v>65.433003774831121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18.58285714285714</v>
      </c>
      <c r="BY65" s="12">
        <f>IF('Données projet'!$A$114&gt;35,BY64+BX65-CG64,IF(A65&lt;'Données projet'!$A$114,$BV$205^A65,IF(A65='Données projet'!$A$114,'Données projet'!$B$114,BY64+BX65-CG64)))</f>
        <v>550.41714285714284</v>
      </c>
      <c r="BZ65" s="13">
        <f>BY65*VLOOKUP('Données projet'!$B$12,Paramètres!$A$1:$I$89,3,0)*VLOOKUP('Données projet'!$B$12,Paramètres!$A$1:$I$89,5,0)</f>
        <v>250.43979999999999</v>
      </c>
      <c r="CA65" s="13">
        <f t="shared" si="39"/>
        <v>60.680107767067234</v>
      </c>
      <c r="CB65" s="20">
        <f t="shared" si="10"/>
        <v>541.86717269430869</v>
      </c>
      <c r="CC65" s="59">
        <f t="shared" si="11"/>
        <v>804.22617565396001</v>
      </c>
      <c r="CD65" s="59">
        <f ca="1">AVERAGE(OFFSET($CC$3,0,0,'Données projet'!$E$12+1,1))-AVERAGE(OFFSET($H$3,0,0,'Données projet'!$E$12+1,1))</f>
        <v>341.60063595566282</v>
      </c>
      <c r="CE65" s="59">
        <f t="shared" si="40"/>
        <v>317.05609766344219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57.313824476788099</v>
      </c>
      <c r="CL65" s="21">
        <f>EXP(-LN(2)/25)*CL64+(1-EXP(-LN(2)/25))/(LN(2)/25)*Calculateur!CG65*Calculateur!CI65*VLOOKUP('Données projet'!$B$12,Paramètres!$A$1:$I$89,3,0)*0.475*44/12</f>
        <v>27.944510821642915</v>
      </c>
      <c r="CM65" s="21">
        <f>EXP(-LN(2)/2)*CM64+(1-EXP(-LN(2)/2))/(LN(2)/2)*CG65*CJ65*VLOOKUP('Données projet'!$B$12,Paramètres!$A$1:$I$89,3,0)*0.475*44/12</f>
        <v>1.2237128959927954</v>
      </c>
      <c r="CN65" s="22">
        <f t="shared" si="12"/>
        <v>86.482048194423797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3.3319999999999994</v>
      </c>
      <c r="CT65" s="12">
        <f>IF('Données projet'!$A$140&gt;35,CT64+CS65-DB64,IF(A65&lt;'Données projet'!$A$140,$CQ$205^A65,IF(A65='Données projet'!$A$140,'Données projet'!$B$140,CT64+CS65-DB64)))</f>
        <v>133.59399999999999</v>
      </c>
      <c r="CU65" s="17">
        <f>CT65*VLOOKUP('Données projet'!$B$13,Paramètres!$A$1:$I$89,3,0)*VLOOKUP('Données projet'!$B$13,Paramètres!$A$1:$I$89,5,0)</f>
        <v>139.63244880000002</v>
      </c>
      <c r="CV65" s="13">
        <f t="shared" si="41"/>
        <v>36.212791798252361</v>
      </c>
      <c r="CW65" s="20">
        <f t="shared" si="13"/>
        <v>306.26379404195626</v>
      </c>
      <c r="CX65" s="59">
        <f t="shared" si="14"/>
        <v>568.62279700160752</v>
      </c>
      <c r="CY65" s="59">
        <f ca="1">AVERAGE(OFFSET($CX$3,0,0,'Données projet'!$E$13+1,1))-AVERAGE(OFFSET($H$3,0,0,'Données projet'!$E$13+1,1))</f>
        <v>287.73449456153207</v>
      </c>
      <c r="CZ65" s="59">
        <f t="shared" si="42"/>
        <v>296.74833899433281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15.701052456761936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15.701052456761936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7.6762499999999996</v>
      </c>
      <c r="DO65" s="12">
        <f>IF('Données projet'!$A$166&gt;35,DO64+DN65-DW64,IF(A65&lt;'Données projet'!$A$166,$DL$205^A65,IF(A65='Données projet'!$A$166,'Données projet'!$B$166,DO64+DN65-DW64)))</f>
        <v>173.25874999999999</v>
      </c>
      <c r="DP65" s="17">
        <f>DO65*VLOOKUP('Données projet'!$B$14,Paramètres!$A$1:$I$89,3,0)*VLOOKUP('Données projet'!$B$14,Paramètres!$A$1:$I$89,5,0)</f>
        <v>175.68437250000002</v>
      </c>
      <c r="DQ65" s="13">
        <f t="shared" si="43"/>
        <v>44.360686674140567</v>
      </c>
      <c r="DR65" s="20">
        <f t="shared" si="16"/>
        <v>383.24514472829486</v>
      </c>
      <c r="DS65" s="59">
        <f t="shared" si="17"/>
        <v>645.60414768794612</v>
      </c>
      <c r="DT65" s="59">
        <f ca="1">AVERAGE(OFFSET($DS$3,0,0,'Données projet'!$E$14+1,1))-AVERAGE(OFFSET($H$3,0,0,'Données projet'!$E$14+1,1))</f>
        <v>532.34688562681413</v>
      </c>
      <c r="DU65" s="59">
        <f t="shared" si="44"/>
        <v>345.42627129678556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19.255137136460224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19.255137136460224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-5.6843418860808015E-14</v>
      </c>
      <c r="EK65" s="17">
        <f>EJ65*VLOOKUP('Données projet'!$B$15,Paramètres!$A$1:$I$89,3,0)*VLOOKUP('Données projet'!$B$15,Paramètres!$A$1:$I$89,5,0)</f>
        <v>-5.1431925385259088E-14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256.20286603823035</v>
      </c>
      <c r="EP65" s="59">
        <f t="shared" si="46"/>
        <v>364.83827155069434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35.954363567745673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35.954363567745673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7.6762499999999996</v>
      </c>
      <c r="FE65" s="12">
        <f>IF('Données projet'!$A$218&gt;35,FE64+FD65-FM64,IF(A65&lt;'Données projet'!$A$218,$FB$205^A65,IF(A65='Données projet'!$A$218,'Données projet'!$B$218,FE64+FD65-FM64)))</f>
        <v>173.25874999999999</v>
      </c>
      <c r="FF65" s="17">
        <f>FE65*VLOOKUP('Données projet'!$B$16,Paramètres!$A$1:$I$89,3,0)*VLOOKUP('Données projet'!$B$16,Paramètres!$A$1:$I$89,5,0)</f>
        <v>116.2219695</v>
      </c>
      <c r="FG65" s="13">
        <f t="shared" si="47"/>
        <v>30.792201888635351</v>
      </c>
      <c r="FH65" s="20">
        <f t="shared" si="22"/>
        <v>256.04968183520651</v>
      </c>
      <c r="FI65" s="59">
        <f t="shared" si="23"/>
        <v>518.40868479485789</v>
      </c>
      <c r="FJ65" s="59">
        <f ca="1">AVERAGE(OFFSET($FI$3,0,0,'Données projet'!$E$16+1,1))-AVERAGE(OFFSET($H$3,0,0,'Données projet'!$E$16+1,1))</f>
        <v>380.73695370216979</v>
      </c>
      <c r="FK65" s="59">
        <f t="shared" si="48"/>
        <v>249.34467160415713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15.700342588190646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15.700342588190646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7.6762499999999996</v>
      </c>
      <c r="FZ65" s="12">
        <f>IF('Données projet'!$A$244&gt;35,FZ64+FY65-GH64,IF(A65&lt;'Données projet'!$A$244,$FW$205^A65,IF(A65='Données projet'!$A$244,'Données projet'!$B$244,FZ64+FY65-GH64)))</f>
        <v>173.25874999999999</v>
      </c>
      <c r="GA65" s="17">
        <f>FZ65*VLOOKUP('Données projet'!$B$17,Paramètres!$A$1:$I$89,3,0)*VLOOKUP('Données projet'!$B$17,Paramètres!$A$1:$I$89,5,0)</f>
        <v>167.575863</v>
      </c>
      <c r="GB65" s="13">
        <f t="shared" si="49"/>
        <v>42.546644548611063</v>
      </c>
      <c r="GC65" s="20">
        <f t="shared" si="25"/>
        <v>365.96336731383093</v>
      </c>
      <c r="GD65" s="59">
        <f t="shared" si="26"/>
        <v>628.32237027348219</v>
      </c>
      <c r="GE65" s="59">
        <f ca="1">AVERAGE(OFFSET($GD$3,0,0,'Données projet'!$E$17+1,1))-AVERAGE(OFFSET($H$3,0,0,'Données projet'!$E$17+1,1))</f>
        <v>511.7458522930001</v>
      </c>
      <c r="GF65" s="59">
        <f t="shared" si="50"/>
        <v>332.37317679966122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18.366438499392824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18.366438499392824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4.4000000000000004</v>
      </c>
      <c r="GU65" s="12">
        <f>IF('Données projet'!$A$270&gt;35,GU64+GT65-HC64,IF(A65&lt;'Données projet'!$A$270,$GR$205^A65,IF(A65='Données projet'!$A$270,'Données projet'!$B$270,GU64+GT65-HC64)))</f>
        <v>241.79999999999984</v>
      </c>
      <c r="GV65" s="17">
        <f>GU65*VLOOKUP('Données projet'!$B$18,Paramètres!$A$1:$I$89,3,0)*VLOOKUP('Données projet'!$B$18,Paramètres!$A$1:$I$89,5,0)</f>
        <v>211.23647999999989</v>
      </c>
      <c r="GW65" s="13">
        <f t="shared" si="51"/>
        <v>52.205695296687686</v>
      </c>
      <c r="GX65" s="20">
        <f t="shared" si="28"/>
        <v>458.82845530839751</v>
      </c>
      <c r="GY65" s="59">
        <f t="shared" si="29"/>
        <v>721.18745826804889</v>
      </c>
      <c r="GZ65" s="59">
        <f ca="1">AVERAGE(OFFSET($GY$3,0,0,'Données projet'!$E$18+1,1))-AVERAGE(OFFSET($H$3,0,0,'Données projet'!$E$18+1,1))</f>
        <v>348.77506423101278</v>
      </c>
      <c r="HA65" s="59">
        <f t="shared" si="52"/>
        <v>336.13747591329548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18.629691460977615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18.629691460977615</v>
      </c>
    </row>
    <row r="66" spans="1:218" x14ac:dyDescent="0.2">
      <c r="A66" s="10">
        <f t="shared" si="31"/>
        <v>63</v>
      </c>
      <c r="B66" s="71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5">
        <f t="shared" si="1"/>
        <v>183.33333333333334</v>
      </c>
      <c r="I66" s="6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416.49</v>
      </c>
      <c r="L66" s="12">
        <f>VLOOKUP(A66,'Données projet'!$A$35:$I$55,9,0)</f>
        <v>16.595714285714287</v>
      </c>
      <c r="M66" s="12">
        <f t="array" ref="M66">INDEX(L:L,MIN(IF(ISNUMBER(L66:L262),ROW(L66:L262),"")))</f>
        <v>16.595714285714287</v>
      </c>
      <c r="N66" s="13">
        <f>IF('Données projet'!$A$36&gt;35,N65+M66-V65,IF(A66&lt;'Données projet'!$A$36,$K$205^A66,IF(A66='Données projet'!$A$36,'Données projet'!$B$36,N65+M66-V65)))</f>
        <v>416.48999999999978</v>
      </c>
      <c r="O66" s="13">
        <f>N66*VLOOKUP('Données projet'!$B$9,Paramètres!$A$1:$I$89,3,0)*VLOOKUP('Données projet'!$B$9,Paramètres!$A$1:$I$89,5,0)</f>
        <v>194.91731999999988</v>
      </c>
      <c r="P66" s="13">
        <f t="shared" si="33"/>
        <v>48.625480522444235</v>
      </c>
      <c r="Q66" s="20">
        <f t="shared" si="53"/>
        <v>424.17037757659017</v>
      </c>
      <c r="R66" s="59">
        <f t="shared" si="0"/>
        <v>687.06671591999634</v>
      </c>
      <c r="S66" s="59">
        <f ca="1">AVERAGE(OFFSET($R$3,0,0,'Données projet'!$E$9+1,1))-AVERAGE(OFFSET($H$3,0,0,'Données projet'!$E$9+1,1))</f>
        <v>387.50901594883317</v>
      </c>
      <c r="T66" s="59">
        <f t="shared" si="34"/>
        <v>361.3623790401972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79.099999999999994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0.12100000000000001</v>
      </c>
      <c r="Y66" s="16">
        <f>IF(ISNA(VLOOKUP(A66,'Données projet'!$A$35:$I$55,7,0)),0%,VLOOKUP(A66,'Données projet'!$A$35:$I$55,7,0))</f>
        <v>0.18</v>
      </c>
      <c r="Z66" s="21">
        <f>EXP(-LN(2)/35)*Z65+(1-EXP(-LN(2)/35))/(LN(2)/35)*V66*W66*VLOOKUP('Données projet'!$B$9,Paramètres!$A$1:$I$89,3,0)*0.475*44/12</f>
        <v>50.699329272842292</v>
      </c>
      <c r="AA66" s="21">
        <f>EXP(-LN(2)/25)*AA65+(1-EXP(-LN(2)/25))/(LN(2)/25)*Calculateur!V66*Calculateur!X66*VLOOKUP('Données projet'!$B$9,Paramètres!$A$1:$I$89,3,0)*0.475*44/12</f>
        <v>33.516946748237231</v>
      </c>
      <c r="AB66" s="21">
        <f>EXP(-LN(2)/2)*AB65+(1-EXP(-LN(2)/2))/(LN(2)/2)*V66*Y66*VLOOKUP('Données projet'!$B$9,Paramètres!$A$1:$I$89,3,0)*0.475*44/12</f>
        <v>8.4910139518728354</v>
      </c>
      <c r="AC66" s="22">
        <f t="shared" si="3"/>
        <v>92.707289972952353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406.78100000000018</v>
      </c>
      <c r="AJ66" s="13">
        <f>AI66*VLOOKUP('Données projet'!$B$10,Paramètres!$A$1:$I$89,3,0)*VLOOKUP('Données projet'!$B$10,Paramètres!$A$1:$I$89,5,0)</f>
        <v>243.25503800000013</v>
      </c>
      <c r="AK66" s="13">
        <f t="shared" si="35"/>
        <v>59.139317725784991</v>
      </c>
      <c r="AL66" s="20">
        <f t="shared" si="4"/>
        <v>526.6701695557424</v>
      </c>
      <c r="AM66" s="59">
        <f t="shared" si="5"/>
        <v>789.56650789914852</v>
      </c>
      <c r="AN66" s="59">
        <f ca="1">AVERAGE(OFFSET($AM$3,0,0,'Données projet'!$E$10+1,1))-AVERAGE(OFFSET($H$3,0,0,'Données projet'!$E$10+1,1))</f>
        <v>373.47758082856359</v>
      </c>
      <c r="AO66" s="59">
        <f t="shared" si="36"/>
        <v>277.24895424120166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41.669880450452979</v>
      </c>
      <c r="AV66" s="21">
        <f>EXP(-LN(2)/25)*AV65+(1-EXP(-LN(2)/25))/(LN(2)/25)*Calculateur!AQ66*Calculateur!AS66*VLOOKUP('Données projet'!$B$10,Paramètres!$A$1:$I$89,3,0)*0.475*44/12</f>
        <v>20.03709159984275</v>
      </c>
      <c r="AW66" s="21">
        <f>EXP(-LN(2)/2)*AW65+(1-EXP(-LN(2)/2))/(LN(2)/2)*AQ66*AT66*VLOOKUP('Données projet'!$B$10,Paramètres!$A$1:$I$89,3,0)*0.475*44/12</f>
        <v>3.109833255724431</v>
      </c>
      <c r="AX66" s="21">
        <f t="shared" si="6"/>
        <v>64.816805306020157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15.602999999999998</v>
      </c>
      <c r="BD66" s="12">
        <f>IF('Données projet'!$A$88&gt;35,BD65+BC66-BL65,IF(A66&lt;'Données projet'!$A$88,$BA$205^A66,IF(A66='Données projet'!$A$88,'Données projet'!$B$88,BD65+BC66-BL65)))</f>
        <v>583.55099999999982</v>
      </c>
      <c r="BE66" s="13">
        <f>BD66*VLOOKUP('Données projet'!$B$11,Paramètres!$A$1:$I$89,3,0)*VLOOKUP('Données projet'!$B$11,Paramètres!$A$1:$I$89,5,0)</f>
        <v>348.9634979999999</v>
      </c>
      <c r="BF66" s="13">
        <f t="shared" si="37"/>
        <v>81.34904788581558</v>
      </c>
      <c r="BG66" s="20">
        <f t="shared" si="7"/>
        <v>749.46101741779523</v>
      </c>
      <c r="BH66" s="59">
        <f t="shared" si="8"/>
        <v>1012.3573557612013</v>
      </c>
      <c r="BI66" s="59">
        <f ca="1">AVERAGE(OFFSET($BH$3,0,0,'Données projet'!$E$11+1,1))-AVERAGE(OFFSET($H$3,0,0,'Données projet'!$E$11+1,1))</f>
        <v>460.88622650237176</v>
      </c>
      <c r="BJ66" s="59">
        <f t="shared" si="38"/>
        <v>396.05161661639647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43.075524842972428</v>
      </c>
      <c r="BQ66" s="21">
        <f>EXP(-LN(2)/25)*BQ65+(1-EXP(-LN(2)/25))/(LN(2)/25)*Calculateur!BL66*Calculateur!BN66*VLOOKUP('Données projet'!$B$11,Paramètres!$A$1:$I$89,3,0)*0.475*44/12</f>
        <v>19.71696810748287</v>
      </c>
      <c r="BR66" s="21">
        <f>EXP(-LN(2)/2)*BR65+(1-EXP(-LN(2)/2))/(LN(2)/2)*BL66*BO66*VLOOKUP('Données projet'!$B$11,Paramètres!$A$1:$I$89,3,0)*0.475*44/12</f>
        <v>0.86593115062594617</v>
      </c>
      <c r="BS66" s="22">
        <f t="shared" si="9"/>
        <v>63.658424101081245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569</v>
      </c>
      <c r="BW66" s="12">
        <f>VLOOKUP(A66,'Données projet'!$A$113:$I$133,9,0)</f>
        <v>18.58285714285714</v>
      </c>
      <c r="BX66" s="12">
        <f t="array" ref="BX66">INDEX(BW:BW,MIN(IF(ISNUMBER(BW66:BW262),ROW(BW66:BW262),"")))</f>
        <v>18.58285714285714</v>
      </c>
      <c r="BY66" s="12">
        <f>IF('Données projet'!$A$114&gt;35,BY65+BX66-CG65,IF(A66&lt;'Données projet'!$A$114,$BV$205^A66,IF(A66='Données projet'!$A$114,'Données projet'!$B$114,BY65+BX66-CG65)))</f>
        <v>569</v>
      </c>
      <c r="BZ66" s="13">
        <f>BY66*VLOOKUP('Données projet'!$B$12,Paramètres!$A$1:$I$89,3,0)*VLOOKUP('Données projet'!$B$12,Paramètres!$A$1:$I$89,5,0)</f>
        <v>258.89499999999998</v>
      </c>
      <c r="CA66" s="13">
        <f t="shared" si="39"/>
        <v>62.486778256720321</v>
      </c>
      <c r="CB66" s="20">
        <f t="shared" si="10"/>
        <v>559.7399304637878</v>
      </c>
      <c r="CC66" s="59">
        <f t="shared" si="11"/>
        <v>822.63626880719391</v>
      </c>
      <c r="CD66" s="59">
        <f ca="1">AVERAGE(OFFSET($CC$3,0,0,'Données projet'!$E$12+1,1))-AVERAGE(OFFSET($H$3,0,0,'Données projet'!$E$12+1,1))</f>
        <v>341.60063595566282</v>
      </c>
      <c r="CE66" s="59">
        <f t="shared" si="40"/>
        <v>317.05609766344219</v>
      </c>
      <c r="CF66" s="15">
        <f>IF(ISNA(VLOOKUP(A66,'Données projet'!$A$113:$I$133,3,0)),0,VLOOKUP(A66,'Données projet'!$A$113:$I$133,3,0))</f>
        <v>8</v>
      </c>
      <c r="CG66" s="15">
        <f>IF(ISNA(VLOOKUP(A66,'Données projet'!$A$113:$I$133,4,0)),0,VLOOKUP(A66,'Données projet'!$A$113:$I$133,4,0))</f>
        <v>99.49</v>
      </c>
      <c r="CH66" s="16">
        <f>IF(ISNA(VLOOKUP(A66,'Données projet'!$A$113:$I$133,5,0)),0%,VLOOKUP(A66,'Données projet'!$A$113:$I$133,5,0)*VLOOKUP('Données projet'!$B$12,Paramètres!$A$1:$I$89,7,0))</f>
        <v>0.38500000000000001</v>
      </c>
      <c r="CI66" s="16">
        <f>IF(ISNA(VLOOKUP(A66,'Données projet'!$A$113:$I$133,6,0)),0%,VLOOKUP(A66,'Données projet'!$A$113:$I$133,6,0)*VLOOKUP('Données projet'!$B$12,Paramètres!$A$1:$I$89,7,0))</f>
        <v>9.3500000000000014E-2</v>
      </c>
      <c r="CJ66" s="16">
        <f>IF(ISNA(VLOOKUP(A66,'Données projet'!$A$113:$I$133,7,0)),0%,VLOOKUP(A66,'Données projet'!$A$113:$I$133,7,0))</f>
        <v>0.13</v>
      </c>
      <c r="CK66" s="21">
        <f>EXP(-LN(2)/35)*CK65+(1-EXP(-LN(2)/35))/(LN(2)/35)*CG66*CH66*VLOOKUP('Données projet'!$B$12,Paramètres!$A$1:$I$89,3,0)*0.475*44/12</f>
        <v>79.30951391141592</v>
      </c>
      <c r="CL66" s="21">
        <f>EXP(-LN(2)/25)*CL65+(1-EXP(-LN(2)/25))/(LN(2)/25)*Calculateur!CG66*Calculateur!CI66*VLOOKUP('Données projet'!$B$12,Paramètres!$A$1:$I$89,3,0)*0.475*44/12</f>
        <v>32.773014071360677</v>
      </c>
      <c r="CM66" s="21">
        <f>EXP(-LN(2)/2)*CM65+(1-EXP(-LN(2)/2))/(LN(2)/2)*CG66*CJ66*VLOOKUP('Données projet'!$B$12,Paramètres!$A$1:$I$89,3,0)*0.475*44/12</f>
        <v>7.5282942412476466</v>
      </c>
      <c r="CN66" s="22">
        <f t="shared" si="12"/>
        <v>119.61082222402425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3.3319999999999994</v>
      </c>
      <c r="CT66" s="12">
        <f>IF('Données projet'!$A$140&gt;35,CT65+CS66-DB65,IF(A66&lt;'Données projet'!$A$140,$CQ$205^A66,IF(A66='Données projet'!$A$140,'Données projet'!$B$140,CT65+CS66-DB65)))</f>
        <v>136.92599999999999</v>
      </c>
      <c r="CU66" s="17">
        <f>CT66*VLOOKUP('Données projet'!$B$13,Paramètres!$A$1:$I$89,3,0)*VLOOKUP('Données projet'!$B$13,Paramètres!$A$1:$I$89,5,0)</f>
        <v>143.1150552</v>
      </c>
      <c r="CV66" s="13">
        <f t="shared" si="41"/>
        <v>37.009704348549427</v>
      </c>
      <c r="CW66" s="20">
        <f t="shared" si="13"/>
        <v>313.71728954705691</v>
      </c>
      <c r="CX66" s="59">
        <f t="shared" si="14"/>
        <v>576.61362789046302</v>
      </c>
      <c r="CY66" s="59">
        <f ca="1">AVERAGE(OFFSET($CX$3,0,0,'Données projet'!$E$13+1,1))-AVERAGE(OFFSET($H$3,0,0,'Données projet'!$E$13+1,1))</f>
        <v>287.73449456153207</v>
      </c>
      <c r="CZ66" s="59">
        <f t="shared" si="42"/>
        <v>296.74833899433281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15.393164394781213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15.393164394781213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7.6762499999999996</v>
      </c>
      <c r="DO66" s="12">
        <f>IF('Données projet'!$A$166&gt;35,DO65+DN66-DW65,IF(A66&lt;'Données projet'!$A$166,$DL$205^A66,IF(A66='Données projet'!$A$166,'Données projet'!$B$166,DO65+DN66-DW65)))</f>
        <v>180.935</v>
      </c>
      <c r="DP66" s="17">
        <f>DO66*VLOOKUP('Données projet'!$B$14,Paramètres!$A$1:$I$89,3,0)*VLOOKUP('Données projet'!$B$14,Paramètres!$A$1:$I$89,5,0)</f>
        <v>183.46809000000002</v>
      </c>
      <c r="DQ66" s="13">
        <f t="shared" si="43"/>
        <v>46.09291321946413</v>
      </c>
      <c r="DR66" s="20">
        <f t="shared" si="16"/>
        <v>399.81874727390004</v>
      </c>
      <c r="DS66" s="59">
        <f t="shared" si="17"/>
        <v>662.71508561730616</v>
      </c>
      <c r="DT66" s="59">
        <f ca="1">AVERAGE(OFFSET($DS$3,0,0,'Données projet'!$E$14+1,1))-AVERAGE(OFFSET($H$3,0,0,'Données projet'!$E$14+1,1))</f>
        <v>532.34688562681413</v>
      </c>
      <c r="DU66" s="59">
        <f t="shared" si="44"/>
        <v>345.42627129678556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18.877555641688222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18.877555641688222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-5.6843418860808015E-14</v>
      </c>
      <c r="EK66" s="17">
        <f>EJ66*VLOOKUP('Données projet'!$B$15,Paramètres!$A$1:$I$89,3,0)*VLOOKUP('Données projet'!$B$15,Paramètres!$A$1:$I$89,5,0)</f>
        <v>-5.1431925385259088E-14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256.20286603823035</v>
      </c>
      <c r="EP66" s="59">
        <f t="shared" si="46"/>
        <v>364.83827155069434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35.249320428178549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35.249320428178549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7.6762499999999996</v>
      </c>
      <c r="FE66" s="12">
        <f>IF('Données projet'!$A$218&gt;35,FE65+FD66-FM65,IF(A66&lt;'Données projet'!$A$218,$FB$205^A66,IF(A66='Données projet'!$A$218,'Données projet'!$B$218,FE65+FD66-FM65)))</f>
        <v>180.935</v>
      </c>
      <c r="FF66" s="17">
        <f>FE66*VLOOKUP('Données projet'!$B$16,Paramètres!$A$1:$I$89,3,0)*VLOOKUP('Données projet'!$B$16,Paramètres!$A$1:$I$89,5,0)</f>
        <v>121.37119799999999</v>
      </c>
      <c r="FG66" s="13">
        <f t="shared" si="47"/>
        <v>31.994596925760643</v>
      </c>
      <c r="FH66" s="20">
        <f t="shared" si="22"/>
        <v>267.11209282903314</v>
      </c>
      <c r="FI66" s="59">
        <f t="shared" si="23"/>
        <v>530.00843117243926</v>
      </c>
      <c r="FJ66" s="59">
        <f ca="1">AVERAGE(OFFSET($FI$3,0,0,'Données projet'!$E$16+1,1))-AVERAGE(OFFSET($H$3,0,0,'Données projet'!$E$16+1,1))</f>
        <v>380.73695370216979</v>
      </c>
      <c r="FK66" s="59">
        <f t="shared" si="48"/>
        <v>249.34467160415713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15.392468446299628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15.392468446299628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7.6762499999999996</v>
      </c>
      <c r="FZ66" s="12">
        <f>IF('Données projet'!$A$244&gt;35,FZ65+FY66-GH65,IF(A66&lt;'Données projet'!$A$244,$FW$205^A66,IF(A66='Données projet'!$A$244,'Données projet'!$B$244,FZ65+FY66-GH65)))</f>
        <v>180.935</v>
      </c>
      <c r="GA66" s="17">
        <f>FZ66*VLOOKUP('Données projet'!$B$17,Paramètres!$A$1:$I$89,3,0)*VLOOKUP('Données projet'!$B$17,Paramètres!$A$1:$I$89,5,0)</f>
        <v>175.00033200000001</v>
      </c>
      <c r="GB66" s="13">
        <f t="shared" si="49"/>
        <v>44.208035131739997</v>
      </c>
      <c r="GC66" s="20">
        <f t="shared" si="25"/>
        <v>381.78790608778053</v>
      </c>
      <c r="GD66" s="59">
        <f t="shared" si="26"/>
        <v>644.6842444311867</v>
      </c>
      <c r="GE66" s="59">
        <f ca="1">AVERAGE(OFFSET($GD$3,0,0,'Données projet'!$E$17+1,1))-AVERAGE(OFFSET($H$3,0,0,'Données projet'!$E$17+1,1))</f>
        <v>511.7458522930001</v>
      </c>
      <c r="GF66" s="59">
        <f t="shared" si="50"/>
        <v>332.37317679966122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18.006283842841068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18.006283842841068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4.4000000000000004</v>
      </c>
      <c r="GU66" s="12">
        <f>IF('Données projet'!$A$270&gt;35,GU65+GT66-HC65,IF(A66&lt;'Données projet'!$A$270,$GR$205^A66,IF(A66='Données projet'!$A$270,'Données projet'!$B$270,GU65+GT66-HC65)))</f>
        <v>246.19999999999985</v>
      </c>
      <c r="GV66" s="17">
        <f>GU66*VLOOKUP('Données projet'!$B$18,Paramètres!$A$1:$I$89,3,0)*VLOOKUP('Données projet'!$B$18,Paramètres!$A$1:$I$89,5,0)</f>
        <v>215.08031999999989</v>
      </c>
      <c r="GW66" s="13">
        <f t="shared" si="51"/>
        <v>53.044214230061456</v>
      </c>
      <c r="GX66" s="20">
        <f t="shared" si="28"/>
        <v>466.98356378402349</v>
      </c>
      <c r="GY66" s="59">
        <f t="shared" si="29"/>
        <v>729.87990212742966</v>
      </c>
      <c r="GZ66" s="59">
        <f ca="1">AVERAGE(OFFSET($GY$3,0,0,'Données projet'!$E$18+1,1))-AVERAGE(OFFSET($H$3,0,0,'Données projet'!$E$18+1,1))</f>
        <v>348.77506423101278</v>
      </c>
      <c r="HA66" s="59">
        <f t="shared" si="52"/>
        <v>336.13747591329548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18.264374574417634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18.264374574417634</v>
      </c>
    </row>
    <row r="67" spans="1:218" x14ac:dyDescent="0.2">
      <c r="A67" s="10">
        <f t="shared" si="31"/>
        <v>64</v>
      </c>
      <c r="B67" s="71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5">
        <f t="shared" si="1"/>
        <v>183.33333333333334</v>
      </c>
      <c r="I67" s="6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16.050000000000004</v>
      </c>
      <c r="N67" s="13">
        <f>IF('Données projet'!$A$36&gt;35,N66+M67-V66,IF(A67&lt;'Données projet'!$A$36,$K$205^A67,IF(A67='Données projet'!$A$36,'Données projet'!$B$36,N66+M67-V66)))</f>
        <v>353.43999999999983</v>
      </c>
      <c r="O67" s="13">
        <f>N67*VLOOKUP('Données projet'!$B$9,Paramètres!$A$1:$I$89,3,0)*VLOOKUP('Données projet'!$B$9,Paramètres!$A$1:$I$89,5,0)</f>
        <v>165.40991999999991</v>
      </c>
      <c r="P67" s="13">
        <f t="shared" si="33"/>
        <v>42.060366422582085</v>
      </c>
      <c r="Q67" s="20">
        <f t="shared" ref="Q67:Q98" si="54">(O67+P67)*0.475*44/12</f>
        <v>361.34408218599697</v>
      </c>
      <c r="R67" s="59">
        <f t="shared" ref="R67:R130" si="55">Q67+(I67+J67)*44/12</f>
        <v>624.76843434555167</v>
      </c>
      <c r="S67" s="59">
        <f ca="1">AVERAGE(OFFSET($R$3,0,0,'Données projet'!$E$9+1,1))-AVERAGE(OFFSET($H$3,0,0,'Données projet'!$E$9+1,1))</f>
        <v>387.50901594883317</v>
      </c>
      <c r="T67" s="59">
        <f t="shared" si="34"/>
        <v>361.3623790401972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49.705146349339266</v>
      </c>
      <c r="AA67" s="21">
        <f>EXP(-LN(2)/25)*AA66+(1-EXP(-LN(2)/25))/(LN(2)/25)*Calculateur!V67*Calculateur!X67*VLOOKUP('Données projet'!$B$9,Paramètres!$A$1:$I$89,3,0)*0.475*44/12</f>
        <v>32.600424076827061</v>
      </c>
      <c r="AB67" s="21">
        <f>EXP(-LN(2)/2)*AB66+(1-EXP(-LN(2)/2))/(LN(2)/2)*V67*Y67*VLOOKUP('Données projet'!$B$9,Paramètres!$A$1:$I$89,3,0)*0.475*44/12</f>
        <v>6.0040535445188672</v>
      </c>
      <c r="AC67" s="22">
        <f t="shared" si="3"/>
        <v>88.309623970685195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418.67800000000017</v>
      </c>
      <c r="AJ67" s="13">
        <f>AI67*VLOOKUP('Données projet'!$B$10,Paramètres!$A$1:$I$89,3,0)*VLOOKUP('Données projet'!$B$10,Paramètres!$A$1:$I$89,5,0)</f>
        <v>250.36944400000013</v>
      </c>
      <c r="AK67" s="13">
        <f t="shared" si="35"/>
        <v>60.665044924256527</v>
      </c>
      <c r="AL67" s="20">
        <f t="shared" si="4"/>
        <v>541.71840154308029</v>
      </c>
      <c r="AM67" s="59">
        <f t="shared" si="5"/>
        <v>805.14275370263499</v>
      </c>
      <c r="AN67" s="59">
        <f ca="1">AVERAGE(OFFSET($AM$3,0,0,'Données projet'!$E$10+1,1))-AVERAGE(OFFSET($H$3,0,0,'Données projet'!$E$10+1,1))</f>
        <v>373.47758082856359</v>
      </c>
      <c r="AO67" s="59">
        <f t="shared" si="36"/>
        <v>277.24895424120166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40.852759510937041</v>
      </c>
      <c r="AV67" s="21">
        <f>EXP(-LN(2)/25)*AV66+(1-EXP(-LN(2)/25))/(LN(2)/25)*Calculateur!AQ67*Calculateur!AS67*VLOOKUP('Données projet'!$B$10,Paramètres!$A$1:$I$89,3,0)*0.475*44/12</f>
        <v>19.489176276340199</v>
      </c>
      <c r="AW67" s="21">
        <f>EXP(-LN(2)/2)*AW66+(1-EXP(-LN(2)/2))/(LN(2)/2)*AQ67*AT67*VLOOKUP('Données projet'!$B$10,Paramètres!$A$1:$I$89,3,0)*0.475*44/12</f>
        <v>2.1989841834821839</v>
      </c>
      <c r="AX67" s="21">
        <f t="shared" si="6"/>
        <v>62.540919970759418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15.602999999999998</v>
      </c>
      <c r="BD67" s="12">
        <f>IF('Données projet'!$A$88&gt;35,BD66+BC67-BL66,IF(A67&lt;'Données projet'!$A$88,$BA$205^A67,IF(A67='Données projet'!$A$88,'Données projet'!$B$88,BD66+BC67-BL66)))</f>
        <v>599.15399999999977</v>
      </c>
      <c r="BE67" s="13">
        <f>BD67*VLOOKUP('Données projet'!$B$11,Paramètres!$A$1:$I$89,3,0)*VLOOKUP('Données projet'!$B$11,Paramètres!$A$1:$I$89,5,0)</f>
        <v>358.29409199999986</v>
      </c>
      <c r="BF67" s="13">
        <f t="shared" si="37"/>
        <v>83.268016000500722</v>
      </c>
      <c r="BG67" s="20">
        <f t="shared" si="7"/>
        <v>769.05400476753857</v>
      </c>
      <c r="BH67" s="59">
        <f t="shared" si="8"/>
        <v>1032.4783569270933</v>
      </c>
      <c r="BI67" s="59">
        <f ca="1">AVERAGE(OFFSET($BH$3,0,0,'Données projet'!$E$11+1,1))-AVERAGE(OFFSET($H$3,0,0,'Données projet'!$E$11+1,1))</f>
        <v>460.88622650237176</v>
      </c>
      <c r="BJ67" s="59">
        <f t="shared" si="38"/>
        <v>396.05161661639647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42.230840074277602</v>
      </c>
      <c r="BQ67" s="21">
        <f>EXP(-LN(2)/25)*BQ66+(1-EXP(-LN(2)/25))/(LN(2)/25)*Calculateur!BL67*Calculateur!BN67*VLOOKUP('Données projet'!$B$11,Paramètres!$A$1:$I$89,3,0)*0.475*44/12</f>
        <v>19.177806577713461</v>
      </c>
      <c r="BR67" s="21">
        <f>EXP(-LN(2)/2)*BR66+(1-EXP(-LN(2)/2))/(LN(2)/2)*BL67*BO67*VLOOKUP('Données projet'!$B$11,Paramètres!$A$1:$I$89,3,0)*0.475*44/12</f>
        <v>0.61230578864827623</v>
      </c>
      <c r="BS67" s="22">
        <f t="shared" si="9"/>
        <v>62.020952440639341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16.649999999999995</v>
      </c>
      <c r="BY67" s="12">
        <f>IF('Données projet'!$A$114&gt;35,BY66+BX67-CG66,IF(A67&lt;'Données projet'!$A$114,$BV$205^A67,IF(A67='Données projet'!$A$114,'Données projet'!$B$114,BY66+BX67-CG66)))</f>
        <v>486.15999999999997</v>
      </c>
      <c r="BZ67" s="13">
        <f>BY67*VLOOKUP('Données projet'!$B$12,Paramètres!$A$1:$I$89,3,0)*VLOOKUP('Données projet'!$B$12,Paramètres!$A$1:$I$89,5,0)</f>
        <v>221.20279999999997</v>
      </c>
      <c r="CA67" s="13">
        <f t="shared" si="39"/>
        <v>54.376225343100764</v>
      </c>
      <c r="CB67" s="20">
        <f t="shared" si="10"/>
        <v>479.96680247256717</v>
      </c>
      <c r="CC67" s="59">
        <f t="shared" si="11"/>
        <v>743.39115463212192</v>
      </c>
      <c r="CD67" s="59">
        <f ca="1">AVERAGE(OFFSET($CC$3,0,0,'Données projet'!$E$12+1,1))-AVERAGE(OFFSET($H$3,0,0,'Données projet'!$E$12+1,1))</f>
        <v>341.60063595566282</v>
      </c>
      <c r="CE67" s="59">
        <f t="shared" si="40"/>
        <v>317.05609766344219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77.754302717640002</v>
      </c>
      <c r="CL67" s="21">
        <f>EXP(-LN(2)/25)*CL66+(1-EXP(-LN(2)/25))/(LN(2)/25)*Calculateur!CG67*Calculateur!CI67*VLOOKUP('Données projet'!$B$12,Paramètres!$A$1:$I$89,3,0)*0.475*44/12</f>
        <v>31.876834278121414</v>
      </c>
      <c r="CM67" s="21">
        <f>EXP(-LN(2)/2)*CM66+(1-EXP(-LN(2)/2))/(LN(2)/2)*CG67*CJ67*VLOOKUP('Données projet'!$B$12,Paramètres!$A$1:$I$89,3,0)*0.475*44/12</f>
        <v>5.3233079087538462</v>
      </c>
      <c r="CN67" s="22">
        <f t="shared" si="12"/>
        <v>114.95444490451526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3.3319999999999994</v>
      </c>
      <c r="CT67" s="12">
        <f>IF('Données projet'!$A$140&gt;35,CT66+CS67-DB66,IF(A67&lt;'Données projet'!$A$140,$CQ$205^A67,IF(A67='Données projet'!$A$140,'Données projet'!$B$140,CT66+CS67-DB66)))</f>
        <v>140.25799999999998</v>
      </c>
      <c r="CU67" s="17">
        <f>CT67*VLOOKUP('Données projet'!$B$13,Paramètres!$A$1:$I$89,3,0)*VLOOKUP('Données projet'!$B$13,Paramètres!$A$1:$I$89,5,0)</f>
        <v>146.59766160000001</v>
      </c>
      <c r="CV67" s="13">
        <f t="shared" si="41"/>
        <v>37.804362591679123</v>
      </c>
      <c r="CW67" s="20">
        <f t="shared" si="13"/>
        <v>321.16685880050778</v>
      </c>
      <c r="CX67" s="59">
        <f t="shared" si="14"/>
        <v>584.59121096006254</v>
      </c>
      <c r="CY67" s="59">
        <f ca="1">AVERAGE(OFFSET($CX$3,0,0,'Données projet'!$E$13+1,1))-AVERAGE(OFFSET($H$3,0,0,'Données projet'!$E$13+1,1))</f>
        <v>287.73449456153207</v>
      </c>
      <c r="CZ67" s="59">
        <f t="shared" si="42"/>
        <v>296.74833899433281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15.091313829902758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15.091313829902758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7.6762499999999996</v>
      </c>
      <c r="DO67" s="12">
        <f>IF('Données projet'!$A$166&gt;35,DO66+DN67-DW66,IF(A67&lt;'Données projet'!$A$166,$DL$205^A67,IF(A67='Données projet'!$A$166,'Données projet'!$B$166,DO66+DN67-DW66)))</f>
        <v>188.61125000000001</v>
      </c>
      <c r="DP67" s="17">
        <f>DO67*VLOOKUP('Données projet'!$B$14,Paramètres!$A$1:$I$89,3,0)*VLOOKUP('Données projet'!$B$14,Paramètres!$A$1:$I$89,5,0)</f>
        <v>191.25180750000004</v>
      </c>
      <c r="DQ67" s="13">
        <f t="shared" si="43"/>
        <v>47.81660385335465</v>
      </c>
      <c r="DR67" s="20">
        <f t="shared" si="16"/>
        <v>416.37748310709276</v>
      </c>
      <c r="DS67" s="59">
        <f t="shared" si="17"/>
        <v>679.80183526664746</v>
      </c>
      <c r="DT67" s="59">
        <f ca="1">AVERAGE(OFFSET($DS$3,0,0,'Données projet'!$E$14+1,1))-AVERAGE(OFFSET($H$3,0,0,'Données projet'!$E$14+1,1))</f>
        <v>532.34688562681413</v>
      </c>
      <c r="DU67" s="59">
        <f t="shared" si="44"/>
        <v>345.42627129678556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18.507378289726727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18.507378289726727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-5.6843418860808015E-14</v>
      </c>
      <c r="EK67" s="17">
        <f>EJ67*VLOOKUP('Données projet'!$B$15,Paramètres!$A$1:$I$89,3,0)*VLOOKUP('Données projet'!$B$15,Paramètres!$A$1:$I$89,5,0)</f>
        <v>-5.1431925385259088E-14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256.20286603823035</v>
      </c>
      <c r="EP67" s="59">
        <f t="shared" si="46"/>
        <v>364.83827155069434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34.558102754544485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34.558102754544485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7.6762499999999996</v>
      </c>
      <c r="FE67" s="12">
        <f>IF('Données projet'!$A$218&gt;35,FE66+FD67-FM66,IF(A67&lt;'Données projet'!$A$218,$FB$205^A67,IF(A67='Données projet'!$A$218,'Données projet'!$B$218,FE66+FD67-FM66)))</f>
        <v>188.61125000000001</v>
      </c>
      <c r="FF67" s="17">
        <f>FE67*VLOOKUP('Données projet'!$B$16,Paramètres!$A$1:$I$89,3,0)*VLOOKUP('Données projet'!$B$16,Paramètres!$A$1:$I$89,5,0)</f>
        <v>126.52042650000001</v>
      </c>
      <c r="FG67" s="13">
        <f t="shared" si="47"/>
        <v>33.191066907891162</v>
      </c>
      <c r="FH67" s="20">
        <f t="shared" si="22"/>
        <v>278.16418435207714</v>
      </c>
      <c r="FI67" s="59">
        <f t="shared" si="23"/>
        <v>541.5885365116319</v>
      </c>
      <c r="FJ67" s="59">
        <f ca="1">AVERAGE(OFFSET($FI$3,0,0,'Données projet'!$E$16+1,1))-AVERAGE(OFFSET($H$3,0,0,'Données projet'!$E$16+1,1))</f>
        <v>380.73695370216979</v>
      </c>
      <c r="FK67" s="59">
        <f t="shared" si="48"/>
        <v>249.34467160415713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15.090631528546409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15.090631528546409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7.6762499999999996</v>
      </c>
      <c r="FZ67" s="12">
        <f>IF('Données projet'!$A$244&gt;35,FZ66+FY67-GH66,IF(A67&lt;'Données projet'!$A$244,$FW$205^A67,IF(A67='Données projet'!$A$244,'Données projet'!$B$244,FZ66+FY67-GH66)))</f>
        <v>188.61125000000001</v>
      </c>
      <c r="GA67" s="17">
        <f>FZ67*VLOOKUP('Données projet'!$B$17,Paramètres!$A$1:$I$89,3,0)*VLOOKUP('Données projet'!$B$17,Paramètres!$A$1:$I$89,5,0)</f>
        <v>182.42480100000003</v>
      </c>
      <c r="GB67" s="13">
        <f t="shared" si="49"/>
        <v>45.861238862570865</v>
      </c>
      <c r="GC67" s="20">
        <f t="shared" si="25"/>
        <v>397.59818609397763</v>
      </c>
      <c r="GD67" s="59">
        <f t="shared" si="26"/>
        <v>661.02253825353239</v>
      </c>
      <c r="GE67" s="59">
        <f ca="1">AVERAGE(OFFSET($GD$3,0,0,'Données projet'!$E$17+1,1))-AVERAGE(OFFSET($H$3,0,0,'Données projet'!$E$17+1,1))</f>
        <v>511.7458522930001</v>
      </c>
      <c r="GF67" s="59">
        <f t="shared" si="50"/>
        <v>332.37317679966122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17.653191599431644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17.653191599431644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4.4000000000000004</v>
      </c>
      <c r="GU67" s="12">
        <f>IF('Données projet'!$A$270&gt;35,GU66+GT67-HC66,IF(A67&lt;'Données projet'!$A$270,$GR$205^A67,IF(A67='Données projet'!$A$270,'Données projet'!$B$270,GU66+GT67-HC66)))</f>
        <v>250.59999999999985</v>
      </c>
      <c r="GV67" s="17">
        <f>GU67*VLOOKUP('Données projet'!$B$18,Paramètres!$A$1:$I$89,3,0)*VLOOKUP('Données projet'!$B$18,Paramètres!$A$1:$I$89,5,0)</f>
        <v>218.92415999999989</v>
      </c>
      <c r="GW67" s="13">
        <f t="shared" si="51"/>
        <v>53.880990541091087</v>
      </c>
      <c r="GX67" s="20">
        <f t="shared" si="28"/>
        <v>475.13563719240005</v>
      </c>
      <c r="GY67" s="59">
        <f t="shared" si="29"/>
        <v>738.55998935195475</v>
      </c>
      <c r="GZ67" s="59">
        <f ca="1">AVERAGE(OFFSET($GY$3,0,0,'Données projet'!$E$18+1,1))-AVERAGE(OFFSET($H$3,0,0,'Données projet'!$E$18+1,1))</f>
        <v>348.77506423101278</v>
      </c>
      <c r="HA67" s="59">
        <f t="shared" si="52"/>
        <v>336.13747591329548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17.906221329181793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17.906221329181793</v>
      </c>
    </row>
    <row r="68" spans="1:218" x14ac:dyDescent="0.2">
      <c r="A68" s="10">
        <f t="shared" si="31"/>
        <v>65</v>
      </c>
      <c r="B68" s="71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5">
        <f t="shared" ref="H68:H131" si="56">(B68+E68+F68)*44/12+(C68+D68)*0.475*44/12</f>
        <v>183.33333333333334</v>
      </c>
      <c r="I68" s="6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16.050000000000004</v>
      </c>
      <c r="N68" s="13">
        <f>IF('Données projet'!$A$36&gt;35,N67+M68-V67,IF(A68&lt;'Données projet'!$A$36,$K$205^A68,IF(A68='Données projet'!$A$36,'Données projet'!$B$36,N67+M68-V67)))</f>
        <v>369.48999999999984</v>
      </c>
      <c r="O68" s="13">
        <f>N68*VLOOKUP('Données projet'!$B$9,Paramètres!$A$1:$I$89,3,0)*VLOOKUP('Données projet'!$B$9,Paramètres!$A$1:$I$89,5,0)</f>
        <v>172.92131999999995</v>
      </c>
      <c r="P68" s="13">
        <f t="shared" si="33"/>
        <v>43.743651873932684</v>
      </c>
      <c r="Q68" s="20">
        <f t="shared" si="54"/>
        <v>377.35815934709927</v>
      </c>
      <c r="R68" s="59">
        <f t="shared" si="55"/>
        <v>641.30136546355448</v>
      </c>
      <c r="S68" s="59">
        <f ca="1">AVERAGE(OFFSET($R$3,0,0,'Données projet'!$E$9+1,1))-AVERAGE(OFFSET($H$3,0,0,'Données projet'!$E$9+1,1))</f>
        <v>387.50901594883317</v>
      </c>
      <c r="T68" s="59">
        <f t="shared" si="34"/>
        <v>361.3623790401972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48.730458746574428</v>
      </c>
      <c r="AA68" s="21">
        <f>EXP(-LN(2)/25)*AA67+(1-EXP(-LN(2)/25))/(LN(2)/25)*Calculateur!V68*Calculateur!X68*VLOOKUP('Données projet'!$B$9,Paramètres!$A$1:$I$89,3,0)*0.475*44/12</f>
        <v>31.708963766064432</v>
      </c>
      <c r="AB68" s="21">
        <f>EXP(-LN(2)/2)*AB67+(1-EXP(-LN(2)/2))/(LN(2)/2)*V68*Y68*VLOOKUP('Données projet'!$B$9,Paramètres!$A$1:$I$89,3,0)*0.475*44/12</f>
        <v>4.2455069759364177</v>
      </c>
      <c r="AC68" s="22">
        <f t="shared" ref="AC68:AC131" si="57">SUM(Z68:AB68)</f>
        <v>84.684929488575278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430.57500000000016</v>
      </c>
      <c r="AJ68" s="13">
        <f>AI68*VLOOKUP('Données projet'!$B$10,Paramètres!$A$1:$I$89,3,0)*VLOOKUP('Données projet'!$B$10,Paramètres!$A$1:$I$89,5,0)</f>
        <v>257.48385000000013</v>
      </c>
      <c r="AK68" s="13">
        <f t="shared" si="35"/>
        <v>62.185733278690435</v>
      </c>
      <c r="AL68" s="20">
        <f t="shared" ref="AL68:AL131" si="58">(AJ68+AK68)*0.475*44/12</f>
        <v>556.7578575437193</v>
      </c>
      <c r="AM68" s="59">
        <f t="shared" ref="AM68:AM131" si="59">AL68+(AD68+AE68)*44/12</f>
        <v>820.70106366017444</v>
      </c>
      <c r="AN68" s="59">
        <f ca="1">AVERAGE(OFFSET($AM$3,0,0,'Données projet'!$E$10+1,1))-AVERAGE(OFFSET($H$3,0,0,'Données projet'!$E$10+1,1))</f>
        <v>373.47758082856359</v>
      </c>
      <c r="AO68" s="59">
        <f t="shared" si="36"/>
        <v>277.24895424120166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40.051661814650444</v>
      </c>
      <c r="AV68" s="21">
        <f>EXP(-LN(2)/25)*AV67+(1-EXP(-LN(2)/25))/(LN(2)/25)*Calculateur!AQ68*Calculateur!AS68*VLOOKUP('Données projet'!$B$10,Paramètres!$A$1:$I$89,3,0)*0.475*44/12</f>
        <v>18.956243726172438</v>
      </c>
      <c r="AW68" s="21">
        <f>EXP(-LN(2)/2)*AW67+(1-EXP(-LN(2)/2))/(LN(2)/2)*AQ68*AT68*VLOOKUP('Données projet'!$B$10,Paramètres!$A$1:$I$89,3,0)*0.475*44/12</f>
        <v>1.5549166278622155</v>
      </c>
      <c r="AX68" s="21">
        <f t="shared" ref="AX68:AX131" si="60">SUM(AU68:AW68)</f>
        <v>60.562822168685095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15.602999999999998</v>
      </c>
      <c r="BD68" s="12">
        <f>IF('Données projet'!$A$88&gt;35,BD67+BC68-BL67,IF(A68&lt;'Données projet'!$A$88,$BA$205^A68,IF(A68='Données projet'!$A$88,'Données projet'!$B$88,BD67+BC68-BL67)))</f>
        <v>614.75699999999972</v>
      </c>
      <c r="BE68" s="13">
        <f>BD68*VLOOKUP('Données projet'!$B$11,Paramètres!$A$1:$I$89,3,0)*VLOOKUP('Données projet'!$B$11,Paramètres!$A$1:$I$89,5,0)</f>
        <v>367.62468599999988</v>
      </c>
      <c r="BF68" s="13">
        <f t="shared" si="37"/>
        <v>85.181175344938808</v>
      </c>
      <c r="BG68" s="20">
        <f t="shared" ref="BG68:BG131" si="61">(BE68+BF68)*0.475*44/12</f>
        <v>788.63687517576818</v>
      </c>
      <c r="BH68" s="59">
        <f t="shared" ref="BH68:BH131" si="62">BG68+(AY68+AZ68)*44/12</f>
        <v>1052.5800812922234</v>
      </c>
      <c r="BI68" s="59">
        <f ca="1">AVERAGE(OFFSET($BH$3,0,0,'Données projet'!$E$11+1,1))-AVERAGE(OFFSET($H$3,0,0,'Données projet'!$E$11+1,1))</f>
        <v>460.88622650237176</v>
      </c>
      <c r="BJ68" s="59">
        <f t="shared" si="38"/>
        <v>396.05161661639647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41.402719058690046</v>
      </c>
      <c r="BQ68" s="21">
        <f>EXP(-LN(2)/25)*BQ67+(1-EXP(-LN(2)/25))/(LN(2)/25)*Calculateur!BL68*Calculateur!BN68*VLOOKUP('Données projet'!$B$11,Paramètres!$A$1:$I$89,3,0)*0.475*44/12</f>
        <v>18.653388448328869</v>
      </c>
      <c r="BR68" s="21">
        <f>EXP(-LN(2)/2)*BR67+(1-EXP(-LN(2)/2))/(LN(2)/2)*BL68*BO68*VLOOKUP('Données projet'!$B$11,Paramètres!$A$1:$I$89,3,0)*0.475*44/12</f>
        <v>0.43296557531297308</v>
      </c>
      <c r="BS68" s="22">
        <f t="shared" ref="BS68:BS131" si="63">SUM(BP68:BR68)</f>
        <v>60.489073082331885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16.649999999999995</v>
      </c>
      <c r="BY68" s="12">
        <f>IF('Données projet'!$A$114&gt;35,BY67+BX68-CG67,IF(A68&lt;'Données projet'!$A$114,$BV$205^A68,IF(A68='Données projet'!$A$114,'Données projet'!$B$114,BY67+BX68-CG67)))</f>
        <v>502.80999999999995</v>
      </c>
      <c r="BZ68" s="13">
        <f>BY68*VLOOKUP('Données projet'!$B$12,Paramètres!$A$1:$I$89,3,0)*VLOOKUP('Données projet'!$B$12,Paramètres!$A$1:$I$89,5,0)</f>
        <v>228.77854999999997</v>
      </c>
      <c r="CA68" s="13">
        <f t="shared" si="39"/>
        <v>56.018493691971898</v>
      </c>
      <c r="CB68" s="20">
        <f t="shared" ref="CB68:CB131" si="64">(BZ68+CA68)*0.475*44/12</f>
        <v>496.02151776351769</v>
      </c>
      <c r="CC68" s="59">
        <f t="shared" ref="CC68:CC131" si="65">CB68+(BT68+BU68)*44/12</f>
        <v>759.96472387997289</v>
      </c>
      <c r="CD68" s="59">
        <f ca="1">AVERAGE(OFFSET($CC$3,0,0,'Données projet'!$E$12+1,1))-AVERAGE(OFFSET($H$3,0,0,'Données projet'!$E$12+1,1))</f>
        <v>341.60063595566282</v>
      </c>
      <c r="CE68" s="59">
        <f t="shared" si="40"/>
        <v>317.05609766344219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76.229588266788866</v>
      </c>
      <c r="CL68" s="21">
        <f>EXP(-LN(2)/25)*CL67+(1-EXP(-LN(2)/25))/(LN(2)/25)*Calculateur!CG68*Calculateur!CI68*VLOOKUP('Données projet'!$B$12,Paramètres!$A$1:$I$89,3,0)*0.475*44/12</f>
        <v>31.005160568456326</v>
      </c>
      <c r="CM68" s="21">
        <f>EXP(-LN(2)/2)*CM67+(1-EXP(-LN(2)/2))/(LN(2)/2)*CG68*CJ68*VLOOKUP('Données projet'!$B$12,Paramètres!$A$1:$I$89,3,0)*0.475*44/12</f>
        <v>3.7641471206238242</v>
      </c>
      <c r="CN68" s="22">
        <f t="shared" ref="CN68:CN131" si="66">SUM(CK68:CM68)</f>
        <v>110.99889595586902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143.59</v>
      </c>
      <c r="CR68" s="12">
        <f>VLOOKUP(A68,'Données projet'!$A$139:$I$159,9,0)</f>
        <v>3.3319999999999994</v>
      </c>
      <c r="CS68" s="12">
        <f t="array" ref="CS68">INDEX(CR:CR,MIN(IF(ISNUMBER(CR68:CR264),ROW(CR68:CR264),"")))</f>
        <v>3.3319999999999994</v>
      </c>
      <c r="CT68" s="12">
        <f>IF('Données projet'!$A$140&gt;35,CT67+CS68-DB67,IF(A68&lt;'Données projet'!$A$140,$CQ$205^A68,IF(A68='Données projet'!$A$140,'Données projet'!$B$140,CT67+CS68-DB67)))</f>
        <v>143.58999999999997</v>
      </c>
      <c r="CU68" s="17">
        <f>CT68*VLOOKUP('Données projet'!$B$13,Paramètres!$A$1:$I$89,3,0)*VLOOKUP('Données projet'!$B$13,Paramètres!$A$1:$I$89,5,0)</f>
        <v>150.08026799999999</v>
      </c>
      <c r="CV68" s="13">
        <f t="shared" si="41"/>
        <v>38.596826243894199</v>
      </c>
      <c r="CW68" s="20">
        <f t="shared" ref="CW68:CW131" si="67">(CU68+CV68)*0.475*44/12</f>
        <v>328.61260580811569</v>
      </c>
      <c r="CX68" s="59">
        <f t="shared" ref="CX68:CX131" si="68">CW68+(CO68+CP68)*44/12</f>
        <v>592.55581192457089</v>
      </c>
      <c r="CY68" s="59">
        <f ca="1">AVERAGE(OFFSET($CX$3,0,0,'Données projet'!$E$13+1,1))-AVERAGE(OFFSET($H$3,0,0,'Données projet'!$E$13+1,1))</f>
        <v>287.73449456153207</v>
      </c>
      <c r="CZ68" s="59">
        <f t="shared" si="42"/>
        <v>296.74833899433281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12.82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17.980115139518794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17.980115139518794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7.6762499999999996</v>
      </c>
      <c r="DO68" s="12">
        <f>IF('Données projet'!$A$166&gt;35,DO67+DN68-DW67,IF(A68&lt;'Données projet'!$A$166,$DL$205^A68,IF(A68='Données projet'!$A$166,'Données projet'!$B$166,DO67+DN68-DW67)))</f>
        <v>196.28750000000002</v>
      </c>
      <c r="DP68" s="17">
        <f>DO68*VLOOKUP('Données projet'!$B$14,Paramètres!$A$1:$I$89,3,0)*VLOOKUP('Données projet'!$B$14,Paramètres!$A$1:$I$89,5,0)</f>
        <v>199.03552500000004</v>
      </c>
      <c r="DQ68" s="13">
        <f t="shared" si="43"/>
        <v>49.532145715263418</v>
      </c>
      <c r="DR68" s="20">
        <f t="shared" ref="DR68:DR131" si="70">(DP68+DQ68)*0.475*44/12</f>
        <v>432.92202649575052</v>
      </c>
      <c r="DS68" s="59">
        <f t="shared" ref="DS68:DS131" si="71">DR68+(DJ68+DK68)*44/12</f>
        <v>696.86523261220577</v>
      </c>
      <c r="DT68" s="59">
        <f ca="1">AVERAGE(OFFSET($DS$3,0,0,'Données projet'!$E$14+1,1))-AVERAGE(OFFSET($H$3,0,0,'Données projet'!$E$14+1,1))</f>
        <v>532.34688562681413</v>
      </c>
      <c r="DU68" s="59">
        <f t="shared" si="44"/>
        <v>345.42627129678556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18.144459889851309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18.144459889851309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-5.6843418860808015E-14</v>
      </c>
      <c r="EK68" s="17">
        <f>EJ68*VLOOKUP('Données projet'!$B$15,Paramètres!$A$1:$I$89,3,0)*VLOOKUP('Données projet'!$B$15,Paramètres!$A$1:$I$89,5,0)</f>
        <v>-5.1431925385259088E-14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256.20286603823035</v>
      </c>
      <c r="EP68" s="59">
        <f t="shared" si="46"/>
        <v>364.83827155069434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33.88043943788923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33.88043943788923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7.6762499999999996</v>
      </c>
      <c r="FE68" s="12">
        <f>IF('Données projet'!$A$218&gt;35,FE67+FD68-FM67,IF(A68&lt;'Données projet'!$A$218,$FB$205^A68,IF(A68='Données projet'!$A$218,'Données projet'!$B$218,FE67+FD68-FM67)))</f>
        <v>196.28750000000002</v>
      </c>
      <c r="FF68" s="17">
        <f>FE68*VLOOKUP('Données projet'!$B$16,Paramètres!$A$1:$I$89,3,0)*VLOOKUP('Données projet'!$B$16,Paramètres!$A$1:$I$89,5,0)</f>
        <v>131.66965500000001</v>
      </c>
      <c r="FG68" s="13">
        <f t="shared" si="47"/>
        <v>34.381880561167954</v>
      </c>
      <c r="FH68" s="20">
        <f t="shared" ref="FH68:FH131" si="76">(FF68+FG68)*0.475*44/12</f>
        <v>289.20642443570085</v>
      </c>
      <c r="FI68" s="59">
        <f t="shared" ref="FI68:FI131" si="77">FH68+(EZ68+FA68)*44/12</f>
        <v>553.14963055215605</v>
      </c>
      <c r="FJ68" s="59">
        <f ca="1">AVERAGE(OFFSET($FI$3,0,0,'Données projet'!$E$16+1,1))-AVERAGE(OFFSET($H$3,0,0,'Données projet'!$E$16+1,1))</f>
        <v>380.73695370216979</v>
      </c>
      <c r="FK68" s="59">
        <f t="shared" si="48"/>
        <v>249.34467160415713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14.79471344864799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14.79471344864799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7.6762499999999996</v>
      </c>
      <c r="FZ68" s="12">
        <f>IF('Données projet'!$A$244&gt;35,FZ67+FY68-GH67,IF(A68&lt;'Données projet'!$A$244,$FW$205^A68,IF(A68='Données projet'!$A$244,'Données projet'!$B$244,FZ67+FY68-GH67)))</f>
        <v>196.28750000000002</v>
      </c>
      <c r="GA68" s="17">
        <f>FZ68*VLOOKUP('Données projet'!$B$17,Paramètres!$A$1:$I$89,3,0)*VLOOKUP('Données projet'!$B$17,Paramètres!$A$1:$I$89,5,0)</f>
        <v>189.84927000000002</v>
      </c>
      <c r="GB68" s="13">
        <f t="shared" si="49"/>
        <v>47.506627049256565</v>
      </c>
      <c r="GC68" s="20">
        <f t="shared" ref="GC68:GC131" si="79">(GA68+GB68)*0.475*44/12</f>
        <v>413.39485402745521</v>
      </c>
      <c r="GD68" s="59">
        <f t="shared" ref="GD68:GD131" si="80">GC68+(FU68+FV68)*44/12</f>
        <v>677.33806014391041</v>
      </c>
      <c r="GE68" s="59">
        <f ca="1">AVERAGE(OFFSET($GD$3,0,0,'Données projet'!$E$17+1,1))-AVERAGE(OFFSET($H$3,0,0,'Données projet'!$E$17+1,1))</f>
        <v>511.7458522930001</v>
      </c>
      <c r="GF68" s="59">
        <f t="shared" si="50"/>
        <v>332.37317679966122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17.307023279550474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17.307023279550474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255</v>
      </c>
      <c r="GS68" s="12">
        <f>VLOOKUP(A68,'Données projet'!$A$269:$I$289,9,0)</f>
        <v>4.4000000000000004</v>
      </c>
      <c r="GT68" s="12">
        <f t="array" ref="GT68">INDEX(GS:GS,MIN(IF(ISNUMBER(GS68:GS264),ROW(GS68:GS264),"")))</f>
        <v>4.4000000000000004</v>
      </c>
      <c r="GU68" s="12">
        <f>IF('Données projet'!$A$270&gt;35,GU67+GT68-HC67,IF(A68&lt;'Données projet'!$A$270,$GR$205^A68,IF(A68='Données projet'!$A$270,'Données projet'!$B$270,GU67+GT68-HC67)))</f>
        <v>254.99999999999986</v>
      </c>
      <c r="GV68" s="17">
        <f>GU68*VLOOKUP('Données projet'!$B$18,Paramètres!$A$1:$I$89,3,0)*VLOOKUP('Données projet'!$B$18,Paramètres!$A$1:$I$89,5,0)</f>
        <v>222.76799999999989</v>
      </c>
      <c r="GW68" s="13">
        <f t="shared" si="51"/>
        <v>54.716058356609459</v>
      </c>
      <c r="GX68" s="20">
        <f t="shared" ref="GX68:GX131" si="82">(GV68+GW68)*0.475*44/12</f>
        <v>483.28473497109462</v>
      </c>
      <c r="GY68" s="59">
        <f t="shared" ref="GY68:GY131" si="83">GX68+(GP68+GQ68)*44/12</f>
        <v>747.22794108754988</v>
      </c>
      <c r="GZ68" s="59">
        <f ca="1">AVERAGE(OFFSET($GY$3,0,0,'Données projet'!$E$18+1,1))-AVERAGE(OFFSET($H$3,0,0,'Données projet'!$E$18+1,1))</f>
        <v>348.77506423101278</v>
      </c>
      <c r="HA68" s="59">
        <f t="shared" si="52"/>
        <v>336.13747591329548</v>
      </c>
      <c r="HB68" s="15">
        <f>IF(ISNA(VLOOKUP(A68,'Données projet'!$A$269:$I$289,3,0)),0,VLOOKUP(A68,'Données projet'!$A$269:$I$289,3,0))</f>
        <v>11</v>
      </c>
      <c r="HC68" s="15">
        <f>IF(ISNA(VLOOKUP(A68,'Données projet'!$A$269:$I$289,4,0)),0,VLOOKUP(A68,'Données projet'!$A$269:$I$289,4,0))</f>
        <v>11</v>
      </c>
      <c r="HD68" s="16">
        <f>IF(ISNA(VLOOKUP(A68,'Données projet'!$A$269:$I$289,5,0)),0%,VLOOKUP(A68,'Données projet'!$A$269:$I$289,5,0)*VLOOKUP('Données projet'!$B$18,Paramètres!$A$1:$I$89,7,0))</f>
        <v>0.318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20.933246005245948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20.933246005245948</v>
      </c>
    </row>
    <row r="69" spans="1:218" x14ac:dyDescent="0.2">
      <c r="A69" s="10">
        <f t="shared" ref="A69:A132" si="85">A68+1</f>
        <v>66</v>
      </c>
      <c r="B69" s="71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5">
        <f t="shared" si="56"/>
        <v>183.33333333333334</v>
      </c>
      <c r="I69" s="6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16.050000000000004</v>
      </c>
      <c r="N69" s="13">
        <f>IF('Données projet'!$A$36&gt;35,N68+M69-V68,IF(A69&lt;'Données projet'!$A$36,$K$205^A69,IF(A69='Données projet'!$A$36,'Données projet'!$B$36,N68+M69-V68)))</f>
        <v>385.53999999999985</v>
      </c>
      <c r="O69" s="13">
        <f>N69*VLOOKUP('Données projet'!$B$9,Paramètres!$A$1:$I$89,3,0)*VLOOKUP('Données projet'!$B$9,Paramètres!$A$1:$I$89,5,0)</f>
        <v>180.43271999999993</v>
      </c>
      <c r="P69" s="13">
        <f t="shared" ref="P69:P132" si="87">EXP(-1.0587+0.8836*LN(O69)+0.284)</f>
        <v>45.418444936488953</v>
      </c>
      <c r="Q69" s="20">
        <f t="shared" si="54"/>
        <v>393.35744559771814</v>
      </c>
      <c r="R69" s="59">
        <f t="shared" si="55"/>
        <v>657.81050471490516</v>
      </c>
      <c r="S69" s="59">
        <f ca="1">AVERAGE(OFFSET($R$3,0,0,'Données projet'!$E$9+1,1))-AVERAGE(OFFSET($H$3,0,0,'Données projet'!$E$9+1,1))</f>
        <v>387.50901594883317</v>
      </c>
      <c r="T69" s="59">
        <f t="shared" ref="T69:T132" si="88">$T$3</f>
        <v>361.3623790401972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47.774884173199069</v>
      </c>
      <c r="AA69" s="21">
        <f>EXP(-LN(2)/25)*AA68+(1-EXP(-LN(2)/25))/(LN(2)/25)*Calculateur!V69*Calculateur!X69*VLOOKUP('Données projet'!$B$9,Paramètres!$A$1:$I$89,3,0)*0.475*44/12</f>
        <v>30.841880484379466</v>
      </c>
      <c r="AB69" s="21">
        <f>EXP(-LN(2)/2)*AB68+(1-EXP(-LN(2)/2))/(LN(2)/2)*V69*Y69*VLOOKUP('Données projet'!$B$9,Paramètres!$A$1:$I$89,3,0)*0.475*44/12</f>
        <v>3.0020267722594336</v>
      </c>
      <c r="AC69" s="22">
        <f t="shared" si="57"/>
        <v>81.618791429837955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442.47200000000015</v>
      </c>
      <c r="AJ69" s="13">
        <f>AI69*VLOOKUP('Données projet'!$B$10,Paramètres!$A$1:$I$89,3,0)*VLOOKUP('Données projet'!$B$10,Paramètres!$A$1:$I$89,5,0)</f>
        <v>264.59825600000011</v>
      </c>
      <c r="AK69" s="13">
        <f t="shared" ref="AK69:AK132" si="89">EXP(-1.0587+0.8836*LN(AJ69)+0.284)</f>
        <v>63.701538011039567</v>
      </c>
      <c r="AL69" s="20">
        <f t="shared" si="58"/>
        <v>571.78880790256073</v>
      </c>
      <c r="AM69" s="59">
        <f t="shared" si="59"/>
        <v>836.24186701974781</v>
      </c>
      <c r="AN69" s="59">
        <f ca="1">AVERAGE(OFFSET($AM$3,0,0,'Données projet'!$E$10+1,1))-AVERAGE(OFFSET($H$3,0,0,'Données projet'!$E$10+1,1))</f>
        <v>373.47758082856359</v>
      </c>
      <c r="AO69" s="59">
        <f t="shared" ref="AO69:AO132" si="90">$AO$3</f>
        <v>277.24895424120166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39.26627315556668</v>
      </c>
      <c r="AV69" s="21">
        <f>EXP(-LN(2)/25)*AV68+(1-EXP(-LN(2)/25))/(LN(2)/25)*Calculateur!AQ69*Calculateur!AS69*VLOOKUP('Données projet'!$B$10,Paramètres!$A$1:$I$89,3,0)*0.475*44/12</f>
        <v>18.437884244614722</v>
      </c>
      <c r="AW69" s="21">
        <f>EXP(-LN(2)/2)*AW68+(1-EXP(-LN(2)/2))/(LN(2)/2)*AQ69*AT69*VLOOKUP('Données projet'!$B$10,Paramètres!$A$1:$I$89,3,0)*0.475*44/12</f>
        <v>1.099492091741092</v>
      </c>
      <c r="AX69" s="21">
        <f t="shared" si="60"/>
        <v>58.803649491922492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630.36</v>
      </c>
      <c r="BB69" s="12">
        <f>VLOOKUP(A69,'Données projet'!$A$87:$I$107,9,0)</f>
        <v>15.602999999999998</v>
      </c>
      <c r="BC69" s="12">
        <f t="array" ref="BC69">INDEX(BB:BB,MIN(IF(ISNUMBER(BB69:BB265),ROW(BB69:BB265),"")))</f>
        <v>15.602999999999998</v>
      </c>
      <c r="BD69" s="12">
        <f>IF('Données projet'!$A$88&gt;35,BD68+BC69-BL68,IF(A69&lt;'Données projet'!$A$88,$BA$205^A69,IF(A69='Données projet'!$A$88,'Données projet'!$B$88,BD68+BC69-BL68)))</f>
        <v>630.35999999999967</v>
      </c>
      <c r="BE69" s="13">
        <f>BD69*VLOOKUP('Données projet'!$B$11,Paramètres!$A$1:$I$89,3,0)*VLOOKUP('Données projet'!$B$11,Paramètres!$A$1:$I$89,5,0)</f>
        <v>376.95527999999985</v>
      </c>
      <c r="BF69" s="13">
        <f t="shared" ref="BF69:BF132" si="91">EXP(-1.0587+0.8836*LN(BE69)+0.284)</f>
        <v>87.088690303924849</v>
      </c>
      <c r="BG69" s="20">
        <f t="shared" si="61"/>
        <v>808.20991494600219</v>
      </c>
      <c r="BH69" s="59">
        <f t="shared" si="62"/>
        <v>1072.6629740631893</v>
      </c>
      <c r="BI69" s="59">
        <f ca="1">AVERAGE(OFFSET($BH$3,0,0,'Données projet'!$E$11+1,1))-AVERAGE(OFFSET($H$3,0,0,'Données projet'!$E$11+1,1))</f>
        <v>460.88622650237176</v>
      </c>
      <c r="BJ69" s="59">
        <f t="shared" ref="BJ69:BJ132" si="92">$BJ$3</f>
        <v>396.05161661639647</v>
      </c>
      <c r="BK69" s="15">
        <f>IF(ISNA(VLOOKUP(A69,'Données projet'!$A$87:$I$107,3,0)),0,VLOOKUP(A69,'Données projet'!$A$87:$I$107,3,0))</f>
        <v>7</v>
      </c>
      <c r="BL69" s="15">
        <f>IF(ISNA(VLOOKUP(A69,'Données projet'!$A$87:$I$107,4,0)),0,VLOOKUP(A69,'Données projet'!$A$87:$I$107,4,0))</f>
        <v>87.84</v>
      </c>
      <c r="BM69" s="16">
        <f>IF(ISNA(VLOOKUP(A69,'Données projet'!$A$87:$I$107,5,0)),0%,VLOOKUP(A69,'Données projet'!$A$87:$I$107,5,0)*VLOOKUP('Données projet'!$B$11,Paramètres!$A$1:$I$89,7,0))</f>
        <v>0.315</v>
      </c>
      <c r="BN69" s="16">
        <f>IF(ISNA(VLOOKUP(A69,'Données projet'!$A$87:$I$107,6,0)),0%,VLOOKUP(A69,'Données projet'!$A$87:$I$107,6,0)*VLOOKUP('Données projet'!$B$11,Paramètres!$A$1:$I$89,7,0))</f>
        <v>7.6500000000000012E-2</v>
      </c>
      <c r="BO69" s="16">
        <f>IF(ISNA(VLOOKUP(A69,'Données projet'!$A$87:$I$107,7,0)),0%,VLOOKUP(A69,'Données projet'!$A$87:$I$107,7,0))</f>
        <v>0.13</v>
      </c>
      <c r="BP69" s="21">
        <f>EXP(-LN(2)/35)*BP68+(1-EXP(-LN(2)/35))/(LN(2)/35)*BL69*BM69*VLOOKUP('Données projet'!$B$11,Paramètres!$A$1:$I$89,3,0)*0.475*44/12</f>
        <v>62.540730689139693</v>
      </c>
      <c r="BQ69" s="21">
        <f>EXP(-LN(2)/25)*BQ68+(1-EXP(-LN(2)/25))/(LN(2)/25)*Calculateur!BL69*Calculateur!BN69*VLOOKUP('Données projet'!$B$11,Paramètres!$A$1:$I$89,3,0)*0.475*44/12</f>
        <v>23.453010078134678</v>
      </c>
      <c r="BR69" s="21">
        <f>EXP(-LN(2)/2)*BR68+(1-EXP(-LN(2)/2))/(LN(2)/2)*BL69*BO69*VLOOKUP('Données projet'!$B$11,Paramètres!$A$1:$I$89,3,0)*0.475*44/12</f>
        <v>8.0378067513688425</v>
      </c>
      <c r="BS69" s="22">
        <f t="shared" si="63"/>
        <v>94.031547518643222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16.649999999999995</v>
      </c>
      <c r="BY69" s="12">
        <f>IF('Données projet'!$A$114&gt;35,BY68+BX69-CG68,IF(A69&lt;'Données projet'!$A$114,$BV$205^A69,IF(A69='Données projet'!$A$114,'Données projet'!$B$114,BY68+BX69-CG68)))</f>
        <v>519.45999999999992</v>
      </c>
      <c r="BZ69" s="13">
        <f>BY69*VLOOKUP('Données projet'!$B$12,Paramètres!$A$1:$I$89,3,0)*VLOOKUP('Données projet'!$B$12,Paramètres!$A$1:$I$89,5,0)</f>
        <v>236.35429999999994</v>
      </c>
      <c r="CA69" s="13">
        <f t="shared" ref="CA69:CA132" si="93">EXP(-1.0587+0.8836*LN(BZ69)+0.284)</f>
        <v>57.654442950332303</v>
      </c>
      <c r="CB69" s="20">
        <f t="shared" si="64"/>
        <v>512.0652273051619</v>
      </c>
      <c r="CC69" s="59">
        <f t="shared" si="65"/>
        <v>776.51828642234898</v>
      </c>
      <c r="CD69" s="59">
        <f ca="1">AVERAGE(OFFSET($CC$3,0,0,'Données projet'!$E$12+1,1))-AVERAGE(OFFSET($H$3,0,0,'Données projet'!$E$12+1,1))</f>
        <v>341.60063595566282</v>
      </c>
      <c r="CE69" s="59">
        <f t="shared" ref="CE69:CE132" si="94">$CE$3</f>
        <v>317.05609766344219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74.73477253633493</v>
      </c>
      <c r="CL69" s="21">
        <f>EXP(-LN(2)/25)*CL68+(1-EXP(-LN(2)/25))/(LN(2)/25)*Calculateur!CG69*Calculateur!CI69*VLOOKUP('Données projet'!$B$12,Paramètres!$A$1:$I$89,3,0)*0.475*44/12</f>
        <v>30.157322822221357</v>
      </c>
      <c r="CM69" s="21">
        <f>EXP(-LN(2)/2)*CM68+(1-EXP(-LN(2)/2))/(LN(2)/2)*CG69*CJ69*VLOOKUP('Données projet'!$B$12,Paramètres!$A$1:$I$89,3,0)*0.475*44/12</f>
        <v>2.6616539543769235</v>
      </c>
      <c r="CN69" s="22">
        <f t="shared" si="66"/>
        <v>107.55374931293321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2.947999999999996</v>
      </c>
      <c r="CT69" s="12">
        <f>IF('Données projet'!$A$140&gt;35,CT68+CS69-DB68,IF(A69&lt;'Données projet'!$A$140,$CQ$205^A69,IF(A69='Données projet'!$A$140,'Données projet'!$B$140,CT68+CS69-DB68)))</f>
        <v>133.71799999999999</v>
      </c>
      <c r="CU69" s="17">
        <f>CT69*VLOOKUP('Données projet'!$B$13,Paramètres!$A$1:$I$89,3,0)*VLOOKUP('Données projet'!$B$13,Paramètres!$A$1:$I$89,5,0)</f>
        <v>139.7620536</v>
      </c>
      <c r="CV69" s="13">
        <f t="shared" ref="CV69:CV132" si="95">EXP(-1.0587+0.8836*LN(CU69)+0.284)</f>
        <v>36.242489920685223</v>
      </c>
      <c r="CW69" s="20">
        <f t="shared" si="67"/>
        <v>306.54124663186008</v>
      </c>
      <c r="CX69" s="59">
        <f t="shared" si="68"/>
        <v>570.99430574904716</v>
      </c>
      <c r="CY69" s="59">
        <f ca="1">AVERAGE(OFFSET($CX$3,0,0,'Données projet'!$E$13+1,1))-AVERAGE(OFFSET($H$3,0,0,'Données projet'!$E$13+1,1))</f>
        <v>287.73449456153207</v>
      </c>
      <c r="CZ69" s="59">
        <f t="shared" ref="CZ69:CZ132" si="96">$CZ$3</f>
        <v>296.74833899433281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17.627536048420186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17.627536048420186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7.6762499999999996</v>
      </c>
      <c r="DO69" s="12">
        <f>IF('Données projet'!$A$166&gt;35,DO68+DN69-DW68,IF(A69&lt;'Données projet'!$A$166,$DL$205^A69,IF(A69='Données projet'!$A$166,'Données projet'!$B$166,DO68+DN69-DW68)))</f>
        <v>203.96375000000003</v>
      </c>
      <c r="DP69" s="17">
        <f>DO69*VLOOKUP('Données projet'!$B$14,Paramètres!$A$1:$I$89,3,0)*VLOOKUP('Données projet'!$B$14,Paramètres!$A$1:$I$89,5,0)</f>
        <v>206.81924250000006</v>
      </c>
      <c r="DQ69" s="13">
        <f t="shared" ref="DQ69:DQ132" si="97">EXP(-1.0587+0.8836*LN(DP69)+0.284)</f>
        <v>51.239893950359914</v>
      </c>
      <c r="DR69" s="20">
        <f t="shared" si="70"/>
        <v>449.45299598437691</v>
      </c>
      <c r="DS69" s="59">
        <f t="shared" si="71"/>
        <v>713.90605510156399</v>
      </c>
      <c r="DT69" s="59">
        <f ca="1">AVERAGE(OFFSET($DS$3,0,0,'Données projet'!$E$14+1,1))-AVERAGE(OFFSET($H$3,0,0,'Données projet'!$E$14+1,1))</f>
        <v>532.34688562681413</v>
      </c>
      <c r="DU69" s="59">
        <f t="shared" ref="DU69:DU132" si="98">$DU$3</f>
        <v>345.42627129678556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17.788658098439079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17.788658098439079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-5.6843418860808015E-14</v>
      </c>
      <c r="EK69" s="17">
        <f>EJ69*VLOOKUP('Données projet'!$B$15,Paramètres!$A$1:$I$89,3,0)*VLOOKUP('Données projet'!$B$15,Paramètres!$A$1:$I$89,5,0)</f>
        <v>-5.1431925385259088E-14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256.20286603823035</v>
      </c>
      <c r="EP69" s="59">
        <f t="shared" ref="EP69:EP132" si="100">$EP$3</f>
        <v>364.83827155069434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33.216064685539777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33.216064685539777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7.6762499999999996</v>
      </c>
      <c r="FE69" s="12">
        <f>IF('Données projet'!$A$218&gt;35,FE68+FD69-FM68,IF(A69&lt;'Données projet'!$A$218,$FB$205^A69,IF(A69='Données projet'!$A$218,'Données projet'!$B$218,FE68+FD69-FM68)))</f>
        <v>203.96375000000003</v>
      </c>
      <c r="FF69" s="17">
        <f>FE69*VLOOKUP('Données projet'!$B$16,Paramètres!$A$1:$I$89,3,0)*VLOOKUP('Données projet'!$B$16,Paramètres!$A$1:$I$89,5,0)</f>
        <v>136.81888350000003</v>
      </c>
      <c r="FG69" s="13">
        <f t="shared" ref="FG69:FG132" si="101">EXP(-1.0587+0.8836*LN(FF69)+0.284)</f>
        <v>35.567284403455766</v>
      </c>
      <c r="FH69" s="20">
        <f t="shared" si="76"/>
        <v>300.23924243185218</v>
      </c>
      <c r="FI69" s="59">
        <f t="shared" si="77"/>
        <v>564.69230154903926</v>
      </c>
      <c r="FJ69" s="59">
        <f ca="1">AVERAGE(OFFSET($FI$3,0,0,'Données projet'!$E$16+1,1))-AVERAGE(OFFSET($H$3,0,0,'Données projet'!$E$16+1,1))</f>
        <v>380.73695370216979</v>
      </c>
      <c r="FK69" s="59">
        <f t="shared" ref="FK69:FK132" si="102">$FK$3</f>
        <v>249.34467160415713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14.504598141804172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14.504598141804172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7.6762499999999996</v>
      </c>
      <c r="FZ69" s="12">
        <f>IF('Données projet'!$A$244&gt;35,FZ68+FY69-GH68,IF(A69&lt;'Données projet'!$A$244,$FW$205^A69,IF(A69='Données projet'!$A$244,'Données projet'!$B$244,FZ68+FY69-GH68)))</f>
        <v>203.96375000000003</v>
      </c>
      <c r="GA69" s="17">
        <f>FZ69*VLOOKUP('Données projet'!$B$17,Paramètres!$A$1:$I$89,3,0)*VLOOKUP('Données projet'!$B$17,Paramètres!$A$1:$I$89,5,0)</f>
        <v>197.27373900000003</v>
      </c>
      <c r="GB69" s="13">
        <f t="shared" ref="GB69:GB132" si="103">EXP(-1.0587+0.8836*LN(GA69)+0.284)</f>
        <v>49.144540314010513</v>
      </c>
      <c r="GC69" s="20">
        <f t="shared" si="79"/>
        <v>429.17850313856837</v>
      </c>
      <c r="GD69" s="59">
        <f t="shared" si="80"/>
        <v>693.6315622557554</v>
      </c>
      <c r="GE69" s="59">
        <f ca="1">AVERAGE(OFFSET($GD$3,0,0,'Données projet'!$E$17+1,1))-AVERAGE(OFFSET($H$3,0,0,'Données projet'!$E$17+1,1))</f>
        <v>511.7458522930001</v>
      </c>
      <c r="GF69" s="59">
        <f t="shared" ref="GF69:GF132" si="104">$GF$3</f>
        <v>332.37317679966122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16.967643109280349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16.967643109280349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3.8</v>
      </c>
      <c r="GU69" s="12">
        <f>IF('Données projet'!$A$270&gt;35,GU68+GT69-HC68,IF(A69&lt;'Données projet'!$A$270,$GR$205^A69,IF(A69='Données projet'!$A$270,'Données projet'!$B$270,GU68+GT69-HC68)))</f>
        <v>247.79999999999984</v>
      </c>
      <c r="GV69" s="17">
        <f>GU69*VLOOKUP('Données projet'!$B$18,Paramètres!$A$1:$I$89,3,0)*VLOOKUP('Données projet'!$B$18,Paramètres!$A$1:$I$89,5,0)</f>
        <v>216.47807999999986</v>
      </c>
      <c r="GW69" s="13">
        <f t="shared" ref="GW69:GW132" si="105">EXP(-1.0587+0.8836*LN(GV69)+0.284)</f>
        <v>53.348696328338377</v>
      </c>
      <c r="GX69" s="20">
        <f t="shared" si="82"/>
        <v>469.94830210518904</v>
      </c>
      <c r="GY69" s="59">
        <f t="shared" si="83"/>
        <v>734.40136122237618</v>
      </c>
      <c r="GZ69" s="59">
        <f ca="1">AVERAGE(OFFSET($GY$3,0,0,'Données projet'!$E$18+1,1))-AVERAGE(OFFSET($H$3,0,0,'Données projet'!$E$18+1,1))</f>
        <v>348.77506423101278</v>
      </c>
      <c r="HA69" s="59">
        <f t="shared" ref="HA69:HA132" si="106">$HA$3</f>
        <v>336.13747591329548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20.522757819102402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20.522757819102402</v>
      </c>
    </row>
    <row r="70" spans="1:218" x14ac:dyDescent="0.2">
      <c r="A70" s="10">
        <f t="shared" si="85"/>
        <v>67</v>
      </c>
      <c r="B70" s="71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5">
        <f t="shared" si="56"/>
        <v>183.33333333333334</v>
      </c>
      <c r="I70" s="6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16.050000000000004</v>
      </c>
      <c r="N70" s="13">
        <f>IF('Données projet'!$A$36&gt;35,N69+M70-V69,IF(A70&lt;'Données projet'!$A$36,$K$205^A70,IF(A70='Données projet'!$A$36,'Données projet'!$B$36,N69+M70-V69)))</f>
        <v>401.58999999999986</v>
      </c>
      <c r="O70" s="13">
        <f>N70*VLOOKUP('Données projet'!$B$9,Paramètres!$A$1:$I$89,3,0)*VLOOKUP('Données projet'!$B$9,Paramètres!$A$1:$I$89,5,0)</f>
        <v>187.94411999999991</v>
      </c>
      <c r="P70" s="13">
        <f t="shared" si="87"/>
        <v>47.085139576843218</v>
      </c>
      <c r="Q70" s="20">
        <f t="shared" si="54"/>
        <v>409.34262709633504</v>
      </c>
      <c r="R70" s="59">
        <f t="shared" si="55"/>
        <v>674.296694404552</v>
      </c>
      <c r="S70" s="59">
        <f ca="1">AVERAGE(OFFSET($R$3,0,0,'Données projet'!$E$9+1,1))-AVERAGE(OFFSET($H$3,0,0,'Données projet'!$E$9+1,1))</f>
        <v>387.50901594883317</v>
      </c>
      <c r="T70" s="59">
        <f t="shared" si="88"/>
        <v>361.3623790401972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46.838047834364666</v>
      </c>
      <c r="AA70" s="21">
        <f>EXP(-LN(2)/25)*AA69+(1-EXP(-LN(2)/25))/(LN(2)/25)*Calculateur!V70*Calculateur!X70*VLOOKUP('Données projet'!$B$9,Paramètres!$A$1:$I$89,3,0)*0.475*44/12</f>
        <v>29.998507640630105</v>
      </c>
      <c r="AB70" s="21">
        <f>EXP(-LN(2)/2)*AB69+(1-EXP(-LN(2)/2))/(LN(2)/2)*V70*Y70*VLOOKUP('Données projet'!$B$9,Paramètres!$A$1:$I$89,3,0)*0.475*44/12</f>
        <v>2.1227534879682088</v>
      </c>
      <c r="AC70" s="22">
        <f t="shared" si="57"/>
        <v>78.959308962962979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454.36900000000014</v>
      </c>
      <c r="AJ70" s="13">
        <f>AI70*VLOOKUP('Données projet'!$B$10,Paramètres!$A$1:$I$89,3,0)*VLOOKUP('Données projet'!$B$10,Paramètres!$A$1:$I$89,5,0)</f>
        <v>271.71266200000014</v>
      </c>
      <c r="AK70" s="13">
        <f t="shared" si="89"/>
        <v>65.212605520968935</v>
      </c>
      <c r="AL70" s="20">
        <f t="shared" si="58"/>
        <v>586.81150759902118</v>
      </c>
      <c r="AM70" s="59">
        <f t="shared" si="59"/>
        <v>851.76557490723803</v>
      </c>
      <c r="AN70" s="59">
        <f ca="1">AVERAGE(OFFSET($AM$3,0,0,'Données projet'!$E$10+1,1))-AVERAGE(OFFSET($H$3,0,0,'Données projet'!$E$10+1,1))</f>
        <v>373.47758082856359</v>
      </c>
      <c r="AO70" s="59">
        <f t="shared" si="90"/>
        <v>277.24895424120166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38.496285489047771</v>
      </c>
      <c r="AV70" s="21">
        <f>EXP(-LN(2)/25)*AV69+(1-EXP(-LN(2)/25))/(LN(2)/25)*Calculateur!AQ70*Calculateur!AS70*VLOOKUP('Données projet'!$B$10,Paramètres!$A$1:$I$89,3,0)*0.475*44/12</f>
        <v>17.93369933033954</v>
      </c>
      <c r="AW70" s="21">
        <f>EXP(-LN(2)/2)*AW69+(1-EXP(-LN(2)/2))/(LN(2)/2)*AQ70*AT70*VLOOKUP('Données projet'!$B$10,Paramètres!$A$1:$I$89,3,0)*0.475*44/12</f>
        <v>0.77745831393110776</v>
      </c>
      <c r="AX70" s="21">
        <f t="shared" si="60"/>
        <v>57.207443133318421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12.905000000000006</v>
      </c>
      <c r="BD70" s="12">
        <f>IF('Données projet'!$A$88&gt;35,BD69+BC70-BL69,IF(A70&lt;'Données projet'!$A$88,$BA$205^A70,IF(A70='Données projet'!$A$88,'Données projet'!$B$88,BD69+BC70-BL69)))</f>
        <v>555.42499999999961</v>
      </c>
      <c r="BE70" s="13">
        <f>BD70*VLOOKUP('Données projet'!$B$11,Paramètres!$A$1:$I$89,3,0)*VLOOKUP('Données projet'!$B$11,Paramètres!$A$1:$I$89,5,0)</f>
        <v>332.1441499999998</v>
      </c>
      <c r="BF70" s="13">
        <f t="shared" si="91"/>
        <v>77.874676474702113</v>
      </c>
      <c r="BG70" s="20">
        <f t="shared" si="61"/>
        <v>714.1161227767725</v>
      </c>
      <c r="BH70" s="59">
        <f t="shared" si="62"/>
        <v>979.07019008498946</v>
      </c>
      <c r="BI70" s="59">
        <f ca="1">AVERAGE(OFFSET($BH$3,0,0,'Données projet'!$E$11+1,1))-AVERAGE(OFFSET($H$3,0,0,'Données projet'!$E$11+1,1))</f>
        <v>460.88622650237176</v>
      </c>
      <c r="BJ70" s="59">
        <f t="shared" si="92"/>
        <v>396.05161661639647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61.314345106404772</v>
      </c>
      <c r="BQ70" s="21">
        <f>EXP(-LN(2)/25)*BQ69+(1-EXP(-LN(2)/25))/(LN(2)/25)*Calculateur!BL70*Calculateur!BN70*VLOOKUP('Données projet'!$B$11,Paramètres!$A$1:$I$89,3,0)*0.475*44/12</f>
        <v>22.811686284207887</v>
      </c>
      <c r="BR70" s="21">
        <f>EXP(-LN(2)/2)*BR69+(1-EXP(-LN(2)/2))/(LN(2)/2)*BL70*BO70*VLOOKUP('Données projet'!$B$11,Paramètres!$A$1:$I$89,3,0)*0.475*44/12</f>
        <v>5.6835876597599233</v>
      </c>
      <c r="BS70" s="22">
        <f t="shared" si="63"/>
        <v>89.809619050372589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16.649999999999995</v>
      </c>
      <c r="BY70" s="12">
        <f>IF('Données projet'!$A$114&gt;35,BY69+BX70-CG69,IF(A70&lt;'Données projet'!$A$114,$BV$205^A70,IF(A70='Données projet'!$A$114,'Données projet'!$B$114,BY69+BX70-CG69)))</f>
        <v>536.1099999999999</v>
      </c>
      <c r="BZ70" s="13">
        <f>BY70*VLOOKUP('Données projet'!$B$12,Paramètres!$A$1:$I$89,3,0)*VLOOKUP('Données projet'!$B$12,Paramètres!$A$1:$I$89,5,0)</f>
        <v>243.93004999999997</v>
      </c>
      <c r="CA70" s="13">
        <f t="shared" si="93"/>
        <v>59.284298894091158</v>
      </c>
      <c r="CB70" s="20">
        <f t="shared" si="64"/>
        <v>528.09832432387532</v>
      </c>
      <c r="CC70" s="59">
        <f t="shared" si="65"/>
        <v>793.05239163209217</v>
      </c>
      <c r="CD70" s="59">
        <f ca="1">AVERAGE(OFFSET($CC$3,0,0,'Données projet'!$E$12+1,1))-AVERAGE(OFFSET($H$3,0,0,'Données projet'!$E$12+1,1))</f>
        <v>341.60063595566282</v>
      </c>
      <c r="CE70" s="59">
        <f t="shared" si="94"/>
        <v>317.05609766344219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73.269269230607634</v>
      </c>
      <c r="CL70" s="21">
        <f>EXP(-LN(2)/25)*CL69+(1-EXP(-LN(2)/25))/(LN(2)/25)*Calculateur!CG70*Calculateur!CI70*VLOOKUP('Données projet'!$B$12,Paramètres!$A$1:$I$89,3,0)*0.475*44/12</f>
        <v>29.33266924374303</v>
      </c>
      <c r="CM70" s="21">
        <f>EXP(-LN(2)/2)*CM69+(1-EXP(-LN(2)/2))/(LN(2)/2)*CG70*CJ70*VLOOKUP('Données projet'!$B$12,Paramètres!$A$1:$I$89,3,0)*0.475*44/12</f>
        <v>1.8820735603119123</v>
      </c>
      <c r="CN70" s="22">
        <f t="shared" si="66"/>
        <v>104.48401203466257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2.947999999999996</v>
      </c>
      <c r="CT70" s="12">
        <f>IF('Données projet'!$A$140&gt;35,CT69+CS70-DB69,IF(A70&lt;'Données projet'!$A$140,$CQ$205^A70,IF(A70='Données projet'!$A$140,'Données projet'!$B$140,CT69+CS70-DB69)))</f>
        <v>136.666</v>
      </c>
      <c r="CU70" s="17">
        <f>CT70*VLOOKUP('Données projet'!$B$13,Paramètres!$A$1:$I$89,3,0)*VLOOKUP('Données projet'!$B$13,Paramètres!$A$1:$I$89,5,0)</f>
        <v>142.84330320000001</v>
      </c>
      <c r="CV70" s="13">
        <f t="shared" si="95"/>
        <v>36.9476021785527</v>
      </c>
      <c r="CW70" s="20">
        <f t="shared" si="67"/>
        <v>313.1358268676459</v>
      </c>
      <c r="CX70" s="59">
        <f t="shared" si="68"/>
        <v>578.08989417586281</v>
      </c>
      <c r="CY70" s="59">
        <f ca="1">AVERAGE(OFFSET($CX$3,0,0,'Données projet'!$E$13+1,1))-AVERAGE(OFFSET($H$3,0,0,'Données projet'!$E$13+1,1))</f>
        <v>287.73449456153207</v>
      </c>
      <c r="CZ70" s="59">
        <f t="shared" si="96"/>
        <v>296.74833899433281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17.281870818246009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17.281870818246009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211.64</v>
      </c>
      <c r="DM70" s="12">
        <f>VLOOKUP(A70,'Données projet'!$A$165:$I$185,9,0)</f>
        <v>7.6762499999999996</v>
      </c>
      <c r="DN70" s="12">
        <f t="array" ref="DN70">INDEX(DM:DM,MIN(IF(ISNUMBER(DM70:DM266),ROW(DM70:DM266),"")))</f>
        <v>7.6762499999999996</v>
      </c>
      <c r="DO70" s="12">
        <f>IF('Données projet'!$A$166&gt;35,DO69+DN70-DW69,IF(A70&lt;'Données projet'!$A$166,$DL$205^A70,IF(A70='Données projet'!$A$166,'Données projet'!$B$166,DO69+DN70-DW69)))</f>
        <v>211.64000000000004</v>
      </c>
      <c r="DP70" s="17">
        <f>DO70*VLOOKUP('Données projet'!$B$14,Paramètres!$A$1:$I$89,3,0)*VLOOKUP('Données projet'!$B$14,Paramètres!$A$1:$I$89,5,0)</f>
        <v>214.60296000000005</v>
      </c>
      <c r="DQ70" s="13">
        <f t="shared" si="97"/>
        <v>52.940175457475355</v>
      </c>
      <c r="DR70" s="20">
        <f t="shared" si="70"/>
        <v>465.97096092176963</v>
      </c>
      <c r="DS70" s="59">
        <f t="shared" si="71"/>
        <v>730.92502822998654</v>
      </c>
      <c r="DT70" s="59">
        <f ca="1">AVERAGE(OFFSET($DS$3,0,0,'Données projet'!$E$14+1,1))-AVERAGE(OFFSET($H$3,0,0,'Données projet'!$E$14+1,1))</f>
        <v>532.34688562681413</v>
      </c>
      <c r="DU70" s="59">
        <f t="shared" si="98"/>
        <v>345.42627129678556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40.630000000000003</v>
      </c>
      <c r="DX70" s="16">
        <f>IF(ISNA(VLOOKUP(A70,'Données projet'!$A$165:$I$185,5,0)),0%,VLOOKUP(A70,'Données projet'!$A$165:$I$185,5,0)*VLOOKUP('Données projet'!$B$14,Paramètres!$A$1:$I$89,7,0))</f>
        <v>0.215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27.231809527206366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27.231809527206366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-5.6843418860808015E-14</v>
      </c>
      <c r="EK70" s="17">
        <f>EJ70*VLOOKUP('Données projet'!$B$15,Paramètres!$A$1:$I$89,3,0)*VLOOKUP('Données projet'!$B$15,Paramètres!$A$1:$I$89,5,0)</f>
        <v>-5.1431925385259088E-14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256.20286603823035</v>
      </c>
      <c r="EP70" s="59">
        <f t="shared" si="100"/>
        <v>364.83827155069434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32.564717916855308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32.564717916855308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>
        <f>VLOOKUP(A70,'Données projet'!$A$217:$I$237,2,0)</f>
        <v>211.64</v>
      </c>
      <c r="FC70" s="12">
        <f>VLOOKUP(A70,'Données projet'!$A$217:$I$237,9,0)</f>
        <v>7.6762499999999996</v>
      </c>
      <c r="FD70" s="12">
        <f t="array" ref="FD70">INDEX(FC:FC,MIN(IF(ISNUMBER(FC70:FC266),ROW(FC70:FC266),"")))</f>
        <v>7.6762499999999996</v>
      </c>
      <c r="FE70" s="12">
        <f>IF('Données projet'!$A$218&gt;35,FE69+FD70-FM69,IF(A70&lt;'Données projet'!$A$218,$FB$205^A70,IF(A70='Données projet'!$A$218,'Données projet'!$B$218,FE69+FD70-FM69)))</f>
        <v>211.64000000000004</v>
      </c>
      <c r="FF70" s="17">
        <f>FE70*VLOOKUP('Données projet'!$B$16,Paramètres!$A$1:$I$89,3,0)*VLOOKUP('Données projet'!$B$16,Paramètres!$A$1:$I$89,5,0)</f>
        <v>141.96811200000002</v>
      </c>
      <c r="FG70" s="13">
        <f t="shared" si="101"/>
        <v>36.747505345913169</v>
      </c>
      <c r="FH70" s="20">
        <f t="shared" si="76"/>
        <v>311.2630335441321</v>
      </c>
      <c r="FI70" s="59">
        <f t="shared" si="77"/>
        <v>576.21710085234895</v>
      </c>
      <c r="FJ70" s="59">
        <f ca="1">AVERAGE(OFFSET($FI$3,0,0,'Données projet'!$E$16+1,1))-AVERAGE(OFFSET($H$3,0,0,'Données projet'!$E$16+1,1))</f>
        <v>380.73695370216979</v>
      </c>
      <c r="FK70" s="59">
        <f t="shared" si="102"/>
        <v>249.34467160415713</v>
      </c>
      <c r="FL70" s="15">
        <f>IF(ISNA(VLOOKUP(A70,'Données projet'!$A$217:$I$237,3,0)),0,VLOOKUP(A70,'Données projet'!$A$217:$I$237,3,0))</f>
        <v>4</v>
      </c>
      <c r="FM70" s="15">
        <f>IF(ISNA(VLOOKUP(A70,'Données projet'!$A$217:$I$237,4,0)),0,VLOOKUP(A70,'Données projet'!$A$217:$I$237,4,0))</f>
        <v>40.630000000000003</v>
      </c>
      <c r="FN70" s="16">
        <f>IF(ISNA(VLOOKUP(A70,'Données projet'!$A$217:$I$237,5,0)),0%,VLOOKUP(A70,'Données projet'!$A$217:$I$237,5,0)*VLOOKUP('Données projet'!$B$16,Paramètres!$A$1:$I$89,7,0))</f>
        <v>0.26500000000000001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22.204398537568267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22.204398537568267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>
        <f>VLOOKUP(A70,'Données projet'!$A$243:$I$263,2,0)</f>
        <v>211.64</v>
      </c>
      <c r="FX70" s="12">
        <f>VLOOKUP(A70,'Données projet'!$A$243:$I$263,9,0)</f>
        <v>7.6762499999999996</v>
      </c>
      <c r="FY70" s="12">
        <f t="array" ref="FY70">INDEX(FX:FX,MIN(IF(ISNUMBER(FX70:FX266),ROW(FX70:FX266),"")))</f>
        <v>7.6762499999999996</v>
      </c>
      <c r="FZ70" s="12">
        <f>IF('Données projet'!$A$244&gt;35,FZ69+FY70-GH69,IF(A70&lt;'Données projet'!$A$244,$FW$205^A70,IF(A70='Données projet'!$A$244,'Données projet'!$B$244,FZ69+FY70-GH69)))</f>
        <v>211.64000000000004</v>
      </c>
      <c r="GA70" s="17">
        <f>FZ70*VLOOKUP('Données projet'!$B$17,Paramètres!$A$1:$I$89,3,0)*VLOOKUP('Données projet'!$B$17,Paramètres!$A$1:$I$89,5,0)</f>
        <v>204.69820800000005</v>
      </c>
      <c r="GB70" s="13">
        <f t="shared" si="103"/>
        <v>50.775292187785851</v>
      </c>
      <c r="GC70" s="20">
        <f t="shared" si="79"/>
        <v>444.94967949372705</v>
      </c>
      <c r="GD70" s="59">
        <f t="shared" si="80"/>
        <v>709.90374680194395</v>
      </c>
      <c r="GE70" s="59">
        <f ca="1">AVERAGE(OFFSET($GD$3,0,0,'Données projet'!$E$17+1,1))-AVERAGE(OFFSET($H$3,0,0,'Données projet'!$E$17+1,1))</f>
        <v>511.7458522930001</v>
      </c>
      <c r="GF70" s="59">
        <f t="shared" si="104"/>
        <v>332.37317679966122</v>
      </c>
      <c r="GG70" s="15">
        <f>IF(ISNA(VLOOKUP(A70,'Données projet'!$A$243:$I$263,3,0)),0,VLOOKUP(A70,'Données projet'!$A$243:$I$263,3,0))</f>
        <v>4</v>
      </c>
      <c r="GH70" s="15">
        <f>IF(ISNA(VLOOKUP(A70,'Données projet'!$A$243:$I$263,4,0)),0,VLOOKUP(A70,'Données projet'!$A$243:$I$263,4,0))</f>
        <v>40.630000000000003</v>
      </c>
      <c r="GI70" s="16">
        <f>IF(ISNA(VLOOKUP(A70,'Données projet'!$A$243:$I$263,5,0)),0%,VLOOKUP(A70,'Données projet'!$A$243:$I$263,5,0)*VLOOKUP('Données projet'!$B$17,Paramètres!$A$1:$I$89,7,0))</f>
        <v>0.215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25.974956779796837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25.974956779796837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3.8</v>
      </c>
      <c r="GU70" s="12">
        <f>IF('Données projet'!$A$270&gt;35,GU69+GT70-HC69,IF(A70&lt;'Données projet'!$A$270,$GR$205^A70,IF(A70='Données projet'!$A$270,'Données projet'!$B$270,GU69+GT70-HC69)))</f>
        <v>251.59999999999985</v>
      </c>
      <c r="GV70" s="17">
        <f>GU70*VLOOKUP('Données projet'!$B$18,Paramètres!$A$1:$I$89,3,0)*VLOOKUP('Données projet'!$B$18,Paramètres!$A$1:$I$89,5,0)</f>
        <v>219.7977599999999</v>
      </c>
      <c r="GW70" s="13">
        <f t="shared" si="105"/>
        <v>54.070927503307338</v>
      </c>
      <c r="GX70" s="20">
        <f t="shared" si="82"/>
        <v>476.98796406826</v>
      </c>
      <c r="GY70" s="59">
        <f t="shared" si="83"/>
        <v>741.94203137647696</v>
      </c>
      <c r="GZ70" s="59">
        <f ca="1">AVERAGE(OFFSET($GY$3,0,0,'Données projet'!$E$18+1,1))-AVERAGE(OFFSET($H$3,0,0,'Données projet'!$E$18+1,1))</f>
        <v>348.77506423101278</v>
      </c>
      <c r="HA70" s="59">
        <f t="shared" si="106"/>
        <v>336.13747591329548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20.12031905591606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20.12031905591606</v>
      </c>
    </row>
    <row r="71" spans="1:218" x14ac:dyDescent="0.2">
      <c r="A71" s="10">
        <f t="shared" si="85"/>
        <v>68</v>
      </c>
      <c r="B71" s="71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5">
        <f t="shared" si="56"/>
        <v>183.33333333333334</v>
      </c>
      <c r="I71" s="6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16.050000000000004</v>
      </c>
      <c r="N71" s="13">
        <f>IF('Données projet'!$A$36&gt;35,N70+M71-V70,IF(A71&lt;'Données projet'!$A$36,$K$205^A71,IF(A71='Données projet'!$A$36,'Données projet'!$B$36,N70+M71-V70)))</f>
        <v>417.63999999999987</v>
      </c>
      <c r="O71" s="13">
        <f>N71*VLOOKUP('Données projet'!$B$9,Paramètres!$A$1:$I$89,3,0)*VLOOKUP('Données projet'!$B$9,Paramètres!$A$1:$I$89,5,0)</f>
        <v>195.45551999999995</v>
      </c>
      <c r="P71" s="13">
        <f t="shared" si="87"/>
        <v>48.744096488454666</v>
      </c>
      <c r="Q71" s="20">
        <f t="shared" si="54"/>
        <v>425.31433205072511</v>
      </c>
      <c r="R71" s="59">
        <f t="shared" si="55"/>
        <v>690.760716177944</v>
      </c>
      <c r="S71" s="59">
        <f ca="1">AVERAGE(OFFSET($R$3,0,0,'Données projet'!$E$9+1,1))-AVERAGE(OFFSET($H$3,0,0,'Données projet'!$E$9+1,1))</f>
        <v>387.50901594883317</v>
      </c>
      <c r="T71" s="59">
        <f t="shared" si="88"/>
        <v>361.3623790401972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45.919582284721059</v>
      </c>
      <c r="AA71" s="21">
        <f>EXP(-LN(2)/25)*AA70+(1-EXP(-LN(2)/25))/(LN(2)/25)*Calculateur!V71*Calculateur!X71*VLOOKUP('Données projet'!$B$9,Paramètres!$A$1:$I$89,3,0)*0.475*44/12</f>
        <v>29.178196871644122</v>
      </c>
      <c r="AB71" s="21">
        <f>EXP(-LN(2)/2)*AB70+(1-EXP(-LN(2)/2))/(LN(2)/2)*V71*Y71*VLOOKUP('Données projet'!$B$9,Paramètres!$A$1:$I$89,3,0)*0.475*44/12</f>
        <v>1.5010133861297168</v>
      </c>
      <c r="AC71" s="22">
        <f t="shared" si="57"/>
        <v>76.598792542494891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466.26600000000013</v>
      </c>
      <c r="AJ71" s="13">
        <f>AI71*VLOOKUP('Données projet'!$B$10,Paramètres!$A$1:$I$89,3,0)*VLOOKUP('Données projet'!$B$10,Paramètres!$A$1:$I$89,5,0)</f>
        <v>278.82706800000011</v>
      </c>
      <c r="AK71" s="13">
        <f t="shared" si="89"/>
        <v>66.719074104976841</v>
      </c>
      <c r="AL71" s="20">
        <f t="shared" si="58"/>
        <v>601.82619749950163</v>
      </c>
      <c r="AM71" s="59">
        <f t="shared" si="59"/>
        <v>867.27258162672047</v>
      </c>
      <c r="AN71" s="59">
        <f ca="1">AVERAGE(OFFSET($AM$3,0,0,'Données projet'!$E$10+1,1))-AVERAGE(OFFSET($H$3,0,0,'Données projet'!$E$10+1,1))</f>
        <v>373.47758082856359</v>
      </c>
      <c r="AO71" s="59">
        <f t="shared" si="90"/>
        <v>277.24895424120166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37.741396811023193</v>
      </c>
      <c r="AV71" s="21">
        <f>EXP(-LN(2)/25)*AV70+(1-EXP(-LN(2)/25))/(LN(2)/25)*Calculateur!AQ71*Calculateur!AS71*VLOOKUP('Données projet'!$B$10,Paramètres!$A$1:$I$89,3,0)*0.475*44/12</f>
        <v>17.443301379059147</v>
      </c>
      <c r="AW71" s="21">
        <f>EXP(-LN(2)/2)*AW70+(1-EXP(-LN(2)/2))/(LN(2)/2)*AQ71*AT71*VLOOKUP('Données projet'!$B$10,Paramètres!$A$1:$I$89,3,0)*0.475*44/12</f>
        <v>0.54974604587054599</v>
      </c>
      <c r="AX71" s="21">
        <f t="shared" si="60"/>
        <v>55.734444235952893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12.905000000000006</v>
      </c>
      <c r="BD71" s="12">
        <f>IF('Données projet'!$A$88&gt;35,BD70+BC71-BL70,IF(A71&lt;'Données projet'!$A$88,$BA$205^A71,IF(A71='Données projet'!$A$88,'Données projet'!$B$88,BD70+BC71-BL70)))</f>
        <v>568.32999999999959</v>
      </c>
      <c r="BE71" s="13">
        <f>BD71*VLOOKUP('Données projet'!$B$11,Paramètres!$A$1:$I$89,3,0)*VLOOKUP('Données projet'!$B$11,Paramètres!$A$1:$I$89,5,0)</f>
        <v>339.86133999999981</v>
      </c>
      <c r="BF71" s="13">
        <f t="shared" si="91"/>
        <v>79.47129770781693</v>
      </c>
      <c r="BG71" s="20">
        <f t="shared" si="61"/>
        <v>730.33767734111404</v>
      </c>
      <c r="BH71" s="59">
        <f t="shared" si="62"/>
        <v>995.78406146833288</v>
      </c>
      <c r="BI71" s="59">
        <f ca="1">AVERAGE(OFFSET($BH$3,0,0,'Données projet'!$E$11+1,1))-AVERAGE(OFFSET($H$3,0,0,'Données projet'!$E$11+1,1))</f>
        <v>460.88622650237176</v>
      </c>
      <c r="BJ71" s="59">
        <f t="shared" si="92"/>
        <v>396.05161661639647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60.112008196925942</v>
      </c>
      <c r="BQ71" s="21">
        <f>EXP(-LN(2)/25)*BQ70+(1-EXP(-LN(2)/25))/(LN(2)/25)*Calculateur!BL71*Calculateur!BN71*VLOOKUP('Données projet'!$B$11,Paramètres!$A$1:$I$89,3,0)*0.475*44/12</f>
        <v>22.187899523151778</v>
      </c>
      <c r="BR71" s="21">
        <f>EXP(-LN(2)/2)*BR70+(1-EXP(-LN(2)/2))/(LN(2)/2)*BL71*BO71*VLOOKUP('Données projet'!$B$11,Paramètres!$A$1:$I$89,3,0)*0.475*44/12</f>
        <v>4.0189033756844221</v>
      </c>
      <c r="BS71" s="22">
        <f t="shared" si="63"/>
        <v>86.318811095762143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16.649999999999995</v>
      </c>
      <c r="BY71" s="12">
        <f>IF('Données projet'!$A$114&gt;35,BY70+BX71-CG70,IF(A71&lt;'Données projet'!$A$114,$BV$205^A71,IF(A71='Données projet'!$A$114,'Données projet'!$B$114,BY70+BX71-CG70)))</f>
        <v>552.75999999999988</v>
      </c>
      <c r="BZ71" s="13">
        <f>BY71*VLOOKUP('Données projet'!$B$12,Paramètres!$A$1:$I$89,3,0)*VLOOKUP('Données projet'!$B$12,Paramètres!$A$1:$I$89,5,0)</f>
        <v>251.50579999999994</v>
      </c>
      <c r="CA71" s="13">
        <f t="shared" si="93"/>
        <v>60.908272478661104</v>
      </c>
      <c r="CB71" s="20">
        <f t="shared" si="64"/>
        <v>544.12117623366794</v>
      </c>
      <c r="CC71" s="59">
        <f t="shared" si="65"/>
        <v>809.56756036088677</v>
      </c>
      <c r="CD71" s="59">
        <f ca="1">AVERAGE(OFFSET($CC$3,0,0,'Données projet'!$E$12+1,1))-AVERAGE(OFFSET($H$3,0,0,'Données projet'!$E$12+1,1))</f>
        <v>341.60063595566282</v>
      </c>
      <c r="CE71" s="59">
        <f t="shared" si="94"/>
        <v>317.05609766344219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71.83250355083689</v>
      </c>
      <c r="CL71" s="21">
        <f>EXP(-LN(2)/25)*CL70+(1-EXP(-LN(2)/25))/(LN(2)/25)*Calculateur!CG71*Calculateur!CI71*VLOOKUP('Données projet'!$B$12,Paramètres!$A$1:$I$89,3,0)*0.475*44/12</f>
        <v>28.530565860734843</v>
      </c>
      <c r="CM71" s="21">
        <f>EXP(-LN(2)/2)*CM70+(1-EXP(-LN(2)/2))/(LN(2)/2)*CG71*CJ71*VLOOKUP('Données projet'!$B$12,Paramètres!$A$1:$I$89,3,0)*0.475*44/12</f>
        <v>1.330826977188462</v>
      </c>
      <c r="CN71" s="22">
        <f t="shared" si="66"/>
        <v>101.69389638876019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2.947999999999996</v>
      </c>
      <c r="CT71" s="12">
        <f>IF('Données projet'!$A$140&gt;35,CT70+CS71-DB70,IF(A71&lt;'Données projet'!$A$140,$CQ$205^A71,IF(A71='Données projet'!$A$140,'Données projet'!$B$140,CT70+CS71-DB70)))</f>
        <v>139.614</v>
      </c>
      <c r="CU71" s="17">
        <f>CT71*VLOOKUP('Données projet'!$B$13,Paramètres!$A$1:$I$89,3,0)*VLOOKUP('Données projet'!$B$13,Paramètres!$A$1:$I$89,5,0)</f>
        <v>145.92455280000001</v>
      </c>
      <c r="CV71" s="13">
        <f t="shared" si="95"/>
        <v>37.650946084362552</v>
      </c>
      <c r="CW71" s="20">
        <f t="shared" si="67"/>
        <v>319.72732722359814</v>
      </c>
      <c r="CX71" s="59">
        <f t="shared" si="68"/>
        <v>585.17371135081703</v>
      </c>
      <c r="CY71" s="59">
        <f ca="1">AVERAGE(OFFSET($CX$3,0,0,'Données projet'!$E$13+1,1))-AVERAGE(OFFSET($H$3,0,0,'Données projet'!$E$13+1,1))</f>
        <v>287.73449456153207</v>
      </c>
      <c r="CZ71" s="59">
        <f t="shared" si="96"/>
        <v>296.74833899433281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16.942983872400578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16.942983872400578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7.3250000000000028</v>
      </c>
      <c r="DO71" s="12">
        <f>IF('Données projet'!$A$166&gt;35,DO70+DN71-DW70,IF(A71&lt;'Données projet'!$A$166,$DL$205^A71,IF(A71='Données projet'!$A$166,'Données projet'!$B$166,DO70+DN71-DW70)))</f>
        <v>178.33500000000004</v>
      </c>
      <c r="DP71" s="17">
        <f>DO71*VLOOKUP('Données projet'!$B$14,Paramètres!$A$1:$I$89,3,0)*VLOOKUP('Données projet'!$B$14,Paramètres!$A$1:$I$89,5,0)</f>
        <v>180.83169000000004</v>
      </c>
      <c r="DQ71" s="13">
        <f t="shared" si="97"/>
        <v>45.507172195409083</v>
      </c>
      <c r="DR71" s="20">
        <f t="shared" si="70"/>
        <v>394.20685165700417</v>
      </c>
      <c r="DS71" s="59">
        <f t="shared" si="71"/>
        <v>659.65323578422294</v>
      </c>
      <c r="DT71" s="59">
        <f ca="1">AVERAGE(OFFSET($DS$3,0,0,'Données projet'!$E$14+1,1))-AVERAGE(OFFSET($H$3,0,0,'Données projet'!$E$14+1,1))</f>
        <v>532.34688562681413</v>
      </c>
      <c r="DU71" s="59">
        <f t="shared" si="98"/>
        <v>345.42627129678556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26.697810352141584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26.697810352141584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-5.6843418860808015E-14</v>
      </c>
      <c r="EK71" s="17">
        <f>EJ71*VLOOKUP('Données projet'!$B$15,Paramètres!$A$1:$I$89,3,0)*VLOOKUP('Données projet'!$B$15,Paramètres!$A$1:$I$89,5,0)</f>
        <v>-5.1431925385259088E-14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256.20286603823035</v>
      </c>
      <c r="EP71" s="59">
        <f t="shared" si="100"/>
        <v>364.83827155069434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31.926143661022444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31.926143661022444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7.3250000000000028</v>
      </c>
      <c r="FE71" s="12">
        <f>IF('Données projet'!$A$218&gt;35,FE70+FD71-FM70,IF(A71&lt;'Données projet'!$A$218,$FB$205^A71,IF(A71='Données projet'!$A$218,'Données projet'!$B$218,FE70+FD71-FM70)))</f>
        <v>178.33500000000004</v>
      </c>
      <c r="FF71" s="17">
        <f>FE71*VLOOKUP('Données projet'!$B$16,Paramètres!$A$1:$I$89,3,0)*VLOOKUP('Données projet'!$B$16,Paramètres!$A$1:$I$89,5,0)</f>
        <v>119.62711800000002</v>
      </c>
      <c r="FG71" s="13">
        <f t="shared" si="101"/>
        <v>31.588014944745616</v>
      </c>
      <c r="FH71" s="20">
        <f t="shared" si="76"/>
        <v>263.36635654543198</v>
      </c>
      <c r="FI71" s="59">
        <f t="shared" si="77"/>
        <v>528.81274067265076</v>
      </c>
      <c r="FJ71" s="59">
        <f ca="1">AVERAGE(OFFSET($FI$3,0,0,'Données projet'!$E$16+1,1))-AVERAGE(OFFSET($H$3,0,0,'Données projet'!$E$16+1,1))</f>
        <v>380.73695370216979</v>
      </c>
      <c r="FK71" s="59">
        <f t="shared" si="102"/>
        <v>249.34467160415713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21.768983825592368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21.768983825592368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7.3250000000000028</v>
      </c>
      <c r="FZ71" s="12">
        <f>IF('Données projet'!$A$244&gt;35,FZ70+FY71-GH70,IF(A71&lt;'Données projet'!$A$244,$FW$205^A71,IF(A71='Données projet'!$A$244,'Données projet'!$B$244,FZ70+FY71-GH70)))</f>
        <v>178.33500000000004</v>
      </c>
      <c r="GA71" s="17">
        <f>FZ71*VLOOKUP('Données projet'!$B$17,Paramètres!$A$1:$I$89,3,0)*VLOOKUP('Données projet'!$B$17,Paramètres!$A$1:$I$89,5,0)</f>
        <v>172.48561200000003</v>
      </c>
      <c r="GB71" s="13">
        <f t="shared" si="103"/>
        <v>43.646246822846734</v>
      </c>
      <c r="GC71" s="20">
        <f t="shared" si="79"/>
        <v>376.4296541164581</v>
      </c>
      <c r="GD71" s="59">
        <f t="shared" si="80"/>
        <v>641.87603824367693</v>
      </c>
      <c r="GE71" s="59">
        <f ca="1">AVERAGE(OFFSET($GD$3,0,0,'Données projet'!$E$17+1,1))-AVERAGE(OFFSET($H$3,0,0,'Données projet'!$E$17+1,1))</f>
        <v>511.7458522930001</v>
      </c>
      <c r="GF71" s="59">
        <f t="shared" si="104"/>
        <v>332.37317679966122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25.465603720504276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25.465603720504276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3.8</v>
      </c>
      <c r="GU71" s="12">
        <f>IF('Données projet'!$A$270&gt;35,GU70+GT71-HC70,IF(A71&lt;'Données projet'!$A$270,$GR$205^A71,IF(A71='Données projet'!$A$270,'Données projet'!$B$270,GU70+GT71-HC70)))</f>
        <v>255.39999999999986</v>
      </c>
      <c r="GV71" s="17">
        <f>GU71*VLOOKUP('Données projet'!$B$18,Paramètres!$A$1:$I$89,3,0)*VLOOKUP('Données projet'!$B$18,Paramètres!$A$1:$I$89,5,0)</f>
        <v>223.11743999999993</v>
      </c>
      <c r="GW71" s="13">
        <f t="shared" si="105"/>
        <v>54.791890039639448</v>
      </c>
      <c r="GX71" s="20">
        <f t="shared" si="82"/>
        <v>484.02541648570531</v>
      </c>
      <c r="GY71" s="59">
        <f t="shared" si="83"/>
        <v>749.4718006129242</v>
      </c>
      <c r="GZ71" s="59">
        <f ca="1">AVERAGE(OFFSET($GY$3,0,0,'Données projet'!$E$18+1,1))-AVERAGE(OFFSET($H$3,0,0,'Données projet'!$E$18+1,1))</f>
        <v>348.77506423101278</v>
      </c>
      <c r="HA71" s="59">
        <f t="shared" si="106"/>
        <v>336.13747591329548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19.725771871412391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19.725771871412391</v>
      </c>
    </row>
    <row r="72" spans="1:218" x14ac:dyDescent="0.2">
      <c r="A72" s="10">
        <f t="shared" si="85"/>
        <v>69</v>
      </c>
      <c r="B72" s="71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5">
        <f t="shared" si="56"/>
        <v>183.33333333333334</v>
      </c>
      <c r="I72" s="6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16.050000000000004</v>
      </c>
      <c r="N72" s="13">
        <f>IF('Données projet'!$A$36&gt;35,N71+M72-V71,IF(A72&lt;'Données projet'!$A$36,$K$205^A72,IF(A72='Données projet'!$A$36,'Données projet'!$B$36,N71+M72-V71)))</f>
        <v>433.68999999999988</v>
      </c>
      <c r="O72" s="13">
        <f>N72*VLOOKUP('Données projet'!$B$9,Paramètres!$A$1:$I$89,3,0)*VLOOKUP('Données projet'!$B$9,Paramètres!$A$1:$I$89,5,0)</f>
        <v>202.96691999999993</v>
      </c>
      <c r="P72" s="13">
        <f t="shared" si="87"/>
        <v>50.395647071710499</v>
      </c>
      <c r="Q72" s="20">
        <f t="shared" si="54"/>
        <v>441.27313764989566</v>
      </c>
      <c r="R72" s="59">
        <f t="shared" si="55"/>
        <v>707.20329799996216</v>
      </c>
      <c r="S72" s="59">
        <f ca="1">AVERAGE(OFFSET($R$3,0,0,'Données projet'!$E$9+1,1))-AVERAGE(OFFSET($H$3,0,0,'Données projet'!$E$9+1,1))</f>
        <v>387.50901594883317</v>
      </c>
      <c r="T72" s="59">
        <f t="shared" si="88"/>
        <v>361.3623790401972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45.019127284297298</v>
      </c>
      <c r="AA72" s="21">
        <f>EXP(-LN(2)/25)*AA71+(1-EXP(-LN(2)/25))/(LN(2)/25)*Calculateur!V72*Calculateur!X72*VLOOKUP('Données projet'!$B$9,Paramètres!$A$1:$I$89,3,0)*0.475*44/12</f>
        <v>28.380317543774328</v>
      </c>
      <c r="AB72" s="21">
        <f>EXP(-LN(2)/2)*AB71+(1-EXP(-LN(2)/2))/(LN(2)/2)*V72*Y72*VLOOKUP('Données projet'!$B$9,Paramètres!$A$1:$I$89,3,0)*0.475*44/12</f>
        <v>1.0613767439841044</v>
      </c>
      <c r="AC72" s="22">
        <f t="shared" si="57"/>
        <v>74.460821572055721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478.16300000000012</v>
      </c>
      <c r="AJ72" s="13">
        <f>AI72*VLOOKUP('Données projet'!$B$10,Paramètres!$A$1:$I$89,3,0)*VLOOKUP('Données projet'!$B$10,Paramètres!$A$1:$I$89,5,0)</f>
        <v>285.94147400000008</v>
      </c>
      <c r="AK72" s="13">
        <f t="shared" si="89"/>
        <v>68.221074600056156</v>
      </c>
      <c r="AL72" s="20">
        <f t="shared" si="58"/>
        <v>616.83310547843132</v>
      </c>
      <c r="AM72" s="59">
        <f t="shared" si="59"/>
        <v>882.76326582849788</v>
      </c>
      <c r="AN72" s="59">
        <f ca="1">AVERAGE(OFFSET($AM$3,0,0,'Données projet'!$E$10+1,1))-AVERAGE(OFFSET($H$3,0,0,'Données projet'!$E$10+1,1))</f>
        <v>373.47758082856359</v>
      </c>
      <c r="AO72" s="59">
        <f t="shared" si="90"/>
        <v>277.24895424120166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37.001311039538052</v>
      </c>
      <c r="AV72" s="21">
        <f>EXP(-LN(2)/25)*AV71+(1-EXP(-LN(2)/25))/(LN(2)/25)*Calculateur!AQ72*Calculateur!AS72*VLOOKUP('Données projet'!$B$10,Paramètres!$A$1:$I$89,3,0)*0.475*44/12</f>
        <v>16.966313385545423</v>
      </c>
      <c r="AW72" s="21">
        <f>EXP(-LN(2)/2)*AW71+(1-EXP(-LN(2)/2))/(LN(2)/2)*AQ72*AT72*VLOOKUP('Données projet'!$B$10,Paramètres!$A$1:$I$89,3,0)*0.475*44/12</f>
        <v>0.38872915696555388</v>
      </c>
      <c r="AX72" s="21">
        <f t="shared" si="60"/>
        <v>54.356353582049024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12.905000000000006</v>
      </c>
      <c r="BD72" s="12">
        <f>IF('Données projet'!$A$88&gt;35,BD71+BC72-BL71,IF(A72&lt;'Données projet'!$A$88,$BA$205^A72,IF(A72='Données projet'!$A$88,'Données projet'!$B$88,BD71+BC72-BL71)))</f>
        <v>581.23499999999956</v>
      </c>
      <c r="BE72" s="13">
        <f>BD72*VLOOKUP('Données projet'!$B$11,Paramètres!$A$1:$I$89,3,0)*VLOOKUP('Données projet'!$B$11,Paramètres!$A$1:$I$89,5,0)</f>
        <v>347.57852999999977</v>
      </c>
      <c r="BF72" s="13">
        <f t="shared" si="91"/>
        <v>81.063704131490269</v>
      </c>
      <c r="BG72" s="20">
        <f t="shared" si="61"/>
        <v>746.55189111234506</v>
      </c>
      <c r="BH72" s="59">
        <f t="shared" si="62"/>
        <v>1012.4820514624116</v>
      </c>
      <c r="BI72" s="59">
        <f ca="1">AVERAGE(OFFSET($BH$3,0,0,'Données projet'!$E$11+1,1))-AVERAGE(OFFSET($H$3,0,0,'Données projet'!$E$11+1,1))</f>
        <v>460.88622650237176</v>
      </c>
      <c r="BJ72" s="59">
        <f t="shared" si="92"/>
        <v>396.05161661639647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58.933248380888884</v>
      </c>
      <c r="BQ72" s="21">
        <f>EXP(-LN(2)/25)*BQ71+(1-EXP(-LN(2)/25))/(LN(2)/25)*Calculateur!BL72*Calculateur!BN72*VLOOKUP('Données projet'!$B$11,Paramètres!$A$1:$I$89,3,0)*0.475*44/12</f>
        <v>21.581170243880269</v>
      </c>
      <c r="BR72" s="21">
        <f>EXP(-LN(2)/2)*BR71+(1-EXP(-LN(2)/2))/(LN(2)/2)*BL72*BO72*VLOOKUP('Données projet'!$B$11,Paramètres!$A$1:$I$89,3,0)*0.475*44/12</f>
        <v>2.8417938298799621</v>
      </c>
      <c r="BS72" s="22">
        <f t="shared" si="63"/>
        <v>83.356212454649111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16.649999999999995</v>
      </c>
      <c r="BY72" s="12">
        <f>IF('Données projet'!$A$114&gt;35,BY71+BX72-CG71,IF(A72&lt;'Données projet'!$A$114,$BV$205^A72,IF(A72='Données projet'!$A$114,'Données projet'!$B$114,BY71+BX72-CG71)))</f>
        <v>569.40999999999985</v>
      </c>
      <c r="BZ72" s="13">
        <f>BY72*VLOOKUP('Données projet'!$B$12,Paramètres!$A$1:$I$89,3,0)*VLOOKUP('Données projet'!$B$12,Paramètres!$A$1:$I$89,5,0)</f>
        <v>259.08154999999994</v>
      </c>
      <c r="CA72" s="13">
        <f t="shared" si="93"/>
        <v>62.526561228588683</v>
      </c>
      <c r="CB72" s="20">
        <f t="shared" si="64"/>
        <v>560.1341270564584</v>
      </c>
      <c r="CC72" s="59">
        <f t="shared" si="65"/>
        <v>826.06428740652495</v>
      </c>
      <c r="CD72" s="59">
        <f ca="1">AVERAGE(OFFSET($CC$3,0,0,'Données projet'!$E$12+1,1))-AVERAGE(OFFSET($H$3,0,0,'Données projet'!$E$12+1,1))</f>
        <v>341.60063595566282</v>
      </c>
      <c r="CE72" s="59">
        <f t="shared" si="94"/>
        <v>317.05609766344219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70.423911969705927</v>
      </c>
      <c r="CL72" s="21">
        <f>EXP(-LN(2)/25)*CL71+(1-EXP(-LN(2)/25))/(LN(2)/25)*Calculateur!CG72*Calculateur!CI72*VLOOKUP('Données projet'!$B$12,Paramètres!$A$1:$I$89,3,0)*0.475*44/12</f>
        <v>27.750396036915799</v>
      </c>
      <c r="CM72" s="21">
        <f>EXP(-LN(2)/2)*CM71+(1-EXP(-LN(2)/2))/(LN(2)/2)*CG72*CJ72*VLOOKUP('Données projet'!$B$12,Paramètres!$A$1:$I$89,3,0)*0.475*44/12</f>
        <v>0.94103678015595638</v>
      </c>
      <c r="CN72" s="22">
        <f t="shared" si="66"/>
        <v>99.115344786777683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2.947999999999996</v>
      </c>
      <c r="CT72" s="12">
        <f>IF('Données projet'!$A$140&gt;35,CT71+CS72-DB71,IF(A72&lt;'Données projet'!$A$140,$CQ$205^A72,IF(A72='Données projet'!$A$140,'Données projet'!$B$140,CT71+CS72-DB71)))</f>
        <v>142.56200000000001</v>
      </c>
      <c r="CU72" s="17">
        <f>CT72*VLOOKUP('Données projet'!$B$13,Paramètres!$A$1:$I$89,3,0)*VLOOKUP('Données projet'!$B$13,Paramètres!$A$1:$I$89,5,0)</f>
        <v>149.00580240000005</v>
      </c>
      <c r="CV72" s="13">
        <f t="shared" si="95"/>
        <v>38.352563278874108</v>
      </c>
      <c r="CW72" s="20">
        <f t="shared" si="67"/>
        <v>326.31582022403916</v>
      </c>
      <c r="CX72" s="59">
        <f t="shared" si="68"/>
        <v>592.24598057410572</v>
      </c>
      <c r="CY72" s="59">
        <f ca="1">AVERAGE(OFFSET($CX$3,0,0,'Données projet'!$E$13+1,1))-AVERAGE(OFFSET($H$3,0,0,'Données projet'!$E$13+1,1))</f>
        <v>287.73449456153207</v>
      </c>
      <c r="CZ72" s="59">
        <f t="shared" si="96"/>
        <v>296.74833899433281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16.610742292862547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16.610742292862547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7.3250000000000028</v>
      </c>
      <c r="DO72" s="12">
        <f>IF('Données projet'!$A$166&gt;35,DO71+DN72-DW71,IF(A72&lt;'Données projet'!$A$166,$DL$205^A72,IF(A72='Données projet'!$A$166,'Données projet'!$B$166,DO71+DN72-DW71)))</f>
        <v>185.66000000000003</v>
      </c>
      <c r="DP72" s="17">
        <f>DO72*VLOOKUP('Données projet'!$B$14,Paramètres!$A$1:$I$89,3,0)*VLOOKUP('Données projet'!$B$14,Paramètres!$A$1:$I$89,5,0)</f>
        <v>188.25924000000003</v>
      </c>
      <c r="DQ72" s="13">
        <f t="shared" si="97"/>
        <v>47.154889613336614</v>
      </c>
      <c r="DR72" s="20">
        <f t="shared" si="70"/>
        <v>410.01294240989472</v>
      </c>
      <c r="DS72" s="59">
        <f t="shared" si="71"/>
        <v>675.94310275996122</v>
      </c>
      <c r="DT72" s="59">
        <f ca="1">AVERAGE(OFFSET($DS$3,0,0,'Données projet'!$E$14+1,1))-AVERAGE(OFFSET($H$3,0,0,'Données projet'!$E$14+1,1))</f>
        <v>532.34688562681413</v>
      </c>
      <c r="DU72" s="59">
        <f t="shared" si="98"/>
        <v>345.42627129678556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26.174282575192485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26.174282575192485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-5.6843418860808015E-14</v>
      </c>
      <c r="EK72" s="17">
        <f>EJ72*VLOOKUP('Données projet'!$B$15,Paramètres!$A$1:$I$89,3,0)*VLOOKUP('Données projet'!$B$15,Paramètres!$A$1:$I$89,5,0)</f>
        <v>-5.1431925385259088E-14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256.20286603823035</v>
      </c>
      <c r="EP72" s="59">
        <f t="shared" si="100"/>
        <v>364.83827155069434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31.300091456854624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31.300091456854624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7.3250000000000028</v>
      </c>
      <c r="FE72" s="12">
        <f>IF('Données projet'!$A$218&gt;35,FE71+FD72-FM71,IF(A72&lt;'Données projet'!$A$218,$FB$205^A72,IF(A72='Données projet'!$A$218,'Données projet'!$B$218,FE71+FD72-FM71)))</f>
        <v>185.66000000000003</v>
      </c>
      <c r="FF72" s="17">
        <f>FE72*VLOOKUP('Données projet'!$B$16,Paramètres!$A$1:$I$89,3,0)*VLOOKUP('Données projet'!$B$16,Paramètres!$A$1:$I$89,5,0)</f>
        <v>124.54072800000002</v>
      </c>
      <c r="FG72" s="13">
        <f t="shared" si="101"/>
        <v>32.73174943562362</v>
      </c>
      <c r="FH72" s="20">
        <f t="shared" si="76"/>
        <v>273.91623153371114</v>
      </c>
      <c r="FI72" s="59">
        <f t="shared" si="77"/>
        <v>539.84639188377764</v>
      </c>
      <c r="FJ72" s="59">
        <f ca="1">AVERAGE(OFFSET($FI$3,0,0,'Données projet'!$E$16+1,1))-AVERAGE(OFFSET($H$3,0,0,'Données projet'!$E$16+1,1))</f>
        <v>380.73695370216979</v>
      </c>
      <c r="FK72" s="59">
        <f t="shared" si="102"/>
        <v>249.34467160415713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21.342107330541566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21.342107330541566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7.3250000000000028</v>
      </c>
      <c r="FZ72" s="12">
        <f>IF('Données projet'!$A$244&gt;35,FZ71+FY72-GH71,IF(A72&lt;'Données projet'!$A$244,$FW$205^A72,IF(A72='Données projet'!$A$244,'Données projet'!$B$244,FZ71+FY72-GH71)))</f>
        <v>185.66000000000003</v>
      </c>
      <c r="GA72" s="17">
        <f>FZ72*VLOOKUP('Données projet'!$B$17,Paramètres!$A$1:$I$89,3,0)*VLOOKUP('Données projet'!$B$17,Paramètres!$A$1:$I$89,5,0)</f>
        <v>179.57035200000004</v>
      </c>
      <c r="GB72" s="13">
        <f t="shared" si="103"/>
        <v>45.226584111403284</v>
      </c>
      <c r="GC72" s="20">
        <f t="shared" si="79"/>
        <v>391.52133039402747</v>
      </c>
      <c r="GD72" s="59">
        <f t="shared" si="80"/>
        <v>657.45149074409403</v>
      </c>
      <c r="GE72" s="59">
        <f ca="1">AVERAGE(OFFSET($GD$3,0,0,'Données projet'!$E$17+1,1))-AVERAGE(OFFSET($H$3,0,0,'Données projet'!$E$17+1,1))</f>
        <v>511.7458522930001</v>
      </c>
      <c r="GF72" s="59">
        <f t="shared" si="104"/>
        <v>332.37317679966122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24.96623876402975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24.96623876402975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3.8</v>
      </c>
      <c r="GU72" s="12">
        <f>IF('Données projet'!$A$270&gt;35,GU71+GT72-HC71,IF(A72&lt;'Données projet'!$A$270,$GR$205^A72,IF(A72='Données projet'!$A$270,'Données projet'!$B$270,GU71+GT72-HC71)))</f>
        <v>259.19999999999987</v>
      </c>
      <c r="GV72" s="17">
        <f>GU72*VLOOKUP('Données projet'!$B$18,Paramètres!$A$1:$I$89,3,0)*VLOOKUP('Données projet'!$B$18,Paramètres!$A$1:$I$89,5,0)</f>
        <v>226.43711999999991</v>
      </c>
      <c r="GW72" s="13">
        <f t="shared" si="105"/>
        <v>55.5116049933753</v>
      </c>
      <c r="GX72" s="20">
        <f t="shared" si="82"/>
        <v>491.06069603012844</v>
      </c>
      <c r="GY72" s="59">
        <f t="shared" si="83"/>
        <v>756.99085638019505</v>
      </c>
      <c r="GZ72" s="59">
        <f ca="1">AVERAGE(OFFSET($GY$3,0,0,'Données projet'!$E$18+1,1))-AVERAGE(OFFSET($H$3,0,0,'Données projet'!$E$18+1,1))</f>
        <v>348.77506423101278</v>
      </c>
      <c r="HA72" s="59">
        <f t="shared" si="106"/>
        <v>336.13747591329548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19.338961516546821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19.338961516546821</v>
      </c>
    </row>
    <row r="73" spans="1:218" x14ac:dyDescent="0.2">
      <c r="A73" s="10">
        <f t="shared" si="85"/>
        <v>70</v>
      </c>
      <c r="B73" s="71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5">
        <f t="shared" si="56"/>
        <v>183.33333333333334</v>
      </c>
      <c r="I73" s="6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16.050000000000004</v>
      </c>
      <c r="N73" s="13">
        <f>IF('Données projet'!$A$36&gt;35,N72+M73-V72,IF(A73&lt;'Données projet'!$A$36,$K$205^A73,IF(A73='Données projet'!$A$36,'Données projet'!$B$36,N72+M73-V72)))</f>
        <v>449.7399999999999</v>
      </c>
      <c r="O73" s="13">
        <f>N73*VLOOKUP('Données projet'!$B$9,Paramètres!$A$1:$I$89,3,0)*VLOOKUP('Données projet'!$B$9,Paramètres!$A$1:$I$89,5,0)</f>
        <v>210.47831999999997</v>
      </c>
      <c r="P73" s="13">
        <f t="shared" si="87"/>
        <v>52.040096808248755</v>
      </c>
      <c r="Q73" s="20">
        <f t="shared" si="54"/>
        <v>457.21957594103316</v>
      </c>
      <c r="R73" s="59">
        <f t="shared" si="55"/>
        <v>723.62512007804264</v>
      </c>
      <c r="S73" s="59">
        <f ca="1">AVERAGE(OFFSET($R$3,0,0,'Données projet'!$E$9+1,1))-AVERAGE(OFFSET($H$3,0,0,'Données projet'!$E$9+1,1))</f>
        <v>387.50901594883317</v>
      </c>
      <c r="T73" s="59">
        <f t="shared" si="88"/>
        <v>361.3623790401972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44.136329657208528</v>
      </c>
      <c r="AA73" s="21">
        <f>EXP(-LN(2)/25)*AA72+(1-EXP(-LN(2)/25))/(LN(2)/25)*Calculateur!V73*Calculateur!X73*VLOOKUP('Données projet'!$B$9,Paramètres!$A$1:$I$89,3,0)*0.475*44/12</f>
        <v>27.604256268083784</v>
      </c>
      <c r="AB73" s="21">
        <f>EXP(-LN(2)/2)*AB72+(1-EXP(-LN(2)/2))/(LN(2)/2)*V73*Y73*VLOOKUP('Données projet'!$B$9,Paramètres!$A$1:$I$89,3,0)*0.475*44/12</f>
        <v>0.7505066930648584</v>
      </c>
      <c r="AC73" s="22">
        <f t="shared" si="57"/>
        <v>72.491092618357172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490.06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490.06000000000012</v>
      </c>
      <c r="AJ73" s="13">
        <f>AI73*VLOOKUP('Données projet'!$B$10,Paramètres!$A$1:$I$89,3,0)*VLOOKUP('Données projet'!$B$10,Paramètres!$A$1:$I$89,5,0)</f>
        <v>293.05588000000012</v>
      </c>
      <c r="AK73" s="13">
        <f t="shared" si="89"/>
        <v>69.718730961493122</v>
      </c>
      <c r="AL73" s="20">
        <f t="shared" si="58"/>
        <v>631.83244742460067</v>
      </c>
      <c r="AM73" s="59">
        <f t="shared" si="59"/>
        <v>898.23799156161022</v>
      </c>
      <c r="AN73" s="59">
        <f ca="1">AVERAGE(OFFSET($AM$3,0,0,'Données projet'!$E$10+1,1))-AVERAGE(OFFSET($H$3,0,0,'Données projet'!$E$10+1,1))</f>
        <v>373.47758082856359</v>
      </c>
      <c r="AO73" s="59">
        <f t="shared" si="90"/>
        <v>277.24895424120166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7.6500000000000012E-2</v>
      </c>
      <c r="AT73" s="16">
        <f>IF(ISNA(VLOOKUP(A73,'Données projet'!$A$61:$I$81,7,0)),0%,VLOOKUP(A73,'Données projet'!$A$61:$I$81,7,0))</f>
        <v>0.13</v>
      </c>
      <c r="AU73" s="21">
        <f>EXP(-LN(2)/35)*AU72+(1-EXP(-LN(2)/35))/(LN(2)/35)*AQ73*AR73*VLOOKUP('Données projet'!$B$10,Paramètres!$A$1:$I$89,3,0)*0.475*44/12</f>
        <v>53.237928065085384</v>
      </c>
      <c r="AV73" s="21">
        <f>EXP(-LN(2)/25)*AV72+(1-EXP(-LN(2)/25))/(LN(2)/25)*Calculateur!AQ73*Calculateur!AS73*VLOOKUP('Données projet'!$B$10,Paramètres!$A$1:$I$89,3,0)*0.475*44/12</f>
        <v>20.605538089961943</v>
      </c>
      <c r="AW73" s="21">
        <f>EXP(-LN(2)/2)*AW72+(1-EXP(-LN(2)/2))/(LN(2)/2)*AQ73*AT73*VLOOKUP('Données projet'!$B$10,Paramètres!$A$1:$I$89,3,0)*0.475*44/12</f>
        <v>6.2496528933382143</v>
      </c>
      <c r="AX73" s="21">
        <f t="shared" si="60"/>
        <v>80.093119048385532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12.905000000000006</v>
      </c>
      <c r="BD73" s="12">
        <f>IF('Données projet'!$A$88&gt;35,BD72+BC73-BL72,IF(A73&lt;'Données projet'!$A$88,$BA$205^A73,IF(A73='Données projet'!$A$88,'Données projet'!$B$88,BD72+BC73-BL72)))</f>
        <v>594.13999999999953</v>
      </c>
      <c r="BE73" s="13">
        <f>BD73*VLOOKUP('Données projet'!$B$11,Paramètres!$A$1:$I$89,3,0)*VLOOKUP('Données projet'!$B$11,Paramètres!$A$1:$I$89,5,0)</f>
        <v>355.29571999999979</v>
      </c>
      <c r="BF73" s="13">
        <f t="shared" si="91"/>
        <v>82.652000101150165</v>
      </c>
      <c r="BG73" s="20">
        <f t="shared" si="61"/>
        <v>762.75894584283617</v>
      </c>
      <c r="BH73" s="59">
        <f t="shared" si="62"/>
        <v>1029.1644899798457</v>
      </c>
      <c r="BI73" s="59">
        <f ca="1">AVERAGE(OFFSET($BH$3,0,0,'Données projet'!$E$11+1,1))-AVERAGE(OFFSET($H$3,0,0,'Données projet'!$E$11+1,1))</f>
        <v>460.88622650237176</v>
      </c>
      <c r="BJ73" s="59">
        <f t="shared" si="92"/>
        <v>396.05161661639647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57.777603325871816</v>
      </c>
      <c r="BQ73" s="21">
        <f>EXP(-LN(2)/25)*BQ72+(1-EXP(-LN(2)/25))/(LN(2)/25)*Calculateur!BL73*Calculateur!BN73*VLOOKUP('Données projet'!$B$11,Paramètres!$A$1:$I$89,3,0)*0.475*44/12</f>
        <v>20.991032008656944</v>
      </c>
      <c r="BR73" s="21">
        <f>EXP(-LN(2)/2)*BR72+(1-EXP(-LN(2)/2))/(LN(2)/2)*BL73*BO73*VLOOKUP('Données projet'!$B$11,Paramètres!$A$1:$I$89,3,0)*0.475*44/12</f>
        <v>2.0094516878422115</v>
      </c>
      <c r="BS73" s="22">
        <f t="shared" si="63"/>
        <v>80.778087022370983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586.05999999999995</v>
      </c>
      <c r="BW73" s="12">
        <f>VLOOKUP(A73,'Données projet'!$A$113:$I$133,9,0)</f>
        <v>16.649999999999995</v>
      </c>
      <c r="BX73" s="12">
        <f t="array" ref="BX73">INDEX(BW:BW,MIN(IF(ISNUMBER(BW73:BW269),ROW(BW73:BW269),"")))</f>
        <v>16.649999999999995</v>
      </c>
      <c r="BY73" s="12">
        <f>IF('Données projet'!$A$114&gt;35,BY72+BX73-CG72,IF(A73&lt;'Données projet'!$A$114,$BV$205^A73,IF(A73='Données projet'!$A$114,'Données projet'!$B$114,BY72+BX73-CG72)))</f>
        <v>586.05999999999983</v>
      </c>
      <c r="BZ73" s="13">
        <f>BY73*VLOOKUP('Données projet'!$B$12,Paramètres!$A$1:$I$89,3,0)*VLOOKUP('Données projet'!$B$12,Paramètres!$A$1:$I$89,5,0)</f>
        <v>266.65729999999991</v>
      </c>
      <c r="CA73" s="13">
        <f t="shared" si="93"/>
        <v>64.139350460083506</v>
      </c>
      <c r="CB73" s="20">
        <f t="shared" si="64"/>
        <v>576.13749955131186</v>
      </c>
      <c r="CC73" s="59">
        <f t="shared" si="65"/>
        <v>842.5430436883214</v>
      </c>
      <c r="CD73" s="59">
        <f ca="1">AVERAGE(OFFSET($CC$3,0,0,'Données projet'!$E$12+1,1))-AVERAGE(OFFSET($H$3,0,0,'Données projet'!$E$12+1,1))</f>
        <v>341.60063595566282</v>
      </c>
      <c r="CE73" s="59">
        <f t="shared" si="94"/>
        <v>317.05609766344219</v>
      </c>
      <c r="CF73" s="15">
        <f>IF(ISNA(VLOOKUP(A73,'Données projet'!$A$113:$I$133,3,0)),0,VLOOKUP(A73,'Données projet'!$A$113:$I$133,3,0))</f>
        <v>9</v>
      </c>
      <c r="CG73" s="15">
        <f>IF(ISNA(VLOOKUP(A73,'Données projet'!$A$113:$I$133,4,0)),0,VLOOKUP(A73,'Données projet'!$A$113:$I$133,4,0))</f>
        <v>586.05999999999995</v>
      </c>
      <c r="CH73" s="16">
        <f>IF(ISNA(VLOOKUP(A73,'Données projet'!$A$113:$I$133,5,0)),0%,VLOOKUP(A73,'Données projet'!$A$113:$I$133,5,0)*VLOOKUP('Données projet'!$B$12,Paramètres!$A$1:$I$89,7,0))</f>
        <v>0.44000000000000006</v>
      </c>
      <c r="CI73" s="16">
        <f>IF(ISNA(VLOOKUP(A73,'Données projet'!$A$113:$I$133,6,0)),0%,VLOOKUP(A73,'Données projet'!$A$113:$I$133,6,0)*VLOOKUP('Données projet'!$B$12,Paramètres!$A$1:$I$89,7,0))</f>
        <v>6.0500000000000005E-2</v>
      </c>
      <c r="CJ73" s="16">
        <f>IF(ISNA(VLOOKUP(A73,'Données projet'!$A$113:$I$133,7,0)),0%,VLOOKUP(A73,'Données projet'!$A$113:$I$133,7,0))</f>
        <v>0.09</v>
      </c>
      <c r="CK73" s="21">
        <f>EXP(-LN(2)/35)*CK72+(1-EXP(-LN(2)/35))/(LN(2)/35)*CG73*CH73*VLOOKUP('Données projet'!$B$12,Paramètres!$A$1:$I$89,3,0)*0.475*44/12</f>
        <v>224.68770423425528</v>
      </c>
      <c r="CL73" s="21">
        <f>EXP(-LN(2)/25)*CL72+(1-EXP(-LN(2)/25))/(LN(2)/25)*Calculateur!CG73*Calculateur!CI73*VLOOKUP('Données projet'!$B$12,Paramètres!$A$1:$I$89,3,0)*0.475*44/12</f>
        <v>48.308450302797169</v>
      </c>
      <c r="CM73" s="21">
        <f>EXP(-LN(2)/2)*CM72+(1-EXP(-LN(2)/2))/(LN(2)/2)*CG73*CJ73*VLOOKUP('Données projet'!$B$12,Paramètres!$A$1:$I$89,3,0)*0.475*44/12</f>
        <v>27.838034157402593</v>
      </c>
      <c r="CN73" s="22">
        <f t="shared" si="66"/>
        <v>300.83418869445507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145.51</v>
      </c>
      <c r="CR73" s="12">
        <f>VLOOKUP(A73,'Données projet'!$A$139:$I$159,9,0)</f>
        <v>2.947999999999996</v>
      </c>
      <c r="CS73" s="12">
        <f t="array" ref="CS73">INDEX(CR:CR,MIN(IF(ISNUMBER(CR73:CR269),ROW(CR73:CR269),"")))</f>
        <v>2.947999999999996</v>
      </c>
      <c r="CT73" s="12">
        <f>IF('Données projet'!$A$140&gt;35,CT72+CS73-DB72,IF(A73&lt;'Données projet'!$A$140,$CQ$205^A73,IF(A73='Données projet'!$A$140,'Données projet'!$B$140,CT72+CS73-DB72)))</f>
        <v>145.51000000000002</v>
      </c>
      <c r="CU73" s="17">
        <f>CT73*VLOOKUP('Données projet'!$B$13,Paramètres!$A$1:$I$89,3,0)*VLOOKUP('Données projet'!$B$13,Paramètres!$A$1:$I$89,5,0)</f>
        <v>152.08705200000003</v>
      </c>
      <c r="CV73" s="13">
        <f t="shared" si="95"/>
        <v>39.052493582263885</v>
      </c>
      <c r="CW73" s="20">
        <f t="shared" si="67"/>
        <v>332.90137522244294</v>
      </c>
      <c r="CX73" s="59">
        <f t="shared" si="68"/>
        <v>599.30691935945242</v>
      </c>
      <c r="CY73" s="59">
        <f ca="1">AVERAGE(OFFSET($CX$3,0,0,'Données projet'!$E$13+1,1))-AVERAGE(OFFSET($H$3,0,0,'Données projet'!$E$13+1,1))</f>
        <v>287.73449456153207</v>
      </c>
      <c r="CZ73" s="59">
        <f t="shared" si="96"/>
        <v>296.74833899433281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10.9</v>
      </c>
      <c r="DC73" s="16">
        <f>IF(ISNA(VLOOKUP(A73,'Données projet'!$A$139:$I$159,5,0)),0%,VLOOKUP(A73,'Données projet'!$A$139:$I$159,5,0)*VLOOKUP('Données projet'!$B$13,Paramètres!$A$1:$I$89,7,0))</f>
        <v>0.25800000000000001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19.534337501194244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19.534337501194244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7.3250000000000028</v>
      </c>
      <c r="DO73" s="12">
        <f>IF('Données projet'!$A$166&gt;35,DO72+DN73-DW72,IF(A73&lt;'Données projet'!$A$166,$DL$205^A73,IF(A73='Données projet'!$A$166,'Données projet'!$B$166,DO72+DN73-DW72)))</f>
        <v>192.98500000000001</v>
      </c>
      <c r="DP73" s="17">
        <f>DO73*VLOOKUP('Données projet'!$B$14,Paramètres!$A$1:$I$89,3,0)*VLOOKUP('Données projet'!$B$14,Paramètres!$A$1:$I$89,5,0)</f>
        <v>195.68679000000003</v>
      </c>
      <c r="DQ73" s="13">
        <f t="shared" si="97"/>
        <v>48.79505528897846</v>
      </c>
      <c r="DR73" s="20">
        <f t="shared" si="70"/>
        <v>425.80588054497088</v>
      </c>
      <c r="DS73" s="59">
        <f t="shared" si="71"/>
        <v>692.21142468198036</v>
      </c>
      <c r="DT73" s="59">
        <f ca="1">AVERAGE(OFFSET($DS$3,0,0,'Données projet'!$E$14+1,1))-AVERAGE(OFFSET($H$3,0,0,'Données projet'!$E$14+1,1))</f>
        <v>532.34688562681413</v>
      </c>
      <c r="DU73" s="59">
        <f t="shared" si="98"/>
        <v>345.42627129678556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25.661020858628945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25.661020858628945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-5.6843418860808015E-14</v>
      </c>
      <c r="EK73" s="17">
        <f>EJ73*VLOOKUP('Données projet'!$B$15,Paramètres!$A$1:$I$89,3,0)*VLOOKUP('Données projet'!$B$15,Paramètres!$A$1:$I$89,5,0)</f>
        <v>-5.1431925385259088E-14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256.20286603823035</v>
      </c>
      <c r="EP73" s="59">
        <f t="shared" si="100"/>
        <v>364.83827155069434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30.686315754556396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30.686315754556396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7.3250000000000028</v>
      </c>
      <c r="FE73" s="12">
        <f>IF('Données projet'!$A$218&gt;35,FE72+FD73-FM72,IF(A73&lt;'Données projet'!$A$218,$FB$205^A73,IF(A73='Données projet'!$A$218,'Données projet'!$B$218,FE72+FD73-FM72)))</f>
        <v>192.98500000000001</v>
      </c>
      <c r="FF73" s="17">
        <f>FE73*VLOOKUP('Données projet'!$B$16,Paramètres!$A$1:$I$89,3,0)*VLOOKUP('Données projet'!$B$16,Paramètres!$A$1:$I$89,5,0)</f>
        <v>129.45433800000001</v>
      </c>
      <c r="FG73" s="13">
        <f t="shared" si="101"/>
        <v>33.870242015464918</v>
      </c>
      <c r="FH73" s="20">
        <f t="shared" si="76"/>
        <v>284.45697686026807</v>
      </c>
      <c r="FI73" s="59">
        <f t="shared" si="77"/>
        <v>550.86252099727756</v>
      </c>
      <c r="FJ73" s="59">
        <f ca="1">AVERAGE(OFFSET($FI$3,0,0,'Données projet'!$E$16+1,1))-AVERAGE(OFFSET($H$3,0,0,'Données projet'!$E$16+1,1))</f>
        <v>380.73695370216979</v>
      </c>
      <c r="FK73" s="59">
        <f t="shared" si="102"/>
        <v>249.34467160415713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20.923601623189757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20.923601623189757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7.3250000000000028</v>
      </c>
      <c r="FZ73" s="12">
        <f>IF('Données projet'!$A$244&gt;35,FZ72+FY73-GH72,IF(A73&lt;'Données projet'!$A$244,$FW$205^A73,IF(A73='Données projet'!$A$244,'Données projet'!$B$244,FZ72+FY73-GH72)))</f>
        <v>192.98500000000001</v>
      </c>
      <c r="GA73" s="17">
        <f>FZ73*VLOOKUP('Données projet'!$B$17,Paramètres!$A$1:$I$89,3,0)*VLOOKUP('Données projet'!$B$17,Paramètres!$A$1:$I$89,5,0)</f>
        <v>186.655092</v>
      </c>
      <c r="GB73" s="13">
        <f t="shared" si="103"/>
        <v>46.799678471167674</v>
      </c>
      <c r="GC73" s="20">
        <f t="shared" si="79"/>
        <v>406.60039190395037</v>
      </c>
      <c r="GD73" s="59">
        <f t="shared" si="80"/>
        <v>673.0059360409598</v>
      </c>
      <c r="GE73" s="59">
        <f ca="1">AVERAGE(OFFSET($GD$3,0,0,'Données projet'!$E$17+1,1))-AVERAGE(OFFSET($H$3,0,0,'Données projet'!$E$17+1,1))</f>
        <v>511.7458522930001</v>
      </c>
      <c r="GF73" s="59">
        <f t="shared" si="104"/>
        <v>332.37317679966122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24.476666049769143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24.476666049769143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263</v>
      </c>
      <c r="GS73" s="12">
        <f>VLOOKUP(A73,'Données projet'!$A$269:$I$289,9,0)</f>
        <v>3.8</v>
      </c>
      <c r="GT73" s="12">
        <f t="array" ref="GT73">INDEX(GS:GS,MIN(IF(ISNUMBER(GS73:GS269),ROW(GS73:GS269),"")))</f>
        <v>3.8</v>
      </c>
      <c r="GU73" s="12">
        <f>IF('Données projet'!$A$270&gt;35,GU72+GT73-HC72,IF(A73&lt;'Données projet'!$A$270,$GR$205^A73,IF(A73='Données projet'!$A$270,'Données projet'!$B$270,GU72+GT73-HC72)))</f>
        <v>262.99999999999989</v>
      </c>
      <c r="GV73" s="17">
        <f>GU73*VLOOKUP('Données projet'!$B$18,Paramètres!$A$1:$I$89,3,0)*VLOOKUP('Données projet'!$B$18,Paramètres!$A$1:$I$89,5,0)</f>
        <v>229.75679999999991</v>
      </c>
      <c r="GW73" s="13">
        <f t="shared" si="105"/>
        <v>56.23009276772752</v>
      </c>
      <c r="GX73" s="20">
        <f t="shared" si="82"/>
        <v>498.09383823712528</v>
      </c>
      <c r="GY73" s="59">
        <f t="shared" si="83"/>
        <v>764.49938237413471</v>
      </c>
      <c r="GZ73" s="59">
        <f ca="1">AVERAGE(OFFSET($GY$3,0,0,'Données projet'!$E$18+1,1))-AVERAGE(OFFSET($H$3,0,0,'Données projet'!$E$18+1,1))</f>
        <v>348.77506423101278</v>
      </c>
      <c r="HA73" s="59">
        <f t="shared" si="106"/>
        <v>336.13747591329548</v>
      </c>
      <c r="HB73" s="15">
        <f>IF(ISNA(VLOOKUP(A73,'Données projet'!$A$269:$I$289,3,0)),0,VLOOKUP(A73,'Données projet'!$A$269:$I$289,3,0))</f>
        <v>12</v>
      </c>
      <c r="HC73" s="15">
        <f>IF(ISNA(VLOOKUP(A73,'Données projet'!$A$269:$I$289,4,0)),0,VLOOKUP(A73,'Données projet'!$A$269:$I$289,4,0))</f>
        <v>10</v>
      </c>
      <c r="HD73" s="16">
        <f>IF(ISNA(VLOOKUP(A73,'Données projet'!$A$269:$I$289,5,0)),0%,VLOOKUP(A73,'Données projet'!$A$269:$I$289,5,0)*VLOOKUP('Données projet'!$B$18,Paramètres!$A$1:$I$89,7,0))</f>
        <v>0.318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22.030786053729898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22.030786053729898</v>
      </c>
    </row>
    <row r="74" spans="1:218" x14ac:dyDescent="0.2">
      <c r="A74" s="10">
        <f t="shared" si="85"/>
        <v>71</v>
      </c>
      <c r="B74" s="71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5">
        <f t="shared" si="56"/>
        <v>183.33333333333334</v>
      </c>
      <c r="I74" s="6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465.79</v>
      </c>
      <c r="L74" s="12">
        <f>VLOOKUP(A74,'Données projet'!$A$35:$I$55,9,0)</f>
        <v>16.050000000000004</v>
      </c>
      <c r="M74" s="12">
        <f t="array" ref="M74">INDEX(L:L,MIN(IF(ISNUMBER(L74:L270),ROW(L74:L270),"")))</f>
        <v>16.050000000000004</v>
      </c>
      <c r="N74" s="13">
        <f>IF('Données projet'!$A$36&gt;35,N73+M74-V73,IF(A74&lt;'Données projet'!$A$36,$K$205^A74,IF(A74='Données projet'!$A$36,'Données projet'!$B$36,N73+M74-V73)))</f>
        <v>465.78999999999991</v>
      </c>
      <c r="O74" s="13">
        <f>N74*VLOOKUP('Données projet'!$B$9,Paramètres!$A$1:$I$89,3,0)*VLOOKUP('Données projet'!$B$9,Paramètres!$A$1:$I$89,5,0)</f>
        <v>217.98971999999995</v>
      </c>
      <c r="P74" s="13">
        <f t="shared" si="87"/>
        <v>53.677728140063088</v>
      </c>
      <c r="Q74" s="20">
        <f t="shared" si="54"/>
        <v>473.15413884394314</v>
      </c>
      <c r="R74" s="59">
        <f t="shared" si="55"/>
        <v>740.02681992199109</v>
      </c>
      <c r="S74" s="59">
        <f ca="1">AVERAGE(OFFSET($R$3,0,0,'Données projet'!$E$9+1,1))-AVERAGE(OFFSET($H$3,0,0,'Données projet'!$E$9+1,1))</f>
        <v>387.50901594883317</v>
      </c>
      <c r="T74" s="59">
        <f t="shared" si="88"/>
        <v>361.3623790401972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90.8</v>
      </c>
      <c r="W74" s="16">
        <f>IF(ISNA(VLOOKUP(A74,'Données projet'!$A$35:$I$55,5,0)),0%,VLOOKUP(A74,'Données projet'!$A$35:$I$55,5,0)*VLOOKUP('Données projet'!$B$9,Paramètres!$A$1:$I$89,7,0))</f>
        <v>0.38500000000000001</v>
      </c>
      <c r="X74" s="16">
        <f>IF(ISNA(VLOOKUP(A74,'Données projet'!$A$35:$I$55,6,0)),0%,VLOOKUP(A74,'Données projet'!$A$35:$I$55,6,0)*VLOOKUP('Données projet'!$B$9,Paramètres!$A$1:$I$89,7,0))</f>
        <v>9.3500000000000014E-2</v>
      </c>
      <c r="Y74" s="16">
        <f>IF(ISNA(VLOOKUP(A74,'Données projet'!$A$35:$I$55,7,0)),0%,VLOOKUP(A74,'Données projet'!$A$35:$I$55,7,0))</f>
        <v>0.13</v>
      </c>
      <c r="Z74" s="21">
        <f>EXP(-LN(2)/35)*Z73+(1-EXP(-LN(2)/35))/(LN(2)/35)*V74*W74*VLOOKUP('Données projet'!$B$9,Paramètres!$A$1:$I$89,3,0)*0.475*44/12</f>
        <v>64.973893982297128</v>
      </c>
      <c r="AA74" s="21">
        <f>EXP(-LN(2)/25)*AA73+(1-EXP(-LN(2)/25))/(LN(2)/25)*Calculateur!V74*Calculateur!X74*VLOOKUP('Données projet'!$B$9,Paramètres!$A$1:$I$89,3,0)*0.475*44/12</f>
        <v>32.099404429147626</v>
      </c>
      <c r="AB74" s="21">
        <f>EXP(-LN(2)/2)*AB73+(1-EXP(-LN(2)/2))/(LN(2)/2)*V74*Y74*VLOOKUP('Données projet'!$B$9,Paramètres!$A$1:$I$89,3,0)*0.475*44/12</f>
        <v>6.785447550713176</v>
      </c>
      <c r="AC74" s="22">
        <f t="shared" si="57"/>
        <v>103.85874596215793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9.782</v>
      </c>
      <c r="AI74" s="13">
        <f>IF('Données projet'!$A$62&gt;35,AI73+AH74-AQ73,IF(A74&lt;'Données projet'!$A$62,$AF$205^A74,IF(A74='Données projet'!$A$62,'Données projet'!$B$62,AI73+AH74-AQ73)))</f>
        <v>431.9620000000001</v>
      </c>
      <c r="AJ74" s="13">
        <f>AI74*VLOOKUP('Données projet'!$B$10,Paramètres!$A$1:$I$89,3,0)*VLOOKUP('Données projet'!$B$10,Paramètres!$A$1:$I$89,5,0)</f>
        <v>258.31327600000009</v>
      </c>
      <c r="AK74" s="13">
        <f t="shared" si="89"/>
        <v>62.362700481716175</v>
      </c>
      <c r="AL74" s="20">
        <f t="shared" si="58"/>
        <v>558.51065903898916</v>
      </c>
      <c r="AM74" s="59">
        <f t="shared" si="59"/>
        <v>825.38334011703705</v>
      </c>
      <c r="AN74" s="59">
        <f ca="1">AVERAGE(OFFSET($AM$3,0,0,'Données projet'!$E$10+1,1))-AVERAGE(OFFSET($H$3,0,0,'Données projet'!$E$10+1,1))</f>
        <v>373.47758082856359</v>
      </c>
      <c r="AO74" s="59">
        <f t="shared" si="90"/>
        <v>277.24895424120166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52.193964767658841</v>
      </c>
      <c r="AV74" s="21">
        <f>EXP(-LN(2)/25)*AV73+(1-EXP(-LN(2)/25))/(LN(2)/25)*Calculateur!AQ74*Calculateur!AS74*VLOOKUP('Données projet'!$B$10,Paramètres!$A$1:$I$89,3,0)*0.475*44/12</f>
        <v>20.042078567293782</v>
      </c>
      <c r="AW74" s="21">
        <f>EXP(-LN(2)/2)*AW73+(1-EXP(-LN(2)/2))/(LN(2)/2)*AQ74*AT74*VLOOKUP('Données projet'!$B$10,Paramètres!$A$1:$I$89,3,0)*0.475*44/12</f>
        <v>4.4191719409415784</v>
      </c>
      <c r="AX74" s="21">
        <f t="shared" si="60"/>
        <v>76.655215275894207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12.905000000000006</v>
      </c>
      <c r="BD74" s="12">
        <f>IF('Données projet'!$A$88&gt;35,BD73+BC74-BL73,IF(A74&lt;'Données projet'!$A$88,$BA$205^A74,IF(A74='Données projet'!$A$88,'Données projet'!$B$88,BD73+BC74-BL73)))</f>
        <v>607.0449999999995</v>
      </c>
      <c r="BE74" s="13">
        <f>BD74*VLOOKUP('Données projet'!$B$11,Paramètres!$A$1:$I$89,3,0)*VLOOKUP('Données projet'!$B$11,Paramètres!$A$1:$I$89,5,0)</f>
        <v>363.01290999999975</v>
      </c>
      <c r="BF74" s="13">
        <f t="shared" si="91"/>
        <v>84.236285180015841</v>
      </c>
      <c r="BG74" s="20">
        <f t="shared" si="61"/>
        <v>778.95901493852716</v>
      </c>
      <c r="BH74" s="59">
        <f t="shared" si="62"/>
        <v>1045.8316960165751</v>
      </c>
      <c r="BI74" s="59">
        <f ca="1">AVERAGE(OFFSET($BH$3,0,0,'Données projet'!$E$11+1,1))-AVERAGE(OFFSET($H$3,0,0,'Données projet'!$E$11+1,1))</f>
        <v>460.88622650237176</v>
      </c>
      <c r="BJ74" s="59">
        <f t="shared" si="92"/>
        <v>396.05161661639647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56.644619765509752</v>
      </c>
      <c r="BQ74" s="21">
        <f>EXP(-LN(2)/25)*BQ73+(1-EXP(-LN(2)/25))/(LN(2)/25)*Calculateur!BL74*Calculateur!BN74*VLOOKUP('Données projet'!$B$11,Paramètres!$A$1:$I$89,3,0)*0.475*44/12</f>
        <v>20.417031134509823</v>
      </c>
      <c r="BR74" s="21">
        <f>EXP(-LN(2)/2)*BR73+(1-EXP(-LN(2)/2))/(LN(2)/2)*BL74*BO74*VLOOKUP('Données projet'!$B$11,Paramètres!$A$1:$I$89,3,0)*0.475*44/12</f>
        <v>1.4208969149399813</v>
      </c>
      <c r="BS74" s="22">
        <f t="shared" si="63"/>
        <v>78.48254781495956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-1.1368683772161603E-13</v>
      </c>
      <c r="BZ74" s="13">
        <f>BY74*VLOOKUP('Données projet'!$B$12,Paramètres!$A$1:$I$89,3,0)*VLOOKUP('Données projet'!$B$12,Paramètres!$A$1:$I$89,5,0)</f>
        <v>-5.1727511163335289E-14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341.60063595566282</v>
      </c>
      <c r="CE74" s="59">
        <f t="shared" si="94"/>
        <v>317.05609766344219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220.28171540018894</v>
      </c>
      <c r="CL74" s="21">
        <f>EXP(-LN(2)/25)*CL73+(1-EXP(-LN(2)/25))/(LN(2)/25)*Calculateur!CG74*Calculateur!CI74*VLOOKUP('Données projet'!$B$12,Paramètres!$A$1:$I$89,3,0)*0.475*44/12</f>
        <v>46.987453188836191</v>
      </c>
      <c r="CM74" s="21">
        <f>EXP(-LN(2)/2)*CM73+(1-EXP(-LN(2)/2))/(LN(2)/2)*CG74*CJ74*VLOOKUP('Données projet'!$B$12,Paramètres!$A$1:$I$89,3,0)*0.475*44/12</f>
        <v>19.684462727602114</v>
      </c>
      <c r="CN74" s="22">
        <f t="shared" si="66"/>
        <v>286.95363131662725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2.5660000000000025</v>
      </c>
      <c r="CT74" s="12">
        <f>IF('Données projet'!$A$140&gt;35,CT73+CS74-DB73,IF(A74&lt;'Données projet'!$A$140,$CQ$205^A74,IF(A74='Données projet'!$A$140,'Données projet'!$B$140,CT73+CS74-DB73)))</f>
        <v>137.17600000000002</v>
      </c>
      <c r="CU74" s="17">
        <f>CT74*VLOOKUP('Données projet'!$B$13,Paramètres!$A$1:$I$89,3,0)*VLOOKUP('Données projet'!$B$13,Paramètres!$A$1:$I$89,5,0)</f>
        <v>143.37635520000003</v>
      </c>
      <c r="CV74" s="13">
        <f t="shared" si="95"/>
        <v>37.069405030254224</v>
      </c>
      <c r="CW74" s="20">
        <f t="shared" si="67"/>
        <v>314.27636573435944</v>
      </c>
      <c r="CX74" s="59">
        <f t="shared" si="68"/>
        <v>581.14904681240739</v>
      </c>
      <c r="CY74" s="59">
        <f ca="1">AVERAGE(OFFSET($CX$3,0,0,'Données projet'!$E$13+1,1))-AVERAGE(OFFSET($H$3,0,0,'Données projet'!$E$13+1,1))</f>
        <v>287.73449456153207</v>
      </c>
      <c r="CZ74" s="59">
        <f t="shared" si="96"/>
        <v>296.74833899433281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19.151281057565214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19.151281057565214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7.3250000000000028</v>
      </c>
      <c r="DO74" s="12">
        <f>IF('Données projet'!$A$166&gt;35,DO73+DN74-DW73,IF(A74&lt;'Données projet'!$A$166,$DL$205^A74,IF(A74='Données projet'!$A$166,'Données projet'!$B$166,DO73+DN74-DW73)))</f>
        <v>200.31</v>
      </c>
      <c r="DP74" s="17">
        <f>DO74*VLOOKUP('Données projet'!$B$14,Paramètres!$A$1:$I$89,3,0)*VLOOKUP('Données projet'!$B$14,Paramètres!$A$1:$I$89,5,0)</f>
        <v>203.11434000000003</v>
      </c>
      <c r="DQ74" s="13">
        <f t="shared" si="97"/>
        <v>50.427988673427436</v>
      </c>
      <c r="DR74" s="20">
        <f t="shared" si="70"/>
        <v>441.58622243955278</v>
      </c>
      <c r="DS74" s="59">
        <f t="shared" si="71"/>
        <v>708.45890351760067</v>
      </c>
      <c r="DT74" s="59">
        <f ca="1">AVERAGE(OFFSET($DS$3,0,0,'Données projet'!$E$14+1,1))-AVERAGE(OFFSET($H$3,0,0,'Données projet'!$E$14+1,1))</f>
        <v>532.34688562681413</v>
      </c>
      <c r="DU74" s="59">
        <f t="shared" si="98"/>
        <v>345.42627129678556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25.157823891268478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25.157823891268478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-5.6843418860808015E-14</v>
      </c>
      <c r="EK74" s="17">
        <f>EJ74*VLOOKUP('Données projet'!$B$15,Paramètres!$A$1:$I$89,3,0)*VLOOKUP('Données projet'!$B$15,Paramètres!$A$1:$I$89,5,0)</f>
        <v>-5.1431925385259088E-14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256.20286603823035</v>
      </c>
      <c r="EP74" s="59">
        <f t="shared" si="100"/>
        <v>364.83827155069434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30.084575819414024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30.084575819414024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7.3250000000000028</v>
      </c>
      <c r="FE74" s="12">
        <f>IF('Données projet'!$A$218&gt;35,FE73+FD74-FM73,IF(A74&lt;'Données projet'!$A$218,$FB$205^A74,IF(A74='Données projet'!$A$218,'Données projet'!$B$218,FE73+FD74-FM73)))</f>
        <v>200.31</v>
      </c>
      <c r="FF74" s="17">
        <f>FE74*VLOOKUP('Données projet'!$B$16,Paramètres!$A$1:$I$89,3,0)*VLOOKUP('Données projet'!$B$16,Paramètres!$A$1:$I$89,5,0)</f>
        <v>134.36794800000001</v>
      </c>
      <c r="FG74" s="13">
        <f t="shared" si="101"/>
        <v>35.003714425709525</v>
      </c>
      <c r="FH74" s="20">
        <f t="shared" si="76"/>
        <v>294.98897872477738</v>
      </c>
      <c r="FI74" s="59">
        <f t="shared" si="77"/>
        <v>561.86165980282533</v>
      </c>
      <c r="FJ74" s="59">
        <f ca="1">AVERAGE(OFFSET($FI$3,0,0,'Données projet'!$E$16+1,1))-AVERAGE(OFFSET($H$3,0,0,'Données projet'!$E$16+1,1))</f>
        <v>380.73695370216979</v>
      </c>
      <c r="FK74" s="59">
        <f t="shared" si="102"/>
        <v>249.34467160415713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20.513302557495841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20.513302557495841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7.3250000000000028</v>
      </c>
      <c r="FZ74" s="12">
        <f>IF('Données projet'!$A$244&gt;35,FZ73+FY74-GH73,IF(A74&lt;'Données projet'!$A$244,$FW$205^A74,IF(A74='Données projet'!$A$244,'Données projet'!$B$244,FZ73+FY74-GH73)))</f>
        <v>200.31</v>
      </c>
      <c r="GA74" s="17">
        <f>FZ74*VLOOKUP('Données projet'!$B$17,Paramètres!$A$1:$I$89,3,0)*VLOOKUP('Données projet'!$B$17,Paramètres!$A$1:$I$89,5,0)</f>
        <v>193.73983200000001</v>
      </c>
      <c r="GB74" s="13">
        <f t="shared" si="103"/>
        <v>48.365836289915123</v>
      </c>
      <c r="GC74" s="20">
        <f t="shared" si="79"/>
        <v>421.66737227160212</v>
      </c>
      <c r="GD74" s="59">
        <f t="shared" si="80"/>
        <v>688.54005334965007</v>
      </c>
      <c r="GE74" s="59">
        <f ca="1">AVERAGE(OFFSET($GD$3,0,0,'Données projet'!$E$17+1,1))-AVERAGE(OFFSET($H$3,0,0,'Données projet'!$E$17+1,1))</f>
        <v>511.7458522930001</v>
      </c>
      <c r="GF74" s="59">
        <f t="shared" si="104"/>
        <v>332.37317679966122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23.996693557825317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23.996693557825317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3.4</v>
      </c>
      <c r="GU74" s="12">
        <f>IF('Données projet'!$A$270&gt;35,GU73+GT74-HC73,IF(A74&lt;'Données projet'!$A$270,$GR$205^A74,IF(A74='Données projet'!$A$270,'Données projet'!$B$270,GU73+GT74-HC73)))</f>
        <v>256.39999999999986</v>
      </c>
      <c r="GV74" s="17">
        <f>GU74*VLOOKUP('Données projet'!$B$18,Paramètres!$A$1:$I$89,3,0)*VLOOKUP('Données projet'!$B$18,Paramètres!$A$1:$I$89,5,0)</f>
        <v>223.99103999999991</v>
      </c>
      <c r="GW74" s="13">
        <f t="shared" si="105"/>
        <v>54.981408824201552</v>
      </c>
      <c r="GX74" s="20">
        <f t="shared" si="82"/>
        <v>485.87701503548419</v>
      </c>
      <c r="GY74" s="59">
        <f t="shared" si="83"/>
        <v>752.74969611353208</v>
      </c>
      <c r="GZ74" s="59">
        <f ca="1">AVERAGE(OFFSET($GY$3,0,0,'Données projet'!$E$18+1,1))-AVERAGE(OFFSET($H$3,0,0,'Données projet'!$E$18+1,1))</f>
        <v>348.77506423101278</v>
      </c>
      <c r="HA74" s="59">
        <f t="shared" si="106"/>
        <v>336.13747591329548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21.598775776668909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21.598775776668909</v>
      </c>
    </row>
    <row r="75" spans="1:218" x14ac:dyDescent="0.2">
      <c r="A75" s="10">
        <f t="shared" si="85"/>
        <v>72</v>
      </c>
      <c r="B75" s="71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5">
        <f t="shared" si="56"/>
        <v>183.33333333333334</v>
      </c>
      <c r="I75" s="6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15.115000000000002</v>
      </c>
      <c r="N75" s="13">
        <f>IF('Données projet'!$A$36&gt;35,N74+M75-V74,IF(A75&lt;'Données projet'!$A$36,$K$205^A75,IF(A75='Données projet'!$A$36,'Données projet'!$B$36,N74+M75-V74)))</f>
        <v>390.1049999999999</v>
      </c>
      <c r="O75" s="13">
        <f>N75*VLOOKUP('Données projet'!$B$9,Paramètres!$A$1:$I$89,3,0)*VLOOKUP('Données projet'!$B$9,Paramètres!$A$1:$I$89,5,0)</f>
        <v>182.56913999999995</v>
      </c>
      <c r="P75" s="13">
        <f t="shared" si="87"/>
        <v>45.893300175788823</v>
      </c>
      <c r="Q75" s="20">
        <f t="shared" si="54"/>
        <v>397.90541663949875</v>
      </c>
      <c r="R75" s="59">
        <f t="shared" si="55"/>
        <v>665.23713087701981</v>
      </c>
      <c r="S75" s="59">
        <f ca="1">AVERAGE(OFFSET($R$3,0,0,'Données projet'!$E$9+1,1))-AVERAGE(OFFSET($H$3,0,0,'Données projet'!$E$9+1,1))</f>
        <v>387.50901594883317</v>
      </c>
      <c r="T75" s="59">
        <f t="shared" si="88"/>
        <v>361.3623790401972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63.699795551466458</v>
      </c>
      <c r="AA75" s="21">
        <f>EXP(-LN(2)/25)*AA74+(1-EXP(-LN(2)/25))/(LN(2)/25)*Calculateur!V75*Calculateur!X75*VLOOKUP('Données projet'!$B$9,Paramètres!$A$1:$I$89,3,0)*0.475*44/12</f>
        <v>31.221644526998269</v>
      </c>
      <c r="AB75" s="21">
        <f>EXP(-LN(2)/2)*AB74+(1-EXP(-LN(2)/2))/(LN(2)/2)*V75*Y75*VLOOKUP('Données projet'!$B$9,Paramètres!$A$1:$I$89,3,0)*0.475*44/12</f>
        <v>4.798035976494937</v>
      </c>
      <c r="AC75" s="22">
        <f t="shared" si="57"/>
        <v>99.719476054959671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9.782</v>
      </c>
      <c r="AI75" s="13">
        <f>IF('Données projet'!$A$62&gt;35,AI74+AH75-AQ74,IF(A75&lt;'Données projet'!$A$62,$AF$205^A75,IF(A75='Données projet'!$A$62,'Données projet'!$B$62,AI74+AH75-AQ74)))</f>
        <v>441.74400000000009</v>
      </c>
      <c r="AJ75" s="13">
        <f>AI75*VLOOKUP('Données projet'!$B$10,Paramètres!$A$1:$I$89,3,0)*VLOOKUP('Données projet'!$B$10,Paramètres!$A$1:$I$89,5,0)</f>
        <v>264.16291200000006</v>
      </c>
      <c r="AK75" s="13">
        <f t="shared" si="89"/>
        <v>63.608920560680907</v>
      </c>
      <c r="AL75" s="20">
        <f t="shared" si="58"/>
        <v>570.86927504318601</v>
      </c>
      <c r="AM75" s="59">
        <f t="shared" si="59"/>
        <v>838.20098928070706</v>
      </c>
      <c r="AN75" s="59">
        <f ca="1">AVERAGE(OFFSET($AM$3,0,0,'Données projet'!$E$10+1,1))-AVERAGE(OFFSET($H$3,0,0,'Données projet'!$E$10+1,1))</f>
        <v>373.47758082856359</v>
      </c>
      <c r="AO75" s="59">
        <f t="shared" si="90"/>
        <v>277.24895424120166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51.170472953740095</v>
      </c>
      <c r="AV75" s="21">
        <f>EXP(-LN(2)/25)*AV74+(1-EXP(-LN(2)/25))/(LN(2)/25)*Calculateur!AQ75*Calculateur!AS75*VLOOKUP('Données projet'!$B$10,Paramètres!$A$1:$I$89,3,0)*0.475*44/12</f>
        <v>19.49402687490403</v>
      </c>
      <c r="AW75" s="21">
        <f>EXP(-LN(2)/2)*AW74+(1-EXP(-LN(2)/2))/(LN(2)/2)*AQ75*AT75*VLOOKUP('Données projet'!$B$10,Paramètres!$A$1:$I$89,3,0)*0.475*44/12</f>
        <v>3.1248264466691076</v>
      </c>
      <c r="AX75" s="21">
        <f t="shared" si="60"/>
        <v>73.789326275313229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12.905000000000006</v>
      </c>
      <c r="BD75" s="12">
        <f>IF('Données projet'!$A$88&gt;35,BD74+BC75-BL74,IF(A75&lt;'Données projet'!$A$88,$BA$205^A75,IF(A75='Données projet'!$A$88,'Données projet'!$B$88,BD74+BC75-BL74)))</f>
        <v>619.94999999999948</v>
      </c>
      <c r="BE75" s="13">
        <f>BD75*VLOOKUP('Données projet'!$B$11,Paramètres!$A$1:$I$89,3,0)*VLOOKUP('Données projet'!$B$11,Paramètres!$A$1:$I$89,5,0)</f>
        <v>370.73009999999977</v>
      </c>
      <c r="BF75" s="13">
        <f t="shared" si="91"/>
        <v>85.816654456287978</v>
      </c>
      <c r="BG75" s="20">
        <f t="shared" si="61"/>
        <v>795.15226401136772</v>
      </c>
      <c r="BH75" s="59">
        <f t="shared" si="62"/>
        <v>1062.4839782488889</v>
      </c>
      <c r="BI75" s="59">
        <f ca="1">AVERAGE(OFFSET($BH$3,0,0,'Données projet'!$E$11+1,1))-AVERAGE(OFFSET($H$3,0,0,'Données projet'!$E$11+1,1))</f>
        <v>460.88622650237176</v>
      </c>
      <c r="BJ75" s="59">
        <f t="shared" si="92"/>
        <v>396.05161661639647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55.533853321714652</v>
      </c>
      <c r="BQ75" s="21">
        <f>EXP(-LN(2)/25)*BQ74+(1-EXP(-LN(2)/25))/(LN(2)/25)*Calculateur!BL75*Calculateur!BN75*VLOOKUP('Données projet'!$B$11,Paramètres!$A$1:$I$89,3,0)*0.475*44/12</f>
        <v>19.85872634445165</v>
      </c>
      <c r="BR75" s="21">
        <f>EXP(-LN(2)/2)*BR74+(1-EXP(-LN(2)/2))/(LN(2)/2)*BL75*BO75*VLOOKUP('Données projet'!$B$11,Paramètres!$A$1:$I$89,3,0)*0.475*44/12</f>
        <v>1.0047258439211058</v>
      </c>
      <c r="BS75" s="22">
        <f t="shared" si="63"/>
        <v>76.397305510087406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-1.1368683772161603E-13</v>
      </c>
      <c r="BZ75" s="13">
        <f>BY75*VLOOKUP('Données projet'!$B$12,Paramètres!$A$1:$I$89,3,0)*VLOOKUP('Données projet'!$B$12,Paramètres!$A$1:$I$89,5,0)</f>
        <v>-5.1727511163335289E-14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341.60063595566282</v>
      </c>
      <c r="CE75" s="59">
        <f t="shared" si="94"/>
        <v>317.05609766344219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215.96212531977082</v>
      </c>
      <c r="CL75" s="21">
        <f>EXP(-LN(2)/25)*CL74+(1-EXP(-LN(2)/25))/(LN(2)/25)*Calculateur!CG75*Calculateur!CI75*VLOOKUP('Données projet'!$B$12,Paramètres!$A$1:$I$89,3,0)*0.475*44/12</f>
        <v>45.702578810424697</v>
      </c>
      <c r="CM75" s="21">
        <f>EXP(-LN(2)/2)*CM74+(1-EXP(-LN(2)/2))/(LN(2)/2)*CG75*CJ75*VLOOKUP('Données projet'!$B$12,Paramètres!$A$1:$I$89,3,0)*0.475*44/12</f>
        <v>13.9190170787013</v>
      </c>
      <c r="CN75" s="22">
        <f t="shared" si="66"/>
        <v>275.5837212088968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2.5660000000000025</v>
      </c>
      <c r="CT75" s="12">
        <f>IF('Données projet'!$A$140&gt;35,CT74+CS75-DB74,IF(A75&lt;'Données projet'!$A$140,$CQ$205^A75,IF(A75='Données projet'!$A$140,'Données projet'!$B$140,CT74+CS75-DB74)))</f>
        <v>139.74200000000002</v>
      </c>
      <c r="CU75" s="17">
        <f>CT75*VLOOKUP('Données projet'!$B$13,Paramètres!$A$1:$I$89,3,0)*VLOOKUP('Données projet'!$B$13,Paramètres!$A$1:$I$89,5,0)</f>
        <v>146.05833840000003</v>
      </c>
      <c r="CV75" s="13">
        <f t="shared" si="95"/>
        <v>37.681445353640051</v>
      </c>
      <c r="CW75" s="20">
        <f t="shared" si="67"/>
        <v>320.01345670425644</v>
      </c>
      <c r="CX75" s="59">
        <f t="shared" si="68"/>
        <v>587.3451709417775</v>
      </c>
      <c r="CY75" s="59">
        <f ca="1">AVERAGE(OFFSET($CX$3,0,0,'Données projet'!$E$13+1,1))-AVERAGE(OFFSET($H$3,0,0,'Données projet'!$E$13+1,1))</f>
        <v>287.73449456153207</v>
      </c>
      <c r="CZ75" s="59">
        <f t="shared" si="96"/>
        <v>296.74833899433281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18.775736117154391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18.775736117154391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7.3250000000000028</v>
      </c>
      <c r="DO75" s="12">
        <f>IF('Données projet'!$A$166&gt;35,DO74+DN75-DW74,IF(A75&lt;'Données projet'!$A$166,$DL$205^A75,IF(A75='Données projet'!$A$166,'Données projet'!$B$166,DO74+DN75-DW74)))</f>
        <v>207.63499999999999</v>
      </c>
      <c r="DP75" s="17">
        <f>DO75*VLOOKUP('Données projet'!$B$14,Paramètres!$A$1:$I$89,3,0)*VLOOKUP('Données projet'!$B$14,Paramètres!$A$1:$I$89,5,0)</f>
        <v>210.54189</v>
      </c>
      <c r="DQ75" s="13">
        <f t="shared" si="97"/>
        <v>52.053984530192217</v>
      </c>
      <c r="DR75" s="20">
        <f t="shared" si="70"/>
        <v>457.35448147341799</v>
      </c>
      <c r="DS75" s="59">
        <f t="shared" si="71"/>
        <v>724.68619571093905</v>
      </c>
      <c r="DT75" s="59">
        <f ca="1">AVERAGE(OFFSET($DS$3,0,0,'Données projet'!$E$14+1,1))-AVERAGE(OFFSET($H$3,0,0,'Données projet'!$E$14+1,1))</f>
        <v>532.34688562681413</v>
      </c>
      <c r="DU75" s="59">
        <f t="shared" si="98"/>
        <v>345.42627129678556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24.664494309518108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24.664494309518108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-5.6843418860808015E-14</v>
      </c>
      <c r="EK75" s="17">
        <f>EJ75*VLOOKUP('Données projet'!$B$15,Paramètres!$A$1:$I$89,3,0)*VLOOKUP('Données projet'!$B$15,Paramètres!$A$1:$I$89,5,0)</f>
        <v>-5.1431925385259088E-14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256.20286603823035</v>
      </c>
      <c r="EP75" s="59">
        <f t="shared" si="100"/>
        <v>364.83827155069434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29.494635637374675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29.494635637374675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7.3250000000000028</v>
      </c>
      <c r="FE75" s="12">
        <f>IF('Données projet'!$A$218&gt;35,FE74+FD75-FM74,IF(A75&lt;'Données projet'!$A$218,$FB$205^A75,IF(A75='Données projet'!$A$218,'Données projet'!$B$218,FE74+FD75-FM74)))</f>
        <v>207.63499999999999</v>
      </c>
      <c r="FF75" s="17">
        <f>FE75*VLOOKUP('Données projet'!$B$16,Paramètres!$A$1:$I$89,3,0)*VLOOKUP('Données projet'!$B$16,Paramètres!$A$1:$I$89,5,0)</f>
        <v>139.28155799999999</v>
      </c>
      <c r="FG75" s="13">
        <f t="shared" si="101"/>
        <v>36.132371271338869</v>
      </c>
      <c r="FH75" s="20">
        <f t="shared" si="76"/>
        <v>305.5125934809152</v>
      </c>
      <c r="FI75" s="59">
        <f t="shared" si="77"/>
        <v>572.84430771843631</v>
      </c>
      <c r="FJ75" s="59">
        <f ca="1">AVERAGE(OFFSET($FI$3,0,0,'Données projet'!$E$16+1,1))-AVERAGE(OFFSET($H$3,0,0,'Données projet'!$E$16+1,1))</f>
        <v>380.73695370216979</v>
      </c>
      <c r="FK75" s="59">
        <f t="shared" si="102"/>
        <v>249.34467160415713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20.111049206222461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20.111049206222461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7.3250000000000028</v>
      </c>
      <c r="FZ75" s="12">
        <f>IF('Données projet'!$A$244&gt;35,FZ74+FY75-GH74,IF(A75&lt;'Données projet'!$A$244,$FW$205^A75,IF(A75='Données projet'!$A$244,'Données projet'!$B$244,FZ74+FY75-GH74)))</f>
        <v>207.63499999999999</v>
      </c>
      <c r="GA75" s="17">
        <f>FZ75*VLOOKUP('Données projet'!$B$17,Paramètres!$A$1:$I$89,3,0)*VLOOKUP('Données projet'!$B$17,Paramètres!$A$1:$I$89,5,0)</f>
        <v>200.82457200000002</v>
      </c>
      <c r="GB75" s="13">
        <f t="shared" si="103"/>
        <v>49.925340277386383</v>
      </c>
      <c r="GC75" s="20">
        <f t="shared" si="79"/>
        <v>436.72276388311457</v>
      </c>
      <c r="GD75" s="59">
        <f t="shared" si="80"/>
        <v>704.05447812063562</v>
      </c>
      <c r="GE75" s="59">
        <f ca="1">AVERAGE(OFFSET($GD$3,0,0,'Données projet'!$E$17+1,1))-AVERAGE(OFFSET($H$3,0,0,'Données projet'!$E$17+1,1))</f>
        <v>511.7458522930001</v>
      </c>
      <c r="GF75" s="59">
        <f t="shared" si="104"/>
        <v>332.37317679966122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23.526133033694194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23.526133033694194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3.4</v>
      </c>
      <c r="GU75" s="12">
        <f>IF('Données projet'!$A$270&gt;35,GU74+GT75-HC74,IF(A75&lt;'Données projet'!$A$270,$GR$205^A75,IF(A75='Données projet'!$A$270,'Données projet'!$B$270,GU74+GT75-HC74)))</f>
        <v>259.79999999999984</v>
      </c>
      <c r="GV75" s="17">
        <f>GU75*VLOOKUP('Données projet'!$B$18,Paramètres!$A$1:$I$89,3,0)*VLOOKUP('Données projet'!$B$18,Paramètres!$A$1:$I$89,5,0)</f>
        <v>226.96127999999987</v>
      </c>
      <c r="GW75" s="13">
        <f t="shared" si="105"/>
        <v>55.625131501998617</v>
      </c>
      <c r="GX75" s="20">
        <f t="shared" si="82"/>
        <v>492.17133336598067</v>
      </c>
      <c r="GY75" s="59">
        <f t="shared" si="83"/>
        <v>759.50304760350173</v>
      </c>
      <c r="GZ75" s="59">
        <f ca="1">AVERAGE(OFFSET($GY$3,0,0,'Données projet'!$E$18+1,1))-AVERAGE(OFFSET($H$3,0,0,'Données projet'!$E$18+1,1))</f>
        <v>348.77506423101278</v>
      </c>
      <c r="HA75" s="59">
        <f t="shared" si="106"/>
        <v>336.13747591329548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21.175236957640834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21.175236957640834</v>
      </c>
    </row>
    <row r="76" spans="1:218" x14ac:dyDescent="0.2">
      <c r="A76" s="10">
        <f t="shared" si="85"/>
        <v>73</v>
      </c>
      <c r="B76" s="71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5">
        <f t="shared" si="56"/>
        <v>183.33333333333334</v>
      </c>
      <c r="I76" s="6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15.115000000000002</v>
      </c>
      <c r="N76" s="13">
        <f>IF('Données projet'!$A$36&gt;35,N75+M76-V75,IF(A76&lt;'Données projet'!$A$36,$K$205^A76,IF(A76='Données projet'!$A$36,'Données projet'!$B$36,N75+M76-V75)))</f>
        <v>405.21999999999991</v>
      </c>
      <c r="O76" s="13">
        <f>N76*VLOOKUP('Données projet'!$B$9,Paramètres!$A$1:$I$89,3,0)*VLOOKUP('Données projet'!$B$9,Paramètres!$A$1:$I$89,5,0)</f>
        <v>189.64295999999996</v>
      </c>
      <c r="P76" s="13">
        <f t="shared" si="87"/>
        <v>47.461007737470666</v>
      </c>
      <c r="Q76" s="20">
        <f t="shared" si="54"/>
        <v>412.95607714276122</v>
      </c>
      <c r="R76" s="59">
        <f t="shared" si="55"/>
        <v>680.738861340683</v>
      </c>
      <c r="S76" s="59">
        <f ca="1">AVERAGE(OFFSET($R$3,0,0,'Données projet'!$E$9+1,1))-AVERAGE(OFFSET($H$3,0,0,'Données projet'!$E$9+1,1))</f>
        <v>387.50901594883317</v>
      </c>
      <c r="T76" s="59">
        <f t="shared" si="88"/>
        <v>361.3623790401972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62.450681413741066</v>
      </c>
      <c r="AA76" s="21">
        <f>EXP(-LN(2)/25)*AA75+(1-EXP(-LN(2)/25))/(LN(2)/25)*Calculateur!V76*Calculateur!X76*VLOOKUP('Données projet'!$B$9,Paramètres!$A$1:$I$89,3,0)*0.475*44/12</f>
        <v>30.367887015532574</v>
      </c>
      <c r="AB76" s="21">
        <f>EXP(-LN(2)/2)*AB75+(1-EXP(-LN(2)/2))/(LN(2)/2)*V76*Y76*VLOOKUP('Données projet'!$B$9,Paramètres!$A$1:$I$89,3,0)*0.475*44/12</f>
        <v>3.3927237753565884</v>
      </c>
      <c r="AC76" s="22">
        <f t="shared" si="57"/>
        <v>96.211292204630226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9.782</v>
      </c>
      <c r="AI76" s="13">
        <f>IF('Données projet'!$A$62&gt;35,AI75+AH76-AQ75,IF(A76&lt;'Données projet'!$A$62,$AF$205^A76,IF(A76='Données projet'!$A$62,'Données projet'!$B$62,AI75+AH76-AQ75)))</f>
        <v>451.52600000000007</v>
      </c>
      <c r="AJ76" s="13">
        <f>AI76*VLOOKUP('Données projet'!$B$10,Paramètres!$A$1:$I$89,3,0)*VLOOKUP('Données projet'!$B$10,Paramètres!$A$1:$I$89,5,0)</f>
        <v>270.01254800000004</v>
      </c>
      <c r="AK76" s="13">
        <f t="shared" si="89"/>
        <v>64.851932282926271</v>
      </c>
      <c r="AL76" s="20">
        <f t="shared" si="58"/>
        <v>583.22230315943</v>
      </c>
      <c r="AM76" s="59">
        <f t="shared" si="59"/>
        <v>851.00508735735184</v>
      </c>
      <c r="AN76" s="59">
        <f ca="1">AVERAGE(OFFSET($AM$3,0,0,'Données projet'!$E$10+1,1))-AVERAGE(OFFSET($H$3,0,0,'Données projet'!$E$10+1,1))</f>
        <v>373.47758082856359</v>
      </c>
      <c r="AO76" s="59">
        <f t="shared" si="90"/>
        <v>277.24895424120166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50.167051190023933</v>
      </c>
      <c r="AV76" s="21">
        <f>EXP(-LN(2)/25)*AV75+(1-EXP(-LN(2)/25))/(LN(2)/25)*Calculateur!AQ76*Calculateur!AS76*VLOOKUP('Données projet'!$B$10,Paramètres!$A$1:$I$89,3,0)*0.475*44/12</f>
        <v>18.960961684863459</v>
      </c>
      <c r="AW76" s="21">
        <f>EXP(-LN(2)/2)*AW75+(1-EXP(-LN(2)/2))/(LN(2)/2)*AQ76*AT76*VLOOKUP('Données projet'!$B$10,Paramètres!$A$1:$I$89,3,0)*0.475*44/12</f>
        <v>2.2095859704707896</v>
      </c>
      <c r="AX76" s="21">
        <f t="shared" si="60"/>
        <v>71.337598845358173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12.905000000000006</v>
      </c>
      <c r="BD76" s="12">
        <f>IF('Données projet'!$A$88&gt;35,BD75+BC76-BL75,IF(A76&lt;'Données projet'!$A$88,$BA$205^A76,IF(A76='Données projet'!$A$88,'Données projet'!$B$88,BD75+BC76-BL75)))</f>
        <v>632.85499999999945</v>
      </c>
      <c r="BE76" s="13">
        <f>BD76*VLOOKUP('Données projet'!$B$11,Paramètres!$A$1:$I$89,3,0)*VLOOKUP('Données projet'!$B$11,Paramètres!$A$1:$I$89,5,0)</f>
        <v>378.44728999999967</v>
      </c>
      <c r="BF76" s="13">
        <f t="shared" si="91"/>
        <v>87.393198833182808</v>
      </c>
      <c r="BG76" s="20">
        <f t="shared" si="61"/>
        <v>811.33885138445942</v>
      </c>
      <c r="BH76" s="59">
        <f t="shared" si="62"/>
        <v>1079.1216355823813</v>
      </c>
      <c r="BI76" s="59">
        <f ca="1">AVERAGE(OFFSET($BH$3,0,0,'Données projet'!$E$11+1,1))-AVERAGE(OFFSET($H$3,0,0,'Données projet'!$E$11+1,1))</f>
        <v>460.88622650237176</v>
      </c>
      <c r="BJ76" s="59">
        <f t="shared" si="92"/>
        <v>396.05161661639647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54.444868330381745</v>
      </c>
      <c r="BQ76" s="21">
        <f>EXP(-LN(2)/25)*BQ75+(1-EXP(-LN(2)/25))/(LN(2)/25)*Calculateur!BL76*Calculateur!BN76*VLOOKUP('Données projet'!$B$11,Paramètres!$A$1:$I$89,3,0)*0.475*44/12</f>
        <v>19.315688428237589</v>
      </c>
      <c r="BR76" s="21">
        <f>EXP(-LN(2)/2)*BR75+(1-EXP(-LN(2)/2))/(LN(2)/2)*BL76*BO76*VLOOKUP('Données projet'!$B$11,Paramètres!$A$1:$I$89,3,0)*0.475*44/12</f>
        <v>0.71044845746999064</v>
      </c>
      <c r="BS76" s="22">
        <f t="shared" si="63"/>
        <v>74.471005216089324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-1.1368683772161603E-13</v>
      </c>
      <c r="BZ76" s="13">
        <f>BY76*VLOOKUP('Données projet'!$B$12,Paramètres!$A$1:$I$89,3,0)*VLOOKUP('Données projet'!$B$12,Paramètres!$A$1:$I$89,5,0)</f>
        <v>-5.1727511163335289E-14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341.60063595566282</v>
      </c>
      <c r="CE76" s="59">
        <f t="shared" si="94"/>
        <v>317.05609766344219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211.72723976613992</v>
      </c>
      <c r="CL76" s="21">
        <f>EXP(-LN(2)/25)*CL75+(1-EXP(-LN(2)/25))/(LN(2)/25)*Calculateur!CG76*Calculateur!CI76*VLOOKUP('Données projet'!$B$12,Paramètres!$A$1:$I$89,3,0)*0.475*44/12</f>
        <v>44.45283938945947</v>
      </c>
      <c r="CM76" s="21">
        <f>EXP(-LN(2)/2)*CM75+(1-EXP(-LN(2)/2))/(LN(2)/2)*CG76*CJ76*VLOOKUP('Données projet'!$B$12,Paramètres!$A$1:$I$89,3,0)*0.475*44/12</f>
        <v>9.8422313638010586</v>
      </c>
      <c r="CN76" s="22">
        <f t="shared" si="66"/>
        <v>266.02231051940043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2.5660000000000025</v>
      </c>
      <c r="CT76" s="12">
        <f>IF('Données projet'!$A$140&gt;35,CT75+CS76-DB75,IF(A76&lt;'Données projet'!$A$140,$CQ$205^A76,IF(A76='Données projet'!$A$140,'Données projet'!$B$140,CT75+CS76-DB75)))</f>
        <v>142.30800000000002</v>
      </c>
      <c r="CU76" s="17">
        <f>CT76*VLOOKUP('Données projet'!$B$13,Paramètres!$A$1:$I$89,3,0)*VLOOKUP('Données projet'!$B$13,Paramètres!$A$1:$I$89,5,0)</f>
        <v>148.74032160000004</v>
      </c>
      <c r="CV76" s="13">
        <f t="shared" si="95"/>
        <v>38.29217883085218</v>
      </c>
      <c r="CW76" s="20">
        <f t="shared" si="67"/>
        <v>325.74827158373427</v>
      </c>
      <c r="CX76" s="59">
        <f t="shared" si="68"/>
        <v>593.53105578165605</v>
      </c>
      <c r="CY76" s="59">
        <f ca="1">AVERAGE(OFFSET($CX$3,0,0,'Données projet'!$E$13+1,1))-AVERAGE(OFFSET($H$3,0,0,'Données projet'!$E$13+1,1))</f>
        <v>287.73449456153207</v>
      </c>
      <c r="CZ76" s="59">
        <f t="shared" si="96"/>
        <v>296.74833899433281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18.407555383965228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18.407555383965228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7.3250000000000028</v>
      </c>
      <c r="DO76" s="12">
        <f>IF('Données projet'!$A$166&gt;35,DO75+DN76-DW75,IF(A76&lt;'Données projet'!$A$166,$DL$205^A76,IF(A76='Données projet'!$A$166,'Données projet'!$B$166,DO75+DN76-DW75)))</f>
        <v>214.95999999999998</v>
      </c>
      <c r="DP76" s="17">
        <f>DO76*VLOOKUP('Données projet'!$B$14,Paramètres!$A$1:$I$89,3,0)*VLOOKUP('Données projet'!$B$14,Paramètres!$A$1:$I$89,5,0)</f>
        <v>217.96943999999999</v>
      </c>
      <c r="DQ76" s="13">
        <f t="shared" si="97"/>
        <v>53.673315646119541</v>
      </c>
      <c r="DR76" s="20">
        <f t="shared" si="70"/>
        <v>473.11113275032488</v>
      </c>
      <c r="DS76" s="59">
        <f t="shared" si="71"/>
        <v>740.89391694824667</v>
      </c>
      <c r="DT76" s="59">
        <f ca="1">AVERAGE(OFFSET($DS$3,0,0,'Données projet'!$E$14+1,1))-AVERAGE(OFFSET($H$3,0,0,'Données projet'!$E$14+1,1))</f>
        <v>532.34688562681413</v>
      </c>
      <c r="DU76" s="59">
        <f t="shared" si="98"/>
        <v>345.42627129678556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24.180838619964529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24.180838619964529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-5.6843418860808015E-14</v>
      </c>
      <c r="EK76" s="17">
        <f>EJ76*VLOOKUP('Données projet'!$B$15,Paramètres!$A$1:$I$89,3,0)*VLOOKUP('Données projet'!$B$15,Paramètres!$A$1:$I$89,5,0)</f>
        <v>-5.1431925385259088E-14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256.20286603823035</v>
      </c>
      <c r="EP76" s="59">
        <f t="shared" si="100"/>
        <v>364.83827155069434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28.916263822477134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28.916263822477134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7.3250000000000028</v>
      </c>
      <c r="FE76" s="12">
        <f>IF('Données projet'!$A$218&gt;35,FE75+FD76-FM75,IF(A76&lt;'Données projet'!$A$218,$FB$205^A76,IF(A76='Données projet'!$A$218,'Données projet'!$B$218,FE75+FD76-FM75)))</f>
        <v>214.95999999999998</v>
      </c>
      <c r="FF76" s="17">
        <f>FE76*VLOOKUP('Données projet'!$B$16,Paramètres!$A$1:$I$89,3,0)*VLOOKUP('Données projet'!$B$16,Paramètres!$A$1:$I$89,5,0)</f>
        <v>144.195168</v>
      </c>
      <c r="FG76" s="13">
        <f t="shared" si="101"/>
        <v>37.256401902615117</v>
      </c>
      <c r="FH76" s="20">
        <f t="shared" si="76"/>
        <v>316.02815091372133</v>
      </c>
      <c r="FI76" s="59">
        <f t="shared" si="77"/>
        <v>583.81093511164318</v>
      </c>
      <c r="FJ76" s="59">
        <f ca="1">AVERAGE(OFFSET($FI$3,0,0,'Données projet'!$E$16+1,1))-AVERAGE(OFFSET($H$3,0,0,'Données projet'!$E$16+1,1))</f>
        <v>380.73695370216979</v>
      </c>
      <c r="FK76" s="59">
        <f t="shared" si="102"/>
        <v>249.34467160415713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19.716683797817236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19.716683797817236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7.3250000000000028</v>
      </c>
      <c r="FZ76" s="12">
        <f>IF('Données projet'!$A$244&gt;35,FZ75+FY76-GH75,IF(A76&lt;'Données projet'!$A$244,$FW$205^A76,IF(A76='Données projet'!$A$244,'Données projet'!$B$244,FZ75+FY76-GH75)))</f>
        <v>214.95999999999998</v>
      </c>
      <c r="GA76" s="17">
        <f>FZ76*VLOOKUP('Données projet'!$B$17,Paramètres!$A$1:$I$89,3,0)*VLOOKUP('Données projet'!$B$17,Paramètres!$A$1:$I$89,5,0)</f>
        <v>207.90931199999997</v>
      </c>
      <c r="GB76" s="13">
        <f t="shared" si="103"/>
        <v>51.478452065352151</v>
      </c>
      <c r="GC76" s="20">
        <f t="shared" si="79"/>
        <v>451.76702241382162</v>
      </c>
      <c r="GD76" s="59">
        <f t="shared" si="80"/>
        <v>719.54980661174341</v>
      </c>
      <c r="GE76" s="59">
        <f ca="1">AVERAGE(OFFSET($GD$3,0,0,'Données projet'!$E$17+1,1))-AVERAGE(OFFSET($H$3,0,0,'Données projet'!$E$17+1,1))</f>
        <v>511.7458522930001</v>
      </c>
      <c r="GF76" s="59">
        <f t="shared" si="104"/>
        <v>332.37317679966122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23.064799914427702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23.064799914427702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3.4</v>
      </c>
      <c r="GU76" s="12">
        <f>IF('Données projet'!$A$270&gt;35,GU75+GT76-HC75,IF(A76&lt;'Données projet'!$A$270,$GR$205^A76,IF(A76='Données projet'!$A$270,'Données projet'!$B$270,GU75+GT76-HC75)))</f>
        <v>263.19999999999982</v>
      </c>
      <c r="GV76" s="17">
        <f>GU76*VLOOKUP('Données projet'!$B$18,Paramètres!$A$1:$I$89,3,0)*VLOOKUP('Données projet'!$B$18,Paramètres!$A$1:$I$89,5,0)</f>
        <v>229.93151999999986</v>
      </c>
      <c r="GW76" s="13">
        <f t="shared" si="105"/>
        <v>56.26787429746841</v>
      </c>
      <c r="GX76" s="20">
        <f t="shared" si="82"/>
        <v>498.4639450680906</v>
      </c>
      <c r="GY76" s="59">
        <f t="shared" si="83"/>
        <v>766.24672926601238</v>
      </c>
      <c r="GZ76" s="59">
        <f ca="1">AVERAGE(OFFSET($GY$3,0,0,'Données projet'!$E$18+1,1))-AVERAGE(OFFSET($H$3,0,0,'Données projet'!$E$18+1,1))</f>
        <v>348.77506423101278</v>
      </c>
      <c r="HA76" s="59">
        <f t="shared" si="106"/>
        <v>336.13747591329548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20.76000347652073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20.76000347652073</v>
      </c>
    </row>
    <row r="77" spans="1:218" x14ac:dyDescent="0.2">
      <c r="A77" s="10">
        <f t="shared" si="85"/>
        <v>74</v>
      </c>
      <c r="B77" s="71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5">
        <f t="shared" si="56"/>
        <v>183.33333333333334</v>
      </c>
      <c r="I77" s="6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15.115000000000002</v>
      </c>
      <c r="N77" s="13">
        <f>IF('Données projet'!$A$36&gt;35,N76+M77-V76,IF(A77&lt;'Données projet'!$A$36,$K$205^A77,IF(A77='Données projet'!$A$36,'Données projet'!$B$36,N76+M77-V76)))</f>
        <v>420.33499999999992</v>
      </c>
      <c r="O77" s="13">
        <f>N77*VLOOKUP('Données projet'!$B$9,Paramètres!$A$1:$I$89,3,0)*VLOOKUP('Données projet'!$B$9,Paramètres!$A$1:$I$89,5,0)</f>
        <v>196.71677999999994</v>
      </c>
      <c r="P77" s="13">
        <f t="shared" si="87"/>
        <v>49.021921710754086</v>
      </c>
      <c r="Q77" s="20">
        <f t="shared" si="54"/>
        <v>427.99490547956322</v>
      </c>
      <c r="R77" s="59">
        <f t="shared" si="55"/>
        <v>696.22093458251402</v>
      </c>
      <c r="S77" s="59">
        <f ca="1">AVERAGE(OFFSET($R$3,0,0,'Données projet'!$E$9+1,1))-AVERAGE(OFFSET($H$3,0,0,'Données projet'!$E$9+1,1))</f>
        <v>387.50901594883317</v>
      </c>
      <c r="T77" s="59">
        <f t="shared" si="88"/>
        <v>361.3623790401972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61.226061642372073</v>
      </c>
      <c r="AA77" s="21">
        <f>EXP(-LN(2)/25)*AA76+(1-EXP(-LN(2)/25))/(LN(2)/25)*Calculateur!V77*Calculateur!X77*VLOOKUP('Données projet'!$B$9,Paramètres!$A$1:$I$89,3,0)*0.475*44/12</f>
        <v>29.537475548115065</v>
      </c>
      <c r="AB77" s="21">
        <f>EXP(-LN(2)/2)*AB76+(1-EXP(-LN(2)/2))/(LN(2)/2)*V77*Y77*VLOOKUP('Données projet'!$B$9,Paramètres!$A$1:$I$89,3,0)*0.475*44/12</f>
        <v>2.3990179882474689</v>
      </c>
      <c r="AC77" s="22">
        <f t="shared" si="57"/>
        <v>93.162555178734607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9.782</v>
      </c>
      <c r="AI77" s="13">
        <f>IF('Données projet'!$A$62&gt;35,AI76+AH77-AQ76,IF(A77&lt;'Données projet'!$A$62,$AF$205^A77,IF(A77='Données projet'!$A$62,'Données projet'!$B$62,AI76+AH77-AQ76)))</f>
        <v>461.30800000000005</v>
      </c>
      <c r="AJ77" s="13">
        <f>AI77*VLOOKUP('Données projet'!$B$10,Paramètres!$A$1:$I$89,3,0)*VLOOKUP('Données projet'!$B$10,Paramètres!$A$1:$I$89,5,0)</f>
        <v>275.86218400000007</v>
      </c>
      <c r="AK77" s="13">
        <f t="shared" si="89"/>
        <v>66.091813160377626</v>
      </c>
      <c r="AL77" s="20">
        <f t="shared" si="58"/>
        <v>595.5698783876577</v>
      </c>
      <c r="AM77" s="59">
        <f t="shared" si="59"/>
        <v>863.79590749060856</v>
      </c>
      <c r="AN77" s="59">
        <f ca="1">AVERAGE(OFFSET($AM$3,0,0,'Données projet'!$E$10+1,1))-AVERAGE(OFFSET($H$3,0,0,'Données projet'!$E$10+1,1))</f>
        <v>373.47758082856359</v>
      </c>
      <c r="AO77" s="59">
        <f t="shared" si="90"/>
        <v>277.24895424120166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49.1833059150674</v>
      </c>
      <c r="AV77" s="21">
        <f>EXP(-LN(2)/25)*AV76+(1-EXP(-LN(2)/25))/(LN(2)/25)*Calculateur!AQ77*Calculateur!AS77*VLOOKUP('Données projet'!$B$10,Paramètres!$A$1:$I$89,3,0)*0.475*44/12</f>
        <v>18.44247319047723</v>
      </c>
      <c r="AW77" s="21">
        <f>EXP(-LN(2)/2)*AW76+(1-EXP(-LN(2)/2))/(LN(2)/2)*AQ77*AT77*VLOOKUP('Données projet'!$B$10,Paramètres!$A$1:$I$89,3,0)*0.475*44/12</f>
        <v>1.562413223334554</v>
      </c>
      <c r="AX77" s="21">
        <f t="shared" si="60"/>
        <v>69.188192328879197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12.905000000000006</v>
      </c>
      <c r="BD77" s="12">
        <f>IF('Données projet'!$A$88&gt;35,BD76+BC77-BL76,IF(A77&lt;'Données projet'!$A$88,$BA$205^A77,IF(A77='Données projet'!$A$88,'Données projet'!$B$88,BD76+BC77-BL76)))</f>
        <v>645.75999999999942</v>
      </c>
      <c r="BE77" s="13">
        <f>BD77*VLOOKUP('Données projet'!$B$11,Paramètres!$A$1:$I$89,3,0)*VLOOKUP('Données projet'!$B$11,Paramètres!$A$1:$I$89,5,0)</f>
        <v>386.16447999999974</v>
      </c>
      <c r="BF77" s="13">
        <f t="shared" si="91"/>
        <v>88.966005294641164</v>
      </c>
      <c r="BG77" s="20">
        <f t="shared" si="61"/>
        <v>827.51892855483277</v>
      </c>
      <c r="BH77" s="59">
        <f t="shared" si="62"/>
        <v>1095.7449576577837</v>
      </c>
      <c r="BI77" s="59">
        <f ca="1">AVERAGE(OFFSET($BH$3,0,0,'Données projet'!$E$11+1,1))-AVERAGE(OFFSET($H$3,0,0,'Données projet'!$E$11+1,1))</f>
        <v>460.88622650237176</v>
      </c>
      <c r="BJ77" s="59">
        <f t="shared" si="92"/>
        <v>396.05161661639647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53.377237670513615</v>
      </c>
      <c r="BQ77" s="21">
        <f>EXP(-LN(2)/25)*BQ76+(1-EXP(-LN(2)/25))/(LN(2)/25)*Calculateur!BL77*Calculateur!BN77*VLOOKUP('Données projet'!$B$11,Paramètres!$A$1:$I$89,3,0)*0.475*44/12</f>
        <v>18.787499912399525</v>
      </c>
      <c r="BR77" s="21">
        <f>EXP(-LN(2)/2)*BR76+(1-EXP(-LN(2)/2))/(LN(2)/2)*BL77*BO77*VLOOKUP('Données projet'!$B$11,Paramètres!$A$1:$I$89,3,0)*0.475*44/12</f>
        <v>0.50236292196055288</v>
      </c>
      <c r="BS77" s="22">
        <f t="shared" si="63"/>
        <v>72.667100504873702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-1.1368683772161603E-13</v>
      </c>
      <c r="BZ77" s="13">
        <f>BY77*VLOOKUP('Données projet'!$B$12,Paramètres!$A$1:$I$89,3,0)*VLOOKUP('Données projet'!$B$12,Paramètres!$A$1:$I$89,5,0)</f>
        <v>-5.1727511163335289E-14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341.60063595566282</v>
      </c>
      <c r="CE77" s="59">
        <f t="shared" si="94"/>
        <v>317.05609766344219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207.57539773519056</v>
      </c>
      <c r="CL77" s="21">
        <f>EXP(-LN(2)/25)*CL76+(1-EXP(-LN(2)/25))/(LN(2)/25)*Calculateur!CG77*Calculateur!CI77*VLOOKUP('Données projet'!$B$12,Paramètres!$A$1:$I$89,3,0)*0.475*44/12</f>
        <v>43.237274158681473</v>
      </c>
      <c r="CM77" s="21">
        <f>EXP(-LN(2)/2)*CM76+(1-EXP(-LN(2)/2))/(LN(2)/2)*CG77*CJ77*VLOOKUP('Données projet'!$B$12,Paramètres!$A$1:$I$89,3,0)*0.475*44/12</f>
        <v>6.9595085393506508</v>
      </c>
      <c r="CN77" s="22">
        <f t="shared" si="66"/>
        <v>257.77218043322273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2.5660000000000025</v>
      </c>
      <c r="CT77" s="12">
        <f>IF('Données projet'!$A$140&gt;35,CT76+CS77-DB76,IF(A77&lt;'Données projet'!$A$140,$CQ$205^A77,IF(A77='Données projet'!$A$140,'Données projet'!$B$140,CT76+CS77-DB76)))</f>
        <v>144.87400000000002</v>
      </c>
      <c r="CU77" s="17">
        <f>CT77*VLOOKUP('Données projet'!$B$13,Paramètres!$A$1:$I$89,3,0)*VLOOKUP('Données projet'!$B$13,Paramètres!$A$1:$I$89,5,0)</f>
        <v>151.42230480000003</v>
      </c>
      <c r="CV77" s="13">
        <f t="shared" si="95"/>
        <v>38.901631744193232</v>
      </c>
      <c r="CW77" s="20">
        <f t="shared" si="67"/>
        <v>331.48085614780319</v>
      </c>
      <c r="CX77" s="59">
        <f t="shared" si="68"/>
        <v>599.70688525075411</v>
      </c>
      <c r="CY77" s="59">
        <f ca="1">AVERAGE(OFFSET($CX$3,0,0,'Données projet'!$E$13+1,1))-AVERAGE(OFFSET($H$3,0,0,'Données projet'!$E$13+1,1))</f>
        <v>287.73449456153207</v>
      </c>
      <c r="CZ77" s="59">
        <f t="shared" si="96"/>
        <v>296.74833899433281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18.046594450385829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18.046594450385829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7.3250000000000028</v>
      </c>
      <c r="DO77" s="12">
        <f>IF('Données projet'!$A$166&gt;35,DO76+DN77-DW76,IF(A77&lt;'Données projet'!$A$166,$DL$205^A77,IF(A77='Données projet'!$A$166,'Données projet'!$B$166,DO76+DN77-DW76)))</f>
        <v>222.28499999999997</v>
      </c>
      <c r="DP77" s="17">
        <f>DO77*VLOOKUP('Données projet'!$B$14,Paramètres!$A$1:$I$89,3,0)*VLOOKUP('Données projet'!$B$14,Paramètres!$A$1:$I$89,5,0)</f>
        <v>225.39698999999999</v>
      </c>
      <c r="DQ77" s="13">
        <f t="shared" si="97"/>
        <v>55.286235162425108</v>
      </c>
      <c r="DR77" s="20">
        <f t="shared" si="70"/>
        <v>488.8566171578903</v>
      </c>
      <c r="DS77" s="59">
        <f t="shared" si="71"/>
        <v>757.0826462608411</v>
      </c>
      <c r="DT77" s="59">
        <f ca="1">AVERAGE(OFFSET($DS$3,0,0,'Données projet'!$E$14+1,1))-AVERAGE(OFFSET($H$3,0,0,'Données projet'!$E$14+1,1))</f>
        <v>532.34688562681413</v>
      </c>
      <c r="DU77" s="59">
        <f t="shared" si="98"/>
        <v>345.42627129678556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23.706667123482255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23.706667123482255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-5.6843418860808015E-14</v>
      </c>
      <c r="EK77" s="17">
        <f>EJ77*VLOOKUP('Données projet'!$B$15,Paramètres!$A$1:$I$89,3,0)*VLOOKUP('Données projet'!$B$15,Paramètres!$A$1:$I$89,5,0)</f>
        <v>-5.1431925385259088E-14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256.20286603823035</v>
      </c>
      <c r="EP77" s="59">
        <f t="shared" si="100"/>
        <v>364.83827155069434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28.349233526097763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28.349233526097763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7.3250000000000028</v>
      </c>
      <c r="FE77" s="12">
        <f>IF('Données projet'!$A$218&gt;35,FE76+FD77-FM76,IF(A77&lt;'Données projet'!$A$218,$FB$205^A77,IF(A77='Données projet'!$A$218,'Données projet'!$B$218,FE76+FD77-FM76)))</f>
        <v>222.28499999999997</v>
      </c>
      <c r="FF77" s="17">
        <f>FE77*VLOOKUP('Données projet'!$B$16,Paramètres!$A$1:$I$89,3,0)*VLOOKUP('Données projet'!$B$16,Paramètres!$A$1:$I$89,5,0)</f>
        <v>149.10877799999997</v>
      </c>
      <c r="FG77" s="13">
        <f t="shared" si="101"/>
        <v>38.375982033126355</v>
      </c>
      <c r="FH77" s="20">
        <f t="shared" si="76"/>
        <v>326.53595705769499</v>
      </c>
      <c r="FI77" s="59">
        <f t="shared" si="77"/>
        <v>594.76198616064585</v>
      </c>
      <c r="FJ77" s="59">
        <f ca="1">AVERAGE(OFFSET($FI$3,0,0,'Données projet'!$E$16+1,1))-AVERAGE(OFFSET($H$3,0,0,'Données projet'!$E$16+1,1))</f>
        <v>380.73695370216979</v>
      </c>
      <c r="FK77" s="59">
        <f t="shared" si="102"/>
        <v>249.34467160415713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19.33005165453169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19.33005165453169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7.3250000000000028</v>
      </c>
      <c r="FZ77" s="12">
        <f>IF('Données projet'!$A$244&gt;35,FZ76+FY77-GH76,IF(A77&lt;'Données projet'!$A$244,$FW$205^A77,IF(A77='Données projet'!$A$244,'Données projet'!$B$244,FZ76+FY77-GH76)))</f>
        <v>222.28499999999997</v>
      </c>
      <c r="GA77" s="17">
        <f>FZ77*VLOOKUP('Données projet'!$B$17,Paramètres!$A$1:$I$89,3,0)*VLOOKUP('Données projet'!$B$17,Paramètres!$A$1:$I$89,5,0)</f>
        <v>214.99405199999995</v>
      </c>
      <c r="GB77" s="13">
        <f t="shared" si="103"/>
        <v>53.025414443321296</v>
      </c>
      <c r="GC77" s="20">
        <f t="shared" si="79"/>
        <v>466.80057072211775</v>
      </c>
      <c r="GD77" s="59">
        <f t="shared" si="80"/>
        <v>735.02659982506862</v>
      </c>
      <c r="GE77" s="59">
        <f ca="1">AVERAGE(OFFSET($GD$3,0,0,'Données projet'!$E$17+1,1))-AVERAGE(OFFSET($H$3,0,0,'Données projet'!$E$17+1,1))</f>
        <v>511.7458522930001</v>
      </c>
      <c r="GF77" s="59">
        <f t="shared" si="104"/>
        <v>332.37317679966122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22.612513256244611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22.612513256244611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3.4</v>
      </c>
      <c r="GU77" s="12">
        <f>IF('Données projet'!$A$270&gt;35,GU76+GT77-HC76,IF(A77&lt;'Données projet'!$A$270,$GR$205^A77,IF(A77='Données projet'!$A$270,'Données projet'!$B$270,GU76+GT77-HC76)))</f>
        <v>266.5999999999998</v>
      </c>
      <c r="GV77" s="17">
        <f>GU77*VLOOKUP('Données projet'!$B$18,Paramètres!$A$1:$I$89,3,0)*VLOOKUP('Données projet'!$B$18,Paramètres!$A$1:$I$89,5,0)</f>
        <v>232.90175999999985</v>
      </c>
      <c r="GW77" s="13">
        <f t="shared" si="105"/>
        <v>56.909651332233778</v>
      </c>
      <c r="GX77" s="20">
        <f t="shared" si="82"/>
        <v>504.75487473697353</v>
      </c>
      <c r="GY77" s="59">
        <f t="shared" si="83"/>
        <v>772.98090383992439</v>
      </c>
      <c r="GZ77" s="59">
        <f ca="1">AVERAGE(OFFSET($GY$3,0,0,'Données projet'!$E$18+1,1))-AVERAGE(OFFSET($H$3,0,0,'Données projet'!$E$18+1,1))</f>
        <v>348.77506423101278</v>
      </c>
      <c r="HA77" s="59">
        <f t="shared" si="106"/>
        <v>336.13747591329548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20.352912470697976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20.352912470697976</v>
      </c>
    </row>
    <row r="78" spans="1:218" x14ac:dyDescent="0.2">
      <c r="A78" s="10">
        <f t="shared" si="85"/>
        <v>75</v>
      </c>
      <c r="B78" s="71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5">
        <f t="shared" si="56"/>
        <v>183.33333333333334</v>
      </c>
      <c r="I78" s="6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15.115000000000002</v>
      </c>
      <c r="N78" s="13">
        <f>IF('Données projet'!$A$36&gt;35,N77+M78-V77,IF(A78&lt;'Données projet'!$A$36,$K$205^A78,IF(A78='Données projet'!$A$36,'Données projet'!$B$36,N77+M78-V77)))</f>
        <v>435.44999999999993</v>
      </c>
      <c r="O78" s="13">
        <f>N78*VLOOKUP('Données projet'!$B$9,Paramètres!$A$1:$I$89,3,0)*VLOOKUP('Données projet'!$B$9,Paramètres!$A$1:$I$89,5,0)</f>
        <v>203.79059999999998</v>
      </c>
      <c r="P78" s="13">
        <f t="shared" si="87"/>
        <v>50.57631437420887</v>
      </c>
      <c r="Q78" s="20">
        <f t="shared" si="54"/>
        <v>443.02237586841375</v>
      </c>
      <c r="R78" s="59">
        <f t="shared" si="55"/>
        <v>711.68396056823849</v>
      </c>
      <c r="S78" s="59">
        <f ca="1">AVERAGE(OFFSET($R$3,0,0,'Données projet'!$E$9+1,1))-AVERAGE(OFFSET($H$3,0,0,'Données projet'!$E$9+1,1))</f>
        <v>387.50901594883317</v>
      </c>
      <c r="T78" s="59">
        <f t="shared" si="88"/>
        <v>361.3623790401972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60.025455917775325</v>
      </c>
      <c r="AA78" s="21">
        <f>EXP(-LN(2)/25)*AA77+(1-EXP(-LN(2)/25))/(LN(2)/25)*Calculateur!V78*Calculateur!X78*VLOOKUP('Données projet'!$B$9,Paramètres!$A$1:$I$89,3,0)*0.475*44/12</f>
        <v>28.729771725943529</v>
      </c>
      <c r="AB78" s="21">
        <f>EXP(-LN(2)/2)*AB77+(1-EXP(-LN(2)/2))/(LN(2)/2)*V78*Y78*VLOOKUP('Données projet'!$B$9,Paramètres!$A$1:$I$89,3,0)*0.475*44/12</f>
        <v>1.6963618876782947</v>
      </c>
      <c r="AC78" s="22">
        <f t="shared" si="57"/>
        <v>90.451589531397147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9.782</v>
      </c>
      <c r="AI78" s="13">
        <f>IF('Données projet'!$A$62&gt;35,AI77+AH78-AQ77,IF(A78&lt;'Données projet'!$A$62,$AF$205^A78,IF(A78='Données projet'!$A$62,'Données projet'!$B$62,AI77+AH78-AQ77)))</f>
        <v>471.09000000000003</v>
      </c>
      <c r="AJ78" s="13">
        <f>AI78*VLOOKUP('Données projet'!$B$10,Paramètres!$A$1:$I$89,3,0)*VLOOKUP('Données projet'!$B$10,Paramètres!$A$1:$I$89,5,0)</f>
        <v>281.71182000000005</v>
      </c>
      <c r="AK78" s="13">
        <f t="shared" si="89"/>
        <v>67.328637229880215</v>
      </c>
      <c r="AL78" s="20">
        <f t="shared" si="58"/>
        <v>607.91212967537479</v>
      </c>
      <c r="AM78" s="59">
        <f t="shared" si="59"/>
        <v>876.57371437519964</v>
      </c>
      <c r="AN78" s="59">
        <f ca="1">AVERAGE(OFFSET($AM$3,0,0,'Données projet'!$E$10+1,1))-AVERAGE(OFFSET($H$3,0,0,'Données projet'!$E$10+1,1))</f>
        <v>373.47758082856359</v>
      </c>
      <c r="AO78" s="59">
        <f t="shared" si="90"/>
        <v>277.24895424120166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48.218851284927396</v>
      </c>
      <c r="AV78" s="21">
        <f>EXP(-LN(2)/25)*AV77+(1-EXP(-LN(2)/25))/(LN(2)/25)*Calculateur!AQ78*Calculateur!AS78*VLOOKUP('Données projet'!$B$10,Paramètres!$A$1:$I$89,3,0)*0.475*44/12</f>
        <v>17.938162791236117</v>
      </c>
      <c r="AW78" s="21">
        <f>EXP(-LN(2)/2)*AW77+(1-EXP(-LN(2)/2))/(LN(2)/2)*AQ78*AT78*VLOOKUP('Données projet'!$B$10,Paramètres!$A$1:$I$89,3,0)*0.475*44/12</f>
        <v>1.104792985235395</v>
      </c>
      <c r="AX78" s="21">
        <f t="shared" si="60"/>
        <v>67.261807061398898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12.905000000000006</v>
      </c>
      <c r="BD78" s="12">
        <f>IF('Données projet'!$A$88&gt;35,BD77+BC78-BL77,IF(A78&lt;'Données projet'!$A$88,$BA$205^A78,IF(A78='Données projet'!$A$88,'Données projet'!$B$88,BD77+BC78-BL77)))</f>
        <v>658.6649999999994</v>
      </c>
      <c r="BE78" s="13">
        <f>BD78*VLOOKUP('Données projet'!$B$11,Paramètres!$A$1:$I$89,3,0)*VLOOKUP('Données projet'!$B$11,Paramètres!$A$1:$I$89,5,0)</f>
        <v>393.88166999999964</v>
      </c>
      <c r="BF78" s="13">
        <f t="shared" si="91"/>
        <v>90.535157149196806</v>
      </c>
      <c r="BG78" s="20">
        <f t="shared" si="61"/>
        <v>843.69264061818376</v>
      </c>
      <c r="BH78" s="59">
        <f t="shared" si="62"/>
        <v>1112.3542253180085</v>
      </c>
      <c r="BI78" s="59">
        <f ca="1">AVERAGE(OFFSET($BH$3,0,0,'Données projet'!$E$11+1,1))-AVERAGE(OFFSET($H$3,0,0,'Données projet'!$E$11+1,1))</f>
        <v>460.88622650237176</v>
      </c>
      <c r="BJ78" s="59">
        <f t="shared" si="92"/>
        <v>396.05161661639647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52.330542596695096</v>
      </c>
      <c r="BQ78" s="21">
        <f>EXP(-LN(2)/25)*BQ77+(1-EXP(-LN(2)/25))/(LN(2)/25)*Calculateur!BL78*Calculateur!BN78*VLOOKUP('Données projet'!$B$11,Paramètres!$A$1:$I$89,3,0)*0.475*44/12</f>
        <v>18.273754739303278</v>
      </c>
      <c r="BR78" s="21">
        <f>EXP(-LN(2)/2)*BR77+(1-EXP(-LN(2)/2))/(LN(2)/2)*BL78*BO78*VLOOKUP('Données projet'!$B$11,Paramètres!$A$1:$I$89,3,0)*0.475*44/12</f>
        <v>0.35522422873499532</v>
      </c>
      <c r="BS78" s="22">
        <f t="shared" si="63"/>
        <v>70.959521564733379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-1.1368683772161603E-13</v>
      </c>
      <c r="BZ78" s="13">
        <f>BY78*VLOOKUP('Données projet'!$B$12,Paramètres!$A$1:$I$89,3,0)*VLOOKUP('Données projet'!$B$12,Paramètres!$A$1:$I$89,5,0)</f>
        <v>-5.1727511163335289E-14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341.60063595566282</v>
      </c>
      <c r="CE78" s="59">
        <f t="shared" si="94"/>
        <v>317.05609766344219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203.50497079409453</v>
      </c>
      <c r="CL78" s="21">
        <f>EXP(-LN(2)/25)*CL77+(1-EXP(-LN(2)/25))/(LN(2)/25)*Calculateur!CG78*Calculateur!CI78*VLOOKUP('Données projet'!$B$12,Paramètres!$A$1:$I$89,3,0)*0.475*44/12</f>
        <v>42.054948623062899</v>
      </c>
      <c r="CM78" s="21">
        <f>EXP(-LN(2)/2)*CM77+(1-EXP(-LN(2)/2))/(LN(2)/2)*CG78*CJ78*VLOOKUP('Données projet'!$B$12,Paramètres!$A$1:$I$89,3,0)*0.475*44/12</f>
        <v>4.9211156819005302</v>
      </c>
      <c r="CN78" s="22">
        <f t="shared" si="66"/>
        <v>250.48103509905795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147.44</v>
      </c>
      <c r="CR78" s="12">
        <f>VLOOKUP(A78,'Données projet'!$A$139:$I$159,9,0)</f>
        <v>2.5660000000000025</v>
      </c>
      <c r="CS78" s="12">
        <f t="array" ref="CS78">INDEX(CR:CR,MIN(IF(ISNUMBER(CR78:CR274),ROW(CR78:CR274),"")))</f>
        <v>2.5660000000000025</v>
      </c>
      <c r="CT78" s="12">
        <f>IF('Données projet'!$A$140&gt;35,CT77+CS78-DB77,IF(A78&lt;'Données projet'!$A$140,$CQ$205^A78,IF(A78='Données projet'!$A$140,'Données projet'!$B$140,CT77+CS78-DB77)))</f>
        <v>147.44000000000003</v>
      </c>
      <c r="CU78" s="17">
        <f>CT78*VLOOKUP('Données projet'!$B$13,Paramètres!$A$1:$I$89,3,0)*VLOOKUP('Données projet'!$B$13,Paramètres!$A$1:$I$89,5,0)</f>
        <v>154.10428800000003</v>
      </c>
      <c r="CV78" s="13">
        <f t="shared" si="95"/>
        <v>39.509829391620059</v>
      </c>
      <c r="CW78" s="20">
        <f t="shared" si="67"/>
        <v>337.21125445707168</v>
      </c>
      <c r="CX78" s="59">
        <f t="shared" si="68"/>
        <v>605.87283915689648</v>
      </c>
      <c r="CY78" s="59">
        <f ca="1">AVERAGE(OFFSET($CX$3,0,0,'Données projet'!$E$13+1,1))-AVERAGE(OFFSET($H$3,0,0,'Données projet'!$E$13+1,1))</f>
        <v>287.73449456153207</v>
      </c>
      <c r="CZ78" s="59">
        <f t="shared" si="96"/>
        <v>296.74833899433281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9.6199999999999992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20.560461747231084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20.560461747231084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229.61</v>
      </c>
      <c r="DM78" s="12">
        <f>VLOOKUP(A78,'Données projet'!$A$165:$I$185,9,0)</f>
        <v>7.3250000000000028</v>
      </c>
      <c r="DN78" s="12">
        <f t="array" ref="DN78">INDEX(DM:DM,MIN(IF(ISNUMBER(DM78:DM274),ROW(DM78:DM274),"")))</f>
        <v>7.3250000000000028</v>
      </c>
      <c r="DO78" s="12">
        <f>IF('Données projet'!$A$166&gt;35,DO77+DN78-DW77,IF(A78&lt;'Données projet'!$A$166,$DL$205^A78,IF(A78='Données projet'!$A$166,'Données projet'!$B$166,DO77+DN78-DW77)))</f>
        <v>229.60999999999996</v>
      </c>
      <c r="DP78" s="17">
        <f>DO78*VLOOKUP('Données projet'!$B$14,Paramètres!$A$1:$I$89,3,0)*VLOOKUP('Données projet'!$B$14,Paramètres!$A$1:$I$89,5,0)</f>
        <v>232.82453999999996</v>
      </c>
      <c r="DQ78" s="13">
        <f t="shared" si="97"/>
        <v>56.892978589833511</v>
      </c>
      <c r="DR78" s="20">
        <f t="shared" si="70"/>
        <v>504.59134487729324</v>
      </c>
      <c r="DS78" s="59">
        <f t="shared" si="71"/>
        <v>773.25292957711804</v>
      </c>
      <c r="DT78" s="59">
        <f ca="1">AVERAGE(OFFSET($DS$3,0,0,'Données projet'!$E$14+1,1))-AVERAGE(OFFSET($H$3,0,0,'Données projet'!$E$14+1,1))</f>
        <v>532.34688562681413</v>
      </c>
      <c r="DU78" s="59">
        <f t="shared" si="98"/>
        <v>345.42627129678556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39.54</v>
      </c>
      <c r="DX78" s="16">
        <f>IF(ISNA(VLOOKUP(A78,'Données projet'!$A$165:$I$185,5,0)),0%,VLOOKUP(A78,'Données projet'!$A$165:$I$185,5,0)*VLOOKUP('Données projet'!$B$14,Paramètres!$A$1:$I$89,7,0))</f>
        <v>0.215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32.77107608368577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32.77107608368577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-5.6843418860808015E-14</v>
      </c>
      <c r="EK78" s="17">
        <f>EJ78*VLOOKUP('Données projet'!$B$15,Paramètres!$A$1:$I$89,3,0)*VLOOKUP('Données projet'!$B$15,Paramètres!$A$1:$I$89,5,0)</f>
        <v>-5.1431925385259088E-14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256.20286603823035</v>
      </c>
      <c r="EP78" s="59">
        <f t="shared" si="100"/>
        <v>364.83827155069434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27.793322347976058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27.793322347976058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229.61</v>
      </c>
      <c r="FC78" s="12">
        <f>VLOOKUP(A78,'Données projet'!$A$217:$I$237,9,0)</f>
        <v>7.3250000000000028</v>
      </c>
      <c r="FD78" s="12">
        <f t="array" ref="FD78">INDEX(FC:FC,MIN(IF(ISNUMBER(FC78:FC274),ROW(FC78:FC274),"")))</f>
        <v>7.3250000000000028</v>
      </c>
      <c r="FE78" s="12">
        <f>IF('Données projet'!$A$218&gt;35,FE77+FD78-FM77,IF(A78&lt;'Données projet'!$A$218,$FB$205^A78,IF(A78='Données projet'!$A$218,'Données projet'!$B$218,FE77+FD78-FM77)))</f>
        <v>229.60999999999996</v>
      </c>
      <c r="FF78" s="17">
        <f>FE78*VLOOKUP('Données projet'!$B$16,Paramètres!$A$1:$I$89,3,0)*VLOOKUP('Données projet'!$B$16,Paramètres!$A$1:$I$89,5,0)</f>
        <v>154.02238799999998</v>
      </c>
      <c r="FG78" s="13">
        <f t="shared" si="101"/>
        <v>39.49127513856056</v>
      </c>
      <c r="FH78" s="20">
        <f t="shared" si="76"/>
        <v>337.0362966329929</v>
      </c>
      <c r="FI78" s="59">
        <f t="shared" si="77"/>
        <v>605.6978813328177</v>
      </c>
      <c r="FJ78" s="59">
        <f ca="1">AVERAGE(OFFSET($FI$3,0,0,'Données projet'!$E$16+1,1))-AVERAGE(OFFSET($H$3,0,0,'Données projet'!$E$16+1,1))</f>
        <v>380.73695370216979</v>
      </c>
      <c r="FK78" s="59">
        <f t="shared" si="102"/>
        <v>249.34467160415713</v>
      </c>
      <c r="FL78" s="15">
        <f>IF(ISNA(VLOOKUP(A78,'Données projet'!$A$217:$I$237,3,0)),0,VLOOKUP(A78,'Données projet'!$A$217:$I$237,3,0))</f>
        <v>5</v>
      </c>
      <c r="FM78" s="15">
        <f>IF(ISNA(VLOOKUP(A78,'Données projet'!$A$217:$I$237,4,0)),0,VLOOKUP(A78,'Données projet'!$A$217:$I$237,4,0))</f>
        <v>39.54</v>
      </c>
      <c r="FN78" s="16">
        <f>IF(ISNA(VLOOKUP(A78,'Données projet'!$A$217:$I$237,5,0)),0%,VLOOKUP(A78,'Données projet'!$A$217:$I$237,5,0)*VLOOKUP('Données projet'!$B$16,Paramètres!$A$1:$I$89,7,0))</f>
        <v>0.26500000000000001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26.721031268236093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26.721031268236093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229.61</v>
      </c>
      <c r="FX78" s="12">
        <f>VLOOKUP(A78,'Données projet'!$A$243:$I$263,9,0)</f>
        <v>7.3250000000000028</v>
      </c>
      <c r="FY78" s="12">
        <f t="array" ref="FY78">INDEX(FX:FX,MIN(IF(ISNUMBER(FX78:FX274),ROW(FX78:FX274),"")))</f>
        <v>7.3250000000000028</v>
      </c>
      <c r="FZ78" s="12">
        <f>IF('Données projet'!$A$244&gt;35,FZ77+FY78-GH77,IF(A78&lt;'Données projet'!$A$244,$FW$205^A78,IF(A78='Données projet'!$A$244,'Données projet'!$B$244,FZ77+FY78-GH77)))</f>
        <v>229.60999999999996</v>
      </c>
      <c r="GA78" s="17">
        <f>FZ78*VLOOKUP('Données projet'!$B$17,Paramètres!$A$1:$I$89,3,0)*VLOOKUP('Données projet'!$B$17,Paramètres!$A$1:$I$89,5,0)</f>
        <v>222.07879199999999</v>
      </c>
      <c r="GB78" s="13">
        <f t="shared" si="103"/>
        <v>54.566453291275167</v>
      </c>
      <c r="GC78" s="20">
        <f t="shared" si="79"/>
        <v>481.8238022156375</v>
      </c>
      <c r="GD78" s="59">
        <f t="shared" si="80"/>
        <v>750.4853869154623</v>
      </c>
      <c r="GE78" s="59">
        <f ca="1">AVERAGE(OFFSET($GD$3,0,0,'Données projet'!$E$17+1,1))-AVERAGE(OFFSET($H$3,0,0,'Données projet'!$E$17+1,1))</f>
        <v>511.7458522930001</v>
      </c>
      <c r="GF78" s="59">
        <f t="shared" si="104"/>
        <v>332.37317679966122</v>
      </c>
      <c r="GG78" s="15">
        <f>IF(ISNA(VLOOKUP(A78,'Données projet'!$A$243:$I$263,3,0)),0,VLOOKUP(A78,'Données projet'!$A$243:$I$263,3,0))</f>
        <v>5</v>
      </c>
      <c r="GH78" s="15">
        <f>IF(ISNA(VLOOKUP(A78,'Données projet'!$A$243:$I$263,4,0)),0,VLOOKUP(A78,'Données projet'!$A$243:$I$263,4,0))</f>
        <v>39.54</v>
      </c>
      <c r="GI78" s="16">
        <f>IF(ISNA(VLOOKUP(A78,'Données projet'!$A$243:$I$263,5,0)),0%,VLOOKUP(A78,'Données projet'!$A$243:$I$263,5,0)*VLOOKUP('Données projet'!$B$17,Paramètres!$A$1:$I$89,7,0))</f>
        <v>0.215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31.258564879823346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31.258564879823346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270</v>
      </c>
      <c r="GS78" s="12">
        <f>VLOOKUP(A78,'Données projet'!$A$269:$I$289,9,0)</f>
        <v>3.4</v>
      </c>
      <c r="GT78" s="12">
        <f t="array" ref="GT78">INDEX(GS:GS,MIN(IF(ISNUMBER(GS78:GS274),ROW(GS78:GS274),"")))</f>
        <v>3.4</v>
      </c>
      <c r="GU78" s="12">
        <f>IF('Données projet'!$A$270&gt;35,GU77+GT78-HC77,IF(A78&lt;'Données projet'!$A$270,$GR$205^A78,IF(A78='Données projet'!$A$270,'Données projet'!$B$270,GU77+GT78-HC77)))</f>
        <v>269.99999999999977</v>
      </c>
      <c r="GV78" s="17">
        <f>GU78*VLOOKUP('Données projet'!$B$18,Paramètres!$A$1:$I$89,3,0)*VLOOKUP('Données projet'!$B$18,Paramètres!$A$1:$I$89,5,0)</f>
        <v>235.87199999999982</v>
      </c>
      <c r="GW78" s="13">
        <f t="shared" si="105"/>
        <v>57.55047634701522</v>
      </c>
      <c r="GX78" s="20">
        <f t="shared" si="82"/>
        <v>511.04414630438458</v>
      </c>
      <c r="GY78" s="59">
        <f t="shared" si="83"/>
        <v>779.70573100420938</v>
      </c>
      <c r="GZ78" s="59">
        <f ca="1">AVERAGE(OFFSET($GY$3,0,0,'Données projet'!$E$18+1,1))-AVERAGE(OFFSET($H$3,0,0,'Données projet'!$E$18+1,1))</f>
        <v>348.77506423101278</v>
      </c>
      <c r="HA78" s="59">
        <f t="shared" si="106"/>
        <v>336.13747591329548</v>
      </c>
      <c r="HB78" s="15">
        <f>IF(ISNA(VLOOKUP(A78,'Données projet'!$A$269:$I$289,3,0)),0,VLOOKUP(A78,'Données projet'!$A$269:$I$289,3,0))</f>
        <v>13</v>
      </c>
      <c r="HC78" s="15">
        <f>IF(ISNA(VLOOKUP(A78,'Données projet'!$A$269:$I$289,4,0)),0,VLOOKUP(A78,'Données projet'!$A$269:$I$289,4,0))</f>
        <v>9</v>
      </c>
      <c r="HD78" s="16">
        <f>IF(ISNA(VLOOKUP(A78,'Données projet'!$A$269:$I$289,5,0)),0%,VLOOKUP(A78,'Données projet'!$A$269:$I$289,5,0)*VLOOKUP('Données projet'!$B$18,Paramètres!$A$1:$I$89,7,0))</f>
        <v>0.371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23.178406536965202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23.178406536965202</v>
      </c>
    </row>
    <row r="79" spans="1:218" x14ac:dyDescent="0.2">
      <c r="A79" s="10">
        <f t="shared" si="85"/>
        <v>76</v>
      </c>
      <c r="B79" s="71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5">
        <f t="shared" si="56"/>
        <v>183.33333333333334</v>
      </c>
      <c r="I79" s="6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15.115000000000002</v>
      </c>
      <c r="N79" s="13">
        <f>IF('Données projet'!$A$36&gt;35,N78+M79-V78,IF(A79&lt;'Données projet'!$A$36,$K$205^A79,IF(A79='Données projet'!$A$36,'Données projet'!$B$36,N78+M79-V78)))</f>
        <v>450.56499999999994</v>
      </c>
      <c r="O79" s="13">
        <f>N79*VLOOKUP('Données projet'!$B$9,Paramètres!$A$1:$I$89,3,0)*VLOOKUP('Données projet'!$B$9,Paramètres!$A$1:$I$89,5,0)</f>
        <v>210.86441999999997</v>
      </c>
      <c r="P79" s="13">
        <f t="shared" si="87"/>
        <v>52.12443803219238</v>
      </c>
      <c r="Q79" s="20">
        <f t="shared" si="54"/>
        <v>458.03892773940169</v>
      </c>
      <c r="R79" s="59">
        <f t="shared" si="55"/>
        <v>727.12851212025112</v>
      </c>
      <c r="S79" s="59">
        <f ca="1">AVERAGE(OFFSET($R$3,0,0,'Données projet'!$E$9+1,1))-AVERAGE(OFFSET($H$3,0,0,'Données projet'!$E$9+1,1))</f>
        <v>387.50901594883317</v>
      </c>
      <c r="T79" s="59">
        <f t="shared" si="88"/>
        <v>361.3623790401972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58.848393339140735</v>
      </c>
      <c r="AA79" s="21">
        <f>EXP(-LN(2)/25)*AA78+(1-EXP(-LN(2)/25))/(LN(2)/25)*Calculateur!V79*Calculateur!X79*VLOOKUP('Données projet'!$B$9,Paramètres!$A$1:$I$89,3,0)*0.475*44/12</f>
        <v>27.944154607264572</v>
      </c>
      <c r="AB79" s="21">
        <f>EXP(-LN(2)/2)*AB78+(1-EXP(-LN(2)/2))/(LN(2)/2)*V79*Y79*VLOOKUP('Données projet'!$B$9,Paramètres!$A$1:$I$89,3,0)*0.475*44/12</f>
        <v>1.1995089941237347</v>
      </c>
      <c r="AC79" s="22">
        <f t="shared" si="57"/>
        <v>87.992056940529039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9.782</v>
      </c>
      <c r="AI79" s="13">
        <f>IF('Données projet'!$A$62&gt;35,AI78+AH79-AQ78,IF(A79&lt;'Données projet'!$A$62,$AF$205^A79,IF(A79='Données projet'!$A$62,'Données projet'!$B$62,AI78+AH79-AQ78)))</f>
        <v>480.87200000000001</v>
      </c>
      <c r="AJ79" s="13">
        <f>AI79*VLOOKUP('Données projet'!$B$10,Paramètres!$A$1:$I$89,3,0)*VLOOKUP('Données projet'!$B$10,Paramètres!$A$1:$I$89,5,0)</f>
        <v>287.56145600000002</v>
      </c>
      <c r="AK79" s="13">
        <f t="shared" si="89"/>
        <v>68.562475277867222</v>
      </c>
      <c r="AL79" s="20">
        <f t="shared" si="58"/>
        <v>620.24918030895208</v>
      </c>
      <c r="AM79" s="59">
        <f t="shared" si="59"/>
        <v>889.33876468980156</v>
      </c>
      <c r="AN79" s="59">
        <f ca="1">AVERAGE(OFFSET($AM$3,0,0,'Données projet'!$E$10+1,1))-AVERAGE(OFFSET($H$3,0,0,'Données projet'!$E$10+1,1))</f>
        <v>373.47758082856359</v>
      </c>
      <c r="AO79" s="59">
        <f t="shared" si="90"/>
        <v>277.24895424120166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47.273309021825199</v>
      </c>
      <c r="AV79" s="21">
        <f>EXP(-LN(2)/25)*AV78+(1-EXP(-LN(2)/25))/(LN(2)/25)*Calculateur!AQ79*Calculateur!AS79*VLOOKUP('Données projet'!$B$10,Paramètres!$A$1:$I$89,3,0)*0.475*44/12</f>
        <v>17.447642786382783</v>
      </c>
      <c r="AW79" s="21">
        <f>EXP(-LN(2)/2)*AW78+(1-EXP(-LN(2)/2))/(LN(2)/2)*AQ79*AT79*VLOOKUP('Données projet'!$B$10,Paramètres!$A$1:$I$89,3,0)*0.475*44/12</f>
        <v>0.78120661166727712</v>
      </c>
      <c r="AX79" s="21">
        <f t="shared" si="60"/>
        <v>65.502158419875258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>
        <f>VLOOKUP(A79,'Données projet'!$A$87:$I$107,2,0)</f>
        <v>671.57</v>
      </c>
      <c r="BB79" s="12">
        <f>VLOOKUP(A79,'Données projet'!$A$87:$I$107,9,0)</f>
        <v>12.905000000000006</v>
      </c>
      <c r="BC79" s="12">
        <f t="array" ref="BC79">INDEX(BB:BB,MIN(IF(ISNUMBER(BB79:BB275),ROW(BB79:BB275),"")))</f>
        <v>12.905000000000006</v>
      </c>
      <c r="BD79" s="12">
        <f>IF('Données projet'!$A$88&gt;35,BD78+BC79-BL78,IF(A79&lt;'Données projet'!$A$88,$BA$205^A79,IF(A79='Données projet'!$A$88,'Données projet'!$B$88,BD78+BC79-BL78)))</f>
        <v>671.56999999999937</v>
      </c>
      <c r="BE79" s="13">
        <f>BD79*VLOOKUP('Données projet'!$B$11,Paramètres!$A$1:$I$89,3,0)*VLOOKUP('Données projet'!$B$11,Paramètres!$A$1:$I$89,5,0)</f>
        <v>401.59885999999966</v>
      </c>
      <c r="BF79" s="13">
        <f t="shared" si="91"/>
        <v>92.10073425419408</v>
      </c>
      <c r="BG79" s="20">
        <f t="shared" si="61"/>
        <v>859.86012665938733</v>
      </c>
      <c r="BH79" s="59">
        <f t="shared" si="62"/>
        <v>1128.9497110402367</v>
      </c>
      <c r="BI79" s="59">
        <f ca="1">AVERAGE(OFFSET($BH$3,0,0,'Données projet'!$E$11+1,1))-AVERAGE(OFFSET($H$3,0,0,'Données projet'!$E$11+1,1))</f>
        <v>460.88622650237176</v>
      </c>
      <c r="BJ79" s="59">
        <f t="shared" si="92"/>
        <v>396.05161661639647</v>
      </c>
      <c r="BK79" s="15">
        <f>IF(ISNA(VLOOKUP(A79,'Données projet'!$A$87:$I$107,3,0)),0,VLOOKUP(A79,'Données projet'!$A$87:$I$107,3,0))</f>
        <v>8</v>
      </c>
      <c r="BL79" s="15">
        <f>IF(ISNA(VLOOKUP(A79,'Données projet'!$A$87:$I$107,4,0)),0,VLOOKUP(A79,'Données projet'!$A$87:$I$107,4,0))</f>
        <v>671.57</v>
      </c>
      <c r="BM79" s="16">
        <f>IF(ISNA(VLOOKUP(A79,'Données projet'!$A$87:$I$107,5,0)),0%,VLOOKUP(A79,'Données projet'!$A$87:$I$107,5,0)*VLOOKUP('Données projet'!$B$11,Paramètres!$A$1:$I$89,7,0))</f>
        <v>0.36000000000000004</v>
      </c>
      <c r="BN79" s="16">
        <f>IF(ISNA(VLOOKUP(A79,'Données projet'!$A$87:$I$107,6,0)),0%,VLOOKUP(A79,'Données projet'!$A$87:$I$107,6,0)*VLOOKUP('Données projet'!$B$11,Paramètres!$A$1:$I$89,7,0))</f>
        <v>4.9500000000000002E-2</v>
      </c>
      <c r="BO79" s="16">
        <f>IF(ISNA(VLOOKUP(A79,'Données projet'!$A$87:$I$107,7,0)),0%,VLOOKUP(A79,'Données projet'!$A$87:$I$107,7,0))</f>
        <v>0.09</v>
      </c>
      <c r="BP79" s="21">
        <f>EXP(-LN(2)/35)*BP78+(1-EXP(-LN(2)/35))/(LN(2)/35)*BL79*BM79*VLOOKUP('Données projet'!$B$11,Paramètres!$A$1:$I$89,3,0)*0.475*44/12</f>
        <v>243.09321086242767</v>
      </c>
      <c r="BQ79" s="21">
        <f>EXP(-LN(2)/25)*BQ78+(1-EXP(-LN(2)/25))/(LN(2)/25)*Calculateur!BL79*Calculateur!BN79*VLOOKUP('Données projet'!$B$11,Paramètres!$A$1:$I$89,3,0)*0.475*44/12</f>
        <v>44.041190681151505</v>
      </c>
      <c r="BR79" s="21">
        <f>EXP(-LN(2)/2)*BR78+(1-EXP(-LN(2)/2))/(LN(2)/2)*BL79*BO79*VLOOKUP('Données projet'!$B$11,Paramètres!$A$1:$I$89,3,0)*0.475*44/12</f>
        <v>41.174469455743129</v>
      </c>
      <c r="BS79" s="22">
        <f t="shared" si="63"/>
        <v>328.30887099932232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-1.1368683772161603E-13</v>
      </c>
      <c r="BZ79" s="13">
        <f>BY79*VLOOKUP('Données projet'!$B$12,Paramètres!$A$1:$I$89,3,0)*VLOOKUP('Données projet'!$B$12,Paramètres!$A$1:$I$89,5,0)</f>
        <v>-5.1727511163335289E-14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341.60063595566282</v>
      </c>
      <c r="CE79" s="59">
        <f t="shared" si="94"/>
        <v>317.05609766344219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199.51436244259813</v>
      </c>
      <c r="CL79" s="21">
        <f>EXP(-LN(2)/25)*CL78+(1-EXP(-LN(2)/25))/(LN(2)/25)*Calculateur!CG79*Calculateur!CI79*VLOOKUP('Données projet'!$B$12,Paramètres!$A$1:$I$89,3,0)*0.475*44/12</f>
        <v>40.904953841391617</v>
      </c>
      <c r="CM79" s="21">
        <f>EXP(-LN(2)/2)*CM78+(1-EXP(-LN(2)/2))/(LN(2)/2)*CG79*CJ79*VLOOKUP('Données projet'!$B$12,Paramètres!$A$1:$I$89,3,0)*0.475*44/12</f>
        <v>3.4797542696753259</v>
      </c>
      <c r="CN79" s="22">
        <f t="shared" si="66"/>
        <v>243.8990705536651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2.180000000000001</v>
      </c>
      <c r="CT79" s="12">
        <f>IF('Données projet'!$A$140&gt;35,CT78+CS79-DB78,IF(A79&lt;'Données projet'!$A$140,$CQ$205^A79,IF(A79='Données projet'!$A$140,'Données projet'!$B$140,CT78+CS79-DB78)))</f>
        <v>140.00000000000003</v>
      </c>
      <c r="CU79" s="17">
        <f>CT79*VLOOKUP('Données projet'!$B$13,Paramètres!$A$1:$I$89,3,0)*VLOOKUP('Données projet'!$B$13,Paramètres!$A$1:$I$89,5,0)</f>
        <v>146.32800000000003</v>
      </c>
      <c r="CV79" s="13">
        <f t="shared" si="95"/>
        <v>37.74291056436379</v>
      </c>
      <c r="CW79" s="20">
        <f t="shared" si="67"/>
        <v>320.59016923293365</v>
      </c>
      <c r="CX79" s="59">
        <f t="shared" si="68"/>
        <v>589.67975361378308</v>
      </c>
      <c r="CY79" s="59">
        <f ca="1">AVERAGE(OFFSET($CX$3,0,0,'Données projet'!$E$13+1,1))-AVERAGE(OFFSET($H$3,0,0,'Données projet'!$E$13+1,1))</f>
        <v>287.73449456153207</v>
      </c>
      <c r="CZ79" s="59">
        <f t="shared" si="96"/>
        <v>296.74833899433281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20.157283633011264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20.157283633011264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7.0711111111111098</v>
      </c>
      <c r="DO79" s="12">
        <f>IF('Données projet'!$A$166&gt;35,DO78+DN79-DW78,IF(A79&lt;'Données projet'!$A$166,$DL$205^A79,IF(A79='Données projet'!$A$166,'Données projet'!$B$166,DO78+DN79-DW78)))</f>
        <v>197.14111111111109</v>
      </c>
      <c r="DP79" s="17">
        <f>DO79*VLOOKUP('Données projet'!$B$14,Paramètres!$A$1:$I$89,3,0)*VLOOKUP('Données projet'!$B$14,Paramètres!$A$1:$I$89,5,0)</f>
        <v>199.90108666666663</v>
      </c>
      <c r="DQ79" s="13">
        <f t="shared" si="97"/>
        <v>49.722428942703814</v>
      </c>
      <c r="DR79" s="20">
        <f t="shared" si="70"/>
        <v>434.7609563529868</v>
      </c>
      <c r="DS79" s="59">
        <f t="shared" si="71"/>
        <v>703.85054073383617</v>
      </c>
      <c r="DT79" s="59">
        <f ca="1">AVERAGE(OFFSET($DS$3,0,0,'Données projet'!$E$14+1,1))-AVERAGE(OFFSET($H$3,0,0,'Données projet'!$E$14+1,1))</f>
        <v>532.34688562681413</v>
      </c>
      <c r="DU79" s="59">
        <f t="shared" si="98"/>
        <v>345.42627129678556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32.128455270067413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32.128455270067413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-5.6843418860808015E-14</v>
      </c>
      <c r="EK79" s="17">
        <f>EJ79*VLOOKUP('Données projet'!$B$15,Paramètres!$A$1:$I$89,3,0)*VLOOKUP('Données projet'!$B$15,Paramètres!$A$1:$I$89,5,0)</f>
        <v>-5.1431925385259088E-14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256.20286603823035</v>
      </c>
      <c r="EP79" s="59">
        <f t="shared" si="100"/>
        <v>364.83827155069434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27.248312248984984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27.248312248984984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7.0711111111111098</v>
      </c>
      <c r="FE79" s="12">
        <f>IF('Données projet'!$A$218&gt;35,FE78+FD79-FM78,IF(A79&lt;'Données projet'!$A$218,$FB$205^A79,IF(A79='Données projet'!$A$218,'Données projet'!$B$218,FE78+FD79-FM78)))</f>
        <v>197.14111111111109</v>
      </c>
      <c r="FF79" s="17">
        <f>FE79*VLOOKUP('Données projet'!$B$16,Paramètres!$A$1:$I$89,3,0)*VLOOKUP('Données projet'!$B$16,Paramètres!$A$1:$I$89,5,0)</f>
        <v>132.24225733333333</v>
      </c>
      <c r="FG79" s="13">
        <f t="shared" si="101"/>
        <v>34.513962365906593</v>
      </c>
      <c r="FH79" s="20">
        <f t="shared" si="76"/>
        <v>290.43374930950949</v>
      </c>
      <c r="FI79" s="59">
        <f t="shared" si="77"/>
        <v>559.52333369035887</v>
      </c>
      <c r="FJ79" s="59">
        <f ca="1">AVERAGE(OFFSET($FI$3,0,0,'Données projet'!$E$16+1,1))-AVERAGE(OFFSET($H$3,0,0,'Données projet'!$E$16+1,1))</f>
        <v>380.73695370216979</v>
      </c>
      <c r="FK79" s="59">
        <f t="shared" si="102"/>
        <v>249.34467160415713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26.197048143285741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26.197048143285741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7.0711111111111098</v>
      </c>
      <c r="FZ79" s="12">
        <f>IF('Données projet'!$A$244&gt;35,FZ78+FY79-GH78,IF(A79&lt;'Données projet'!$A$244,$FW$205^A79,IF(A79='Données projet'!$A$244,'Données projet'!$B$244,FZ78+FY79-GH78)))</f>
        <v>197.14111111111109</v>
      </c>
      <c r="GA79" s="17">
        <f>FZ79*VLOOKUP('Données projet'!$B$17,Paramètres!$A$1:$I$89,3,0)*VLOOKUP('Données projet'!$B$17,Paramètres!$A$1:$I$89,5,0)</f>
        <v>190.67488266666663</v>
      </c>
      <c r="GB79" s="13">
        <f t="shared" si="103"/>
        <v>47.689129022252089</v>
      </c>
      <c r="GC79" s="20">
        <f t="shared" si="79"/>
        <v>415.15065369153336</v>
      </c>
      <c r="GD79" s="59">
        <f t="shared" si="80"/>
        <v>684.24023807238279</v>
      </c>
      <c r="GE79" s="59">
        <f ca="1">AVERAGE(OFFSET($GD$3,0,0,'Données projet'!$E$17+1,1))-AVERAGE(OFFSET($H$3,0,0,'Données projet'!$E$17+1,1))</f>
        <v>511.7458522930001</v>
      </c>
      <c r="GF79" s="59">
        <f t="shared" si="104"/>
        <v>332.37317679966122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30.645603488371993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30.645603488371993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2.8</v>
      </c>
      <c r="GU79" s="12">
        <f>IF('Données projet'!$A$270&gt;35,GU78+GT79-HC78,IF(A79&lt;'Données projet'!$A$270,$GR$205^A79,IF(A79='Données projet'!$A$270,'Données projet'!$B$270,GU78+GT79-HC78)))</f>
        <v>263.79999999999978</v>
      </c>
      <c r="GV79" s="17">
        <f>GU79*VLOOKUP('Données projet'!$B$18,Paramètres!$A$1:$I$89,3,0)*VLOOKUP('Données projet'!$B$18,Paramètres!$A$1:$I$89,5,0)</f>
        <v>230.45567999999983</v>
      </c>
      <c r="GW79" s="13">
        <f t="shared" si="105"/>
        <v>56.381198848277869</v>
      </c>
      <c r="GX79" s="20">
        <f t="shared" si="82"/>
        <v>499.57423066075035</v>
      </c>
      <c r="GY79" s="59">
        <f t="shared" si="83"/>
        <v>768.66381504159972</v>
      </c>
      <c r="GZ79" s="59">
        <f ca="1">AVERAGE(OFFSET($GY$3,0,0,'Données projet'!$E$18+1,1))-AVERAGE(OFFSET($H$3,0,0,'Données projet'!$E$18+1,1))</f>
        <v>348.77506423101278</v>
      </c>
      <c r="HA79" s="59">
        <f t="shared" si="106"/>
        <v>336.13747591329548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22.723892122207346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22.723892122207346</v>
      </c>
    </row>
    <row r="80" spans="1:218" x14ac:dyDescent="0.2">
      <c r="A80" s="10">
        <f t="shared" si="85"/>
        <v>77</v>
      </c>
      <c r="B80" s="71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5">
        <f t="shared" si="56"/>
        <v>183.33333333333334</v>
      </c>
      <c r="I80" s="6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15.115000000000002</v>
      </c>
      <c r="N80" s="13">
        <f>IF('Données projet'!$A$36&gt;35,N79+M80-V79,IF(A80&lt;'Données projet'!$A$36,$K$205^A80,IF(A80='Données projet'!$A$36,'Données projet'!$B$36,N79+M80-V79)))</f>
        <v>465.67999999999995</v>
      </c>
      <c r="O80" s="13">
        <f>N80*VLOOKUP('Données projet'!$B$9,Paramètres!$A$1:$I$89,3,0)*VLOOKUP('Données projet'!$B$9,Paramètres!$A$1:$I$89,5,0)</f>
        <v>217.93823999999998</v>
      </c>
      <c r="P80" s="13">
        <f t="shared" si="87"/>
        <v>53.666527100584652</v>
      </c>
      <c r="Q80" s="20">
        <f t="shared" si="54"/>
        <v>473.0449693668516</v>
      </c>
      <c r="R80" s="59">
        <f t="shared" si="55"/>
        <v>742.55512859112389</v>
      </c>
      <c r="S80" s="59">
        <f ca="1">AVERAGE(OFFSET($R$3,0,0,'Données projet'!$E$9+1,1))-AVERAGE(OFFSET($H$3,0,0,'Données projet'!$E$9+1,1))</f>
        <v>387.50901594883317</v>
      </c>
      <c r="T80" s="59">
        <f t="shared" si="88"/>
        <v>361.3623790401972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57.69441223973589</v>
      </c>
      <c r="AA80" s="21">
        <f>EXP(-LN(2)/25)*AA79+(1-EXP(-LN(2)/25))/(LN(2)/25)*Calculateur!V80*Calculateur!X80*VLOOKUP('Données projet'!$B$9,Paramètres!$A$1:$I$89,3,0)*0.475*44/12</f>
        <v>27.180020230009699</v>
      </c>
      <c r="AB80" s="21">
        <f>EXP(-LN(2)/2)*AB79+(1-EXP(-LN(2)/2))/(LN(2)/2)*V80*Y80*VLOOKUP('Données projet'!$B$9,Paramètres!$A$1:$I$89,3,0)*0.475*44/12</f>
        <v>0.84818094383914744</v>
      </c>
      <c r="AC80" s="22">
        <f t="shared" si="57"/>
        <v>85.722613413584739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9.782</v>
      </c>
      <c r="AI80" s="13">
        <f>IF('Données projet'!$A$62&gt;35,AI79+AH80-AQ79,IF(A80&lt;'Données projet'!$A$62,$AF$205^A80,IF(A80='Données projet'!$A$62,'Données projet'!$B$62,AI79+AH80-AQ79)))</f>
        <v>490.654</v>
      </c>
      <c r="AJ80" s="13">
        <f>AI80*VLOOKUP('Données projet'!$B$10,Paramètres!$A$1:$I$89,3,0)*VLOOKUP('Données projet'!$B$10,Paramètres!$A$1:$I$89,5,0)</f>
        <v>293.411092</v>
      </c>
      <c r="AK80" s="13">
        <f t="shared" si="89"/>
        <v>69.79339504623151</v>
      </c>
      <c r="AL80" s="20">
        <f t="shared" si="58"/>
        <v>632.58114827218651</v>
      </c>
      <c r="AM80" s="59">
        <f t="shared" si="59"/>
        <v>902.09130749645874</v>
      </c>
      <c r="AN80" s="59">
        <f ca="1">AVERAGE(OFFSET($AM$3,0,0,'Données projet'!$E$10+1,1))-AVERAGE(OFFSET($H$3,0,0,'Données projet'!$E$10+1,1))</f>
        <v>373.47758082856359</v>
      </c>
      <c r="AO80" s="59">
        <f t="shared" si="90"/>
        <v>277.24895424120166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46.346308265778603</v>
      </c>
      <c r="AV80" s="21">
        <f>EXP(-LN(2)/25)*AV79+(1-EXP(-LN(2)/25))/(LN(2)/25)*Calculateur!AQ80*Calculateur!AS80*VLOOKUP('Données projet'!$B$10,Paramètres!$A$1:$I$89,3,0)*0.475*44/12</f>
        <v>16.970536076857488</v>
      </c>
      <c r="AW80" s="21">
        <f>EXP(-LN(2)/2)*AW79+(1-EXP(-LN(2)/2))/(LN(2)/2)*AQ80*AT80*VLOOKUP('Données projet'!$B$10,Paramètres!$A$1:$I$89,3,0)*0.475*44/12</f>
        <v>0.55239649261769752</v>
      </c>
      <c r="AX80" s="21">
        <f t="shared" si="60"/>
        <v>63.869240835253784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-6.8212102632969618E-13</v>
      </c>
      <c r="BE80" s="13">
        <f>BD80*VLOOKUP('Données projet'!$B$11,Paramètres!$A$1:$I$89,3,0)*VLOOKUP('Données projet'!$B$11,Paramètres!$A$1:$I$89,5,0)</f>
        <v>-4.0790837374515837E-13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460.88622650237176</v>
      </c>
      <c r="BJ80" s="59">
        <f t="shared" si="92"/>
        <v>396.05161661639647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238.32630126963343</v>
      </c>
      <c r="BQ80" s="21">
        <f>EXP(-LN(2)/25)*BQ79+(1-EXP(-LN(2)/25))/(LN(2)/25)*Calculateur!BL80*Calculateur!BN80*VLOOKUP('Données projet'!$B$11,Paramètres!$A$1:$I$89,3,0)*0.475*44/12</f>
        <v>42.83688200594986</v>
      </c>
      <c r="BR80" s="21">
        <f>EXP(-LN(2)/2)*BR79+(1-EXP(-LN(2)/2))/(LN(2)/2)*BL80*BO80*VLOOKUP('Données projet'!$B$11,Paramètres!$A$1:$I$89,3,0)*0.475*44/12</f>
        <v>29.114746563914345</v>
      </c>
      <c r="BS80" s="22">
        <f t="shared" si="63"/>
        <v>310.27792983949763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-1.1368683772161603E-13</v>
      </c>
      <c r="BZ80" s="13">
        <f>BY80*VLOOKUP('Données projet'!$B$12,Paramètres!$A$1:$I$89,3,0)*VLOOKUP('Données projet'!$B$12,Paramètres!$A$1:$I$89,5,0)</f>
        <v>-5.1727511163335289E-14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341.60063595566282</v>
      </c>
      <c r="CE80" s="59">
        <f t="shared" si="94"/>
        <v>317.05609766344219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195.6020074868438</v>
      </c>
      <c r="CL80" s="21">
        <f>EXP(-LN(2)/25)*CL79+(1-EXP(-LN(2)/25))/(LN(2)/25)*Calculateur!CG80*Calculateur!CI80*VLOOKUP('Données projet'!$B$12,Paramètres!$A$1:$I$89,3,0)*0.475*44/12</f>
        <v>39.786405727500728</v>
      </c>
      <c r="CM80" s="21">
        <f>EXP(-LN(2)/2)*CM79+(1-EXP(-LN(2)/2))/(LN(2)/2)*CG80*CJ80*VLOOKUP('Données projet'!$B$12,Paramètres!$A$1:$I$89,3,0)*0.475*44/12</f>
        <v>2.4605578409502651</v>
      </c>
      <c r="CN80" s="22">
        <f t="shared" si="66"/>
        <v>237.84897105529478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2.180000000000001</v>
      </c>
      <c r="CT80" s="12">
        <f>IF('Données projet'!$A$140&gt;35,CT79+CS80-DB79,IF(A80&lt;'Données projet'!$A$140,$CQ$205^A80,IF(A80='Données projet'!$A$140,'Données projet'!$B$140,CT79+CS80-DB79)))</f>
        <v>142.18000000000004</v>
      </c>
      <c r="CU80" s="17">
        <f>CT80*VLOOKUP('Données projet'!$B$13,Paramètres!$A$1:$I$89,3,0)*VLOOKUP('Données projet'!$B$13,Paramètres!$A$1:$I$89,5,0)</f>
        <v>148.60653600000003</v>
      </c>
      <c r="CV80" s="13">
        <f t="shared" si="95"/>
        <v>38.261744119873242</v>
      </c>
      <c r="CW80" s="20">
        <f t="shared" si="67"/>
        <v>325.46225454211259</v>
      </c>
      <c r="CX80" s="59">
        <f t="shared" si="68"/>
        <v>594.97241376638488</v>
      </c>
      <c r="CY80" s="59">
        <f ca="1">AVERAGE(OFFSET($CX$3,0,0,'Données projet'!$E$13+1,1))-AVERAGE(OFFSET($H$3,0,0,'Données projet'!$E$13+1,1))</f>
        <v>287.73449456153207</v>
      </c>
      <c r="CZ80" s="59">
        <f t="shared" si="96"/>
        <v>296.74833899433281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19.762011595696926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19.762011595696926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7.0711111111111098</v>
      </c>
      <c r="DO80" s="12">
        <f>IF('Données projet'!$A$166&gt;35,DO79+DN80-DW79,IF(A80&lt;'Données projet'!$A$166,$DL$205^A80,IF(A80='Données projet'!$A$166,'Données projet'!$B$166,DO79+DN80-DW79)))</f>
        <v>204.21222222222221</v>
      </c>
      <c r="DP80" s="17">
        <f>DO80*VLOOKUP('Données projet'!$B$14,Paramètres!$A$1:$I$89,3,0)*VLOOKUP('Données projet'!$B$14,Paramètres!$A$1:$I$89,5,0)</f>
        <v>207.07119333333335</v>
      </c>
      <c r="DQ80" s="13">
        <f t="shared" si="97"/>
        <v>51.295045536446253</v>
      </c>
      <c r="DR80" s="20">
        <f t="shared" si="70"/>
        <v>449.98786603153286</v>
      </c>
      <c r="DS80" s="59">
        <f t="shared" si="71"/>
        <v>719.49802525580515</v>
      </c>
      <c r="DT80" s="59">
        <f ca="1">AVERAGE(OFFSET($DS$3,0,0,'Données projet'!$E$14+1,1))-AVERAGE(OFFSET($H$3,0,0,'Données projet'!$E$14+1,1))</f>
        <v>532.34688562681413</v>
      </c>
      <c r="DU80" s="59">
        <f t="shared" si="98"/>
        <v>345.42627129678556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31.498435858644118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31.498435858644118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-5.6843418860808015E-14</v>
      </c>
      <c r="EK80" s="17">
        <f>EJ80*VLOOKUP('Données projet'!$B$15,Paramètres!$A$1:$I$89,3,0)*VLOOKUP('Données projet'!$B$15,Paramètres!$A$1:$I$89,5,0)</f>
        <v>-5.1431925385259088E-14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256.20286603823035</v>
      </c>
      <c r="EP80" s="59">
        <f t="shared" si="100"/>
        <v>364.83827155069434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26.713989465611789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26.713989465611789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7.0711111111111098</v>
      </c>
      <c r="FE80" s="12">
        <f>IF('Données projet'!$A$218&gt;35,FE79+FD80-FM79,IF(A80&lt;'Données projet'!$A$218,$FB$205^A80,IF(A80='Données projet'!$A$218,'Données projet'!$B$218,FE79+FD80-FM79)))</f>
        <v>204.21222222222221</v>
      </c>
      <c r="FF80" s="17">
        <f>FE80*VLOOKUP('Données projet'!$B$16,Paramètres!$A$1:$I$89,3,0)*VLOOKUP('Données projet'!$B$16,Paramètres!$A$1:$I$89,5,0)</f>
        <v>136.98555866666666</v>
      </c>
      <c r="FG80" s="13">
        <f t="shared" si="101"/>
        <v>35.605566921166179</v>
      </c>
      <c r="FH80" s="20">
        <f t="shared" si="76"/>
        <v>300.59621039880886</v>
      </c>
      <c r="FI80" s="59">
        <f t="shared" si="77"/>
        <v>570.10636962308115</v>
      </c>
      <c r="FJ80" s="59">
        <f ca="1">AVERAGE(OFFSET($FI$3,0,0,'Données projet'!$E$16+1,1))-AVERAGE(OFFSET($H$3,0,0,'Données projet'!$E$16+1,1))</f>
        <v>380.73695370216979</v>
      </c>
      <c r="FK80" s="59">
        <f t="shared" si="102"/>
        <v>249.34467160415713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25.683340007817517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25.683340007817517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7.0711111111111098</v>
      </c>
      <c r="FZ80" s="12">
        <f>IF('Données projet'!$A$244&gt;35,FZ79+FY80-GH79,IF(A80&lt;'Données projet'!$A$244,$FW$205^A80,IF(A80='Données projet'!$A$244,'Données projet'!$B$244,FZ79+FY80-GH79)))</f>
        <v>204.21222222222221</v>
      </c>
      <c r="GA80" s="17">
        <f>FZ80*VLOOKUP('Données projet'!$B$17,Paramètres!$A$1:$I$89,3,0)*VLOOKUP('Données projet'!$B$17,Paramètres!$A$1:$I$89,5,0)</f>
        <v>197.51406133333333</v>
      </c>
      <c r="GB80" s="13">
        <f t="shared" si="103"/>
        <v>49.197436585584086</v>
      </c>
      <c r="GC80" s="20">
        <f t="shared" si="79"/>
        <v>429.68919220878115</v>
      </c>
      <c r="GD80" s="59">
        <f t="shared" si="80"/>
        <v>699.19935143305338</v>
      </c>
      <c r="GE80" s="59">
        <f ca="1">AVERAGE(OFFSET($GD$3,0,0,'Données projet'!$E$17+1,1))-AVERAGE(OFFSET($H$3,0,0,'Données projet'!$E$17+1,1))</f>
        <v>511.7458522930001</v>
      </c>
      <c r="GF80" s="59">
        <f t="shared" si="104"/>
        <v>332.37317679966122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30.044661895937466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30.044661895937466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2.8</v>
      </c>
      <c r="GU80" s="12">
        <f>IF('Données projet'!$A$270&gt;35,GU79+GT80-HC79,IF(A80&lt;'Données projet'!$A$270,$GR$205^A80,IF(A80='Données projet'!$A$270,'Données projet'!$B$270,GU79+GT80-HC79)))</f>
        <v>266.5999999999998</v>
      </c>
      <c r="GV80" s="17">
        <f>GU80*VLOOKUP('Données projet'!$B$18,Paramètres!$A$1:$I$89,3,0)*VLOOKUP('Données projet'!$B$18,Paramètres!$A$1:$I$89,5,0)</f>
        <v>232.90175999999985</v>
      </c>
      <c r="GW80" s="13">
        <f t="shared" si="105"/>
        <v>56.909651332233778</v>
      </c>
      <c r="GX80" s="20">
        <f t="shared" si="82"/>
        <v>504.75487473697353</v>
      </c>
      <c r="GY80" s="59">
        <f t="shared" si="83"/>
        <v>774.26503396124576</v>
      </c>
      <c r="GZ80" s="59">
        <f ca="1">AVERAGE(OFFSET($GY$3,0,0,'Données projet'!$E$18+1,1))-AVERAGE(OFFSET($H$3,0,0,'Données projet'!$E$18+1,1))</f>
        <v>348.77506423101278</v>
      </c>
      <c r="HA80" s="59">
        <f t="shared" si="106"/>
        <v>336.13747591329548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22.278290457896471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22.278290457896471</v>
      </c>
    </row>
    <row r="81" spans="1:218" x14ac:dyDescent="0.2">
      <c r="A81" s="10">
        <f t="shared" si="85"/>
        <v>78</v>
      </c>
      <c r="B81" s="71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5">
        <f t="shared" si="56"/>
        <v>183.33333333333334</v>
      </c>
      <c r="I81" s="6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15.115000000000002</v>
      </c>
      <c r="N81" s="13">
        <f>IF('Données projet'!$A$36&gt;35,N80+M81-V80,IF(A81&lt;'Données projet'!$A$36,$K$205^A81,IF(A81='Données projet'!$A$36,'Données projet'!$B$36,N80+M81-V80)))</f>
        <v>480.79499999999996</v>
      </c>
      <c r="O81" s="13">
        <f>N81*VLOOKUP('Données projet'!$B$9,Paramètres!$A$1:$I$89,3,0)*VLOOKUP('Données projet'!$B$9,Paramètres!$A$1:$I$89,5,0)</f>
        <v>225.01205999999999</v>
      </c>
      <c r="P81" s="13">
        <f t="shared" si="87"/>
        <v>55.202799914121982</v>
      </c>
      <c r="Q81" s="20">
        <f t="shared" si="54"/>
        <v>488.04088101709573</v>
      </c>
      <c r="R81" s="59">
        <f t="shared" si="55"/>
        <v>757.9643190515219</v>
      </c>
      <c r="S81" s="59">
        <f ca="1">AVERAGE(OFFSET($R$3,0,0,'Données projet'!$E$9+1,1))-AVERAGE(OFFSET($H$3,0,0,'Données projet'!$E$9+1,1))</f>
        <v>387.50901594883317</v>
      </c>
      <c r="T81" s="59">
        <f t="shared" si="88"/>
        <v>361.3623790401972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56.563060005831403</v>
      </c>
      <c r="AA81" s="21">
        <f>EXP(-LN(2)/25)*AA80+(1-EXP(-LN(2)/25))/(LN(2)/25)*Calculateur!V81*Calculateur!X81*VLOOKUP('Données projet'!$B$9,Paramètres!$A$1:$I$89,3,0)*0.475*44/12</f>
        <v>26.43678114748494</v>
      </c>
      <c r="AB81" s="21">
        <f>EXP(-LN(2)/2)*AB80+(1-EXP(-LN(2)/2))/(LN(2)/2)*V81*Y81*VLOOKUP('Données projet'!$B$9,Paramètres!$A$1:$I$89,3,0)*0.475*44/12</f>
        <v>0.59975449706186745</v>
      </c>
      <c r="AC81" s="22">
        <f t="shared" si="57"/>
        <v>83.599595650378205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9.782</v>
      </c>
      <c r="AI81" s="13">
        <f>IF('Données projet'!$A$62&gt;35,AI80+AH81-AQ80,IF(A81&lt;'Données projet'!$A$62,$AF$205^A81,IF(A81='Données projet'!$A$62,'Données projet'!$B$62,AI80+AH81-AQ80)))</f>
        <v>500.43599999999998</v>
      </c>
      <c r="AJ81" s="13">
        <f>AI81*VLOOKUP('Données projet'!$B$10,Paramètres!$A$1:$I$89,3,0)*VLOOKUP('Données projet'!$B$10,Paramètres!$A$1:$I$89,5,0)</f>
        <v>299.26072800000003</v>
      </c>
      <c r="AK81" s="13">
        <f t="shared" si="89"/>
        <v>71.021461421315166</v>
      </c>
      <c r="AL81" s="20">
        <f t="shared" si="58"/>
        <v>644.90814657545729</v>
      </c>
      <c r="AM81" s="59">
        <f t="shared" si="59"/>
        <v>914.83158460988352</v>
      </c>
      <c r="AN81" s="59">
        <f ca="1">AVERAGE(OFFSET($AM$3,0,0,'Données projet'!$E$10+1,1))-AVERAGE(OFFSET($H$3,0,0,'Données projet'!$E$10+1,1))</f>
        <v>373.47758082856359</v>
      </c>
      <c r="AO81" s="59">
        <f t="shared" si="90"/>
        <v>277.24895424120166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45.43748542914345</v>
      </c>
      <c r="AV81" s="21">
        <f>EXP(-LN(2)/25)*AV80+(1-EXP(-LN(2)/25))/(LN(2)/25)*Calculateur!AQ81*Calculateur!AS81*VLOOKUP('Données projet'!$B$10,Paramètres!$A$1:$I$89,3,0)*0.475*44/12</f>
        <v>16.506475875394116</v>
      </c>
      <c r="AW81" s="21">
        <f>EXP(-LN(2)/2)*AW80+(1-EXP(-LN(2)/2))/(LN(2)/2)*AQ81*AT81*VLOOKUP('Données projet'!$B$10,Paramètres!$A$1:$I$89,3,0)*0.475*44/12</f>
        <v>0.39060330583363856</v>
      </c>
      <c r="AX81" s="21">
        <f t="shared" si="60"/>
        <v>62.334564610371203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-6.8212102632969618E-13</v>
      </c>
      <c r="BE81" s="13">
        <f>BD81*VLOOKUP('Données projet'!$B$11,Paramètres!$A$1:$I$89,3,0)*VLOOKUP('Données projet'!$B$11,Paramètres!$A$1:$I$89,5,0)</f>
        <v>-4.0790837374515837E-13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460.88622650237176</v>
      </c>
      <c r="BJ81" s="59">
        <f t="shared" si="92"/>
        <v>396.05161661639647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233.65286786642613</v>
      </c>
      <c r="BQ81" s="21">
        <f>EXP(-LN(2)/25)*BQ80+(1-EXP(-LN(2)/25))/(LN(2)/25)*Calculateur!BL81*Calculateur!BN81*VLOOKUP('Données projet'!$B$11,Paramètres!$A$1:$I$89,3,0)*0.475*44/12</f>
        <v>41.665505214803439</v>
      </c>
      <c r="BR81" s="21">
        <f>EXP(-LN(2)/2)*BR80+(1-EXP(-LN(2)/2))/(LN(2)/2)*BL81*BO81*VLOOKUP('Données projet'!$B$11,Paramètres!$A$1:$I$89,3,0)*0.475*44/12</f>
        <v>20.587234727871568</v>
      </c>
      <c r="BS81" s="22">
        <f t="shared" si="63"/>
        <v>295.90560780910118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-1.1368683772161603E-13</v>
      </c>
      <c r="BZ81" s="13">
        <f>BY81*VLOOKUP('Données projet'!$B$12,Paramètres!$A$1:$I$89,3,0)*VLOOKUP('Données projet'!$B$12,Paramètres!$A$1:$I$89,5,0)</f>
        <v>-5.1727511163335289E-14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341.60063595566282</v>
      </c>
      <c r="CE81" s="59">
        <f t="shared" si="94"/>
        <v>317.05609766344219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191.76637142547094</v>
      </c>
      <c r="CL81" s="21">
        <f>EXP(-LN(2)/25)*CL80+(1-EXP(-LN(2)/25))/(LN(2)/25)*Calculateur!CG81*Calculateur!CI81*VLOOKUP('Données projet'!$B$12,Paramètres!$A$1:$I$89,3,0)*0.475*44/12</f>
        <v>38.698444370606076</v>
      </c>
      <c r="CM81" s="21">
        <f>EXP(-LN(2)/2)*CM80+(1-EXP(-LN(2)/2))/(LN(2)/2)*CG81*CJ81*VLOOKUP('Données projet'!$B$12,Paramètres!$A$1:$I$89,3,0)*0.475*44/12</f>
        <v>1.7398771348376629</v>
      </c>
      <c r="CN81" s="22">
        <f t="shared" si="66"/>
        <v>232.20469293091466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2.180000000000001</v>
      </c>
      <c r="CT81" s="12">
        <f>IF('Données projet'!$A$140&gt;35,CT80+CS81-DB80,IF(A81&lt;'Données projet'!$A$140,$CQ$205^A81,IF(A81='Données projet'!$A$140,'Données projet'!$B$140,CT80+CS81-DB80)))</f>
        <v>144.36000000000004</v>
      </c>
      <c r="CU81" s="17">
        <f>CT81*VLOOKUP('Données projet'!$B$13,Paramètres!$A$1:$I$89,3,0)*VLOOKUP('Données projet'!$B$13,Paramètres!$A$1:$I$89,5,0)</f>
        <v>150.88507200000006</v>
      </c>
      <c r="CV81" s="13">
        <f t="shared" si="95"/>
        <v>38.779652488381629</v>
      </c>
      <c r="CW81" s="20">
        <f t="shared" si="67"/>
        <v>330.33272848393142</v>
      </c>
      <c r="CX81" s="59">
        <f t="shared" si="68"/>
        <v>600.25616651835765</v>
      </c>
      <c r="CY81" s="59">
        <f ca="1">AVERAGE(OFFSET($CX$3,0,0,'Données projet'!$E$13+1,1))-AVERAGE(OFFSET($H$3,0,0,'Données projet'!$E$13+1,1))</f>
        <v>287.73449456153207</v>
      </c>
      <c r="CZ81" s="59">
        <f t="shared" si="96"/>
        <v>296.74833899433281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19.374490601942185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19.374490601942185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7.0711111111111098</v>
      </c>
      <c r="DO81" s="12">
        <f>IF('Données projet'!$A$166&gt;35,DO80+DN81-DW80,IF(A81&lt;'Données projet'!$A$166,$DL$205^A81,IF(A81='Données projet'!$A$166,'Données projet'!$B$166,DO80+DN81-DW80)))</f>
        <v>211.28333333333333</v>
      </c>
      <c r="DP81" s="17">
        <f>DO81*VLOOKUP('Données projet'!$B$14,Paramètres!$A$1:$I$89,3,0)*VLOOKUP('Données projet'!$B$14,Paramètres!$A$1:$I$89,5,0)</f>
        <v>214.24130000000002</v>
      </c>
      <c r="DQ81" s="13">
        <f t="shared" si="97"/>
        <v>52.861335120000511</v>
      </c>
      <c r="DR81" s="20">
        <f t="shared" si="70"/>
        <v>465.20375616733418</v>
      </c>
      <c r="DS81" s="59">
        <f t="shared" si="71"/>
        <v>735.1271942017604</v>
      </c>
      <c r="DT81" s="59">
        <f ca="1">AVERAGE(OFFSET($DS$3,0,0,'Données projet'!$E$14+1,1))-AVERAGE(OFFSET($H$3,0,0,'Données projet'!$E$14+1,1))</f>
        <v>532.34688562681413</v>
      </c>
      <c r="DU81" s="59">
        <f t="shared" si="98"/>
        <v>345.42627129678556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30.880770743604938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30.880770743604938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-5.6843418860808015E-14</v>
      </c>
      <c r="EK81" s="17">
        <f>EJ81*VLOOKUP('Données projet'!$B$15,Paramètres!$A$1:$I$89,3,0)*VLOOKUP('Données projet'!$B$15,Paramètres!$A$1:$I$89,5,0)</f>
        <v>-5.1431925385259088E-14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256.20286603823035</v>
      </c>
      <c r="EP81" s="59">
        <f t="shared" si="100"/>
        <v>364.83827155069434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26.190144426115825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26.190144426115825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7.0711111111111098</v>
      </c>
      <c r="FE81" s="12">
        <f>IF('Données projet'!$A$218&gt;35,FE80+FD81-FM80,IF(A81&lt;'Données projet'!$A$218,$FB$205^A81,IF(A81='Données projet'!$A$218,'Données projet'!$B$218,FE80+FD81-FM80)))</f>
        <v>211.28333333333333</v>
      </c>
      <c r="FF81" s="17">
        <f>FE81*VLOOKUP('Données projet'!$B$16,Paramètres!$A$1:$I$89,3,0)*VLOOKUP('Données projet'!$B$16,Paramètres!$A$1:$I$89,5,0)</f>
        <v>141.72886</v>
      </c>
      <c r="FG81" s="13">
        <f t="shared" si="101"/>
        <v>36.692779691950122</v>
      </c>
      <c r="FH81" s="20">
        <f t="shared" si="76"/>
        <v>310.75102246347979</v>
      </c>
      <c r="FI81" s="59">
        <f t="shared" si="77"/>
        <v>580.67446049790601</v>
      </c>
      <c r="FJ81" s="59">
        <f ca="1">AVERAGE(OFFSET($FI$3,0,0,'Données projet'!$E$16+1,1))-AVERAGE(OFFSET($H$3,0,0,'Données projet'!$E$16+1,1))</f>
        <v>380.73695370216979</v>
      </c>
      <c r="FK81" s="59">
        <f t="shared" si="102"/>
        <v>249.34467160415713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25.1797053755548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25.1797053755548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7.0711111111111098</v>
      </c>
      <c r="FZ81" s="12">
        <f>IF('Données projet'!$A$244&gt;35,FZ80+FY81-GH80,IF(A81&lt;'Données projet'!$A$244,$FW$205^A81,IF(A81='Données projet'!$A$244,'Données projet'!$B$244,FZ80+FY81-GH80)))</f>
        <v>211.28333333333333</v>
      </c>
      <c r="GA81" s="17">
        <f>FZ81*VLOOKUP('Données projet'!$B$17,Paramètres!$A$1:$I$89,3,0)*VLOOKUP('Données projet'!$B$17,Paramètres!$A$1:$I$89,5,0)</f>
        <v>204.35324</v>
      </c>
      <c r="GB81" s="13">
        <f t="shared" si="103"/>
        <v>50.699675869236202</v>
      </c>
      <c r="GC81" s="20">
        <f t="shared" si="79"/>
        <v>444.21716180558633</v>
      </c>
      <c r="GD81" s="59">
        <f t="shared" si="80"/>
        <v>714.14059984001256</v>
      </c>
      <c r="GE81" s="59">
        <f ca="1">AVERAGE(OFFSET($GD$3,0,0,'Données projet'!$E$17+1,1))-AVERAGE(OFFSET($H$3,0,0,'Données projet'!$E$17+1,1))</f>
        <v>511.7458522930001</v>
      </c>
      <c r="GF81" s="59">
        <f t="shared" si="104"/>
        <v>332.37317679966122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29.455504401592403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29.455504401592403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2.8</v>
      </c>
      <c r="GU81" s="12">
        <f>IF('Données projet'!$A$270&gt;35,GU80+GT81-HC80,IF(A81&lt;'Données projet'!$A$270,$GR$205^A81,IF(A81='Données projet'!$A$270,'Données projet'!$B$270,GU80+GT81-HC80)))</f>
        <v>269.39999999999981</v>
      </c>
      <c r="GV81" s="17">
        <f>GU81*VLOOKUP('Données projet'!$B$18,Paramètres!$A$1:$I$89,3,0)*VLOOKUP('Données projet'!$B$18,Paramètres!$A$1:$I$89,5,0)</f>
        <v>235.34783999999988</v>
      </c>
      <c r="GW81" s="13">
        <f t="shared" si="105"/>
        <v>57.437458162232033</v>
      </c>
      <c r="GX81" s="20">
        <f t="shared" si="82"/>
        <v>509.93439429922063</v>
      </c>
      <c r="GY81" s="59">
        <f t="shared" si="83"/>
        <v>779.85783233364691</v>
      </c>
      <c r="GZ81" s="59">
        <f ca="1">AVERAGE(OFFSET($GY$3,0,0,'Données projet'!$E$18+1,1))-AVERAGE(OFFSET($H$3,0,0,'Données projet'!$E$18+1,1))</f>
        <v>348.77506423101278</v>
      </c>
      <c r="HA81" s="59">
        <f t="shared" si="106"/>
        <v>336.13747591329548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21.841426770432555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21.841426770432555</v>
      </c>
    </row>
    <row r="82" spans="1:218" x14ac:dyDescent="0.2">
      <c r="A82" s="10">
        <f t="shared" si="85"/>
        <v>79</v>
      </c>
      <c r="B82" s="71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5">
        <f t="shared" si="56"/>
        <v>183.33333333333334</v>
      </c>
      <c r="I82" s="6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495.91</v>
      </c>
      <c r="L82" s="12">
        <f>VLOOKUP(A82,'Données projet'!$A$35:$I$55,9,0)</f>
        <v>15.115000000000002</v>
      </c>
      <c r="M82" s="12">
        <f t="array" ref="M82">INDEX(L:L,MIN(IF(ISNUMBER(L82:L278),ROW(L82:L278),"")))</f>
        <v>15.115000000000002</v>
      </c>
      <c r="N82" s="13">
        <f>IF('Données projet'!$A$36&gt;35,N81+M82-V81,IF(A82&lt;'Données projet'!$A$36,$K$205^A82,IF(A82='Données projet'!$A$36,'Données projet'!$B$36,N81+M82-V81)))</f>
        <v>495.90999999999997</v>
      </c>
      <c r="O82" s="13">
        <f>N82*VLOOKUP('Données projet'!$B$9,Paramètres!$A$1:$I$89,3,0)*VLOOKUP('Données projet'!$B$9,Paramètres!$A$1:$I$89,5,0)</f>
        <v>232.08587999999997</v>
      </c>
      <c r="P82" s="13">
        <f t="shared" si="87"/>
        <v>56.733460300074178</v>
      </c>
      <c r="Q82" s="20">
        <f t="shared" si="54"/>
        <v>503.02701768929575</v>
      </c>
      <c r="R82" s="59">
        <f t="shared" si="55"/>
        <v>773.3565650704727</v>
      </c>
      <c r="S82" s="59">
        <f ca="1">AVERAGE(OFFSET($R$3,0,0,'Données projet'!$E$9+1,1))-AVERAGE(OFFSET($H$3,0,0,'Données projet'!$E$9+1,1))</f>
        <v>387.50901594883317</v>
      </c>
      <c r="T82" s="59">
        <f t="shared" si="88"/>
        <v>361.3623790401972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87.99</v>
      </c>
      <c r="W82" s="16">
        <f>IF(ISNA(VLOOKUP(A82,'Données projet'!$A$35:$I$55,5,0)),0%,VLOOKUP(A82,'Données projet'!$A$35:$I$55,5,0)*VLOOKUP('Données projet'!$B$9,Paramètres!$A$1:$I$89,7,0))</f>
        <v>0.44000000000000006</v>
      </c>
      <c r="X82" s="16">
        <f>IF(ISNA(VLOOKUP(A82,'Données projet'!$A$35:$I$55,6,0)),0%,VLOOKUP(A82,'Données projet'!$A$35:$I$55,6,0)*VLOOKUP('Données projet'!$B$9,Paramètres!$A$1:$I$89,7,0))</f>
        <v>6.0500000000000005E-2</v>
      </c>
      <c r="Y82" s="16">
        <f>IF(ISNA(VLOOKUP(A82,'Données projet'!$A$35:$I$55,7,0)),0%,VLOOKUP(A82,'Données projet'!$A$35:$I$55,7,0))</f>
        <v>0.09</v>
      </c>
      <c r="Z82" s="21">
        <f>EXP(-LN(2)/35)*Z81+(1-EXP(-LN(2)/35))/(LN(2)/35)*V82*W82*VLOOKUP('Données projet'!$B$9,Paramètres!$A$1:$I$89,3,0)*0.475*44/12</f>
        <v>79.489782672092105</v>
      </c>
      <c r="AA82" s="21">
        <f>EXP(-LN(2)/25)*AA81+(1-EXP(-LN(2)/25))/(LN(2)/25)*Calculateur!V82*Calculateur!X82*VLOOKUP('Données projet'!$B$9,Paramètres!$A$1:$I$89,3,0)*0.475*44/12</f>
        <v>29.005788032774038</v>
      </c>
      <c r="AB82" s="21">
        <f>EXP(-LN(2)/2)*AB81+(1-EXP(-LN(2)/2))/(LN(2)/2)*V82*Y82*VLOOKUP('Données projet'!$B$9,Paramètres!$A$1:$I$89,3,0)*0.475*44/12</f>
        <v>4.6203005203955527</v>
      </c>
      <c r="AC82" s="22">
        <f t="shared" si="57"/>
        <v>113.11587122526169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9.782</v>
      </c>
      <c r="AI82" s="13">
        <f>IF('Données projet'!$A$62&gt;35,AI81+AH82-AQ81,IF(A82&lt;'Données projet'!$A$62,$AF$205^A82,IF(A82='Données projet'!$A$62,'Données projet'!$B$62,AI81+AH82-AQ81)))</f>
        <v>510.21799999999996</v>
      </c>
      <c r="AJ82" s="13">
        <f>AI82*VLOOKUP('Données projet'!$B$10,Paramètres!$A$1:$I$89,3,0)*VLOOKUP('Données projet'!$B$10,Paramètres!$A$1:$I$89,5,0)</f>
        <v>305.110364</v>
      </c>
      <c r="AK82" s="13">
        <f t="shared" si="89"/>
        <v>72.246736607705117</v>
      </c>
      <c r="AL82" s="20">
        <f t="shared" si="58"/>
        <v>657.23028355841973</v>
      </c>
      <c r="AM82" s="59">
        <f t="shared" si="59"/>
        <v>927.55983093959662</v>
      </c>
      <c r="AN82" s="59">
        <f ca="1">AVERAGE(OFFSET($AM$3,0,0,'Données projet'!$E$10+1,1))-AVERAGE(OFFSET($H$3,0,0,'Données projet'!$E$10+1,1))</f>
        <v>373.47758082856359</v>
      </c>
      <c r="AO82" s="59">
        <f t="shared" si="90"/>
        <v>277.24895424120166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44.546484054007514</v>
      </c>
      <c r="AV82" s="21">
        <f>EXP(-LN(2)/25)*AV81+(1-EXP(-LN(2)/25))/(LN(2)/25)*Calculateur!AQ82*Calculateur!AS82*VLOOKUP('Données projet'!$B$10,Paramètres!$A$1:$I$89,3,0)*0.475*44/12</f>
        <v>16.055105424543623</v>
      </c>
      <c r="AW82" s="21">
        <f>EXP(-LN(2)/2)*AW81+(1-EXP(-LN(2)/2))/(LN(2)/2)*AQ82*AT82*VLOOKUP('Données projet'!$B$10,Paramètres!$A$1:$I$89,3,0)*0.475*44/12</f>
        <v>0.27619824630884876</v>
      </c>
      <c r="AX82" s="21">
        <f t="shared" si="60"/>
        <v>60.877787724859985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-6.8212102632969618E-13</v>
      </c>
      <c r="BE82" s="13">
        <f>BD82*VLOOKUP('Données projet'!$B$11,Paramètres!$A$1:$I$89,3,0)*VLOOKUP('Données projet'!$B$11,Paramètres!$A$1:$I$89,5,0)</f>
        <v>-4.0790837374515837E-13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460.88622650237176</v>
      </c>
      <c r="BJ82" s="59">
        <f t="shared" si="92"/>
        <v>396.05161661639647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229.07107764174282</v>
      </c>
      <c r="BQ82" s="21">
        <f>EXP(-LN(2)/25)*BQ81+(1-EXP(-LN(2)/25))/(LN(2)/25)*Calculateur!BL82*Calculateur!BN82*VLOOKUP('Données projet'!$B$11,Paramètres!$A$1:$I$89,3,0)*0.475*44/12</f>
        <v>40.52615978361095</v>
      </c>
      <c r="BR82" s="21">
        <f>EXP(-LN(2)/2)*BR81+(1-EXP(-LN(2)/2))/(LN(2)/2)*BL82*BO82*VLOOKUP('Données projet'!$B$11,Paramètres!$A$1:$I$89,3,0)*0.475*44/12</f>
        <v>14.557373281957174</v>
      </c>
      <c r="BS82" s="22">
        <f t="shared" si="63"/>
        <v>284.15461070731095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-1.1368683772161603E-13</v>
      </c>
      <c r="BZ82" s="13">
        <f>BY82*VLOOKUP('Données projet'!$B$12,Paramètres!$A$1:$I$89,3,0)*VLOOKUP('Données projet'!$B$12,Paramètres!$A$1:$I$89,5,0)</f>
        <v>-5.1727511163335289E-14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341.60063595566282</v>
      </c>
      <c r="CE82" s="59">
        <f t="shared" si="94"/>
        <v>317.05609766344219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188.00594984775461</v>
      </c>
      <c r="CL82" s="21">
        <f>EXP(-LN(2)/25)*CL81+(1-EXP(-LN(2)/25))/(LN(2)/25)*Calculateur!CG82*Calculateur!CI82*VLOOKUP('Données projet'!$B$12,Paramètres!$A$1:$I$89,3,0)*0.475*44/12</f>
        <v>37.640233374229112</v>
      </c>
      <c r="CM82" s="21">
        <f>EXP(-LN(2)/2)*CM81+(1-EXP(-LN(2)/2))/(LN(2)/2)*CG82*CJ82*VLOOKUP('Données projet'!$B$12,Paramètres!$A$1:$I$89,3,0)*0.475*44/12</f>
        <v>1.2302789204751325</v>
      </c>
      <c r="CN82" s="22">
        <f t="shared" si="66"/>
        <v>226.87646214245888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2.180000000000001</v>
      </c>
      <c r="CT82" s="12">
        <f>IF('Données projet'!$A$140&gt;35,CT81+CS82-DB81,IF(A82&lt;'Données projet'!$A$140,$CQ$205^A82,IF(A82='Données projet'!$A$140,'Données projet'!$B$140,CT81+CS82-DB81)))</f>
        <v>146.54000000000005</v>
      </c>
      <c r="CU82" s="17">
        <f>CT82*VLOOKUP('Données projet'!$B$13,Paramètres!$A$1:$I$89,3,0)*VLOOKUP('Données projet'!$B$13,Paramètres!$A$1:$I$89,5,0)</f>
        <v>153.16360800000007</v>
      </c>
      <c r="CV82" s="13">
        <f t="shared" si="95"/>
        <v>39.296651255024017</v>
      </c>
      <c r="CW82" s="20">
        <f t="shared" si="67"/>
        <v>335.20161820250024</v>
      </c>
      <c r="CX82" s="59">
        <f t="shared" si="68"/>
        <v>605.53116558367719</v>
      </c>
      <c r="CY82" s="59">
        <f ca="1">AVERAGE(OFFSET($CX$3,0,0,'Données projet'!$E$13+1,1))-AVERAGE(OFFSET($H$3,0,0,'Données projet'!$E$13+1,1))</f>
        <v>287.73449456153207</v>
      </c>
      <c r="CZ82" s="59">
        <f t="shared" si="96"/>
        <v>296.74833899433281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18.994568658510506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18.994568658510506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7.0711111111111098</v>
      </c>
      <c r="DO82" s="12">
        <f>IF('Données projet'!$A$166&gt;35,DO81+DN82-DW81,IF(A82&lt;'Données projet'!$A$166,$DL$205^A82,IF(A82='Données projet'!$A$166,'Données projet'!$B$166,DO81+DN82-DW81)))</f>
        <v>218.35444444444445</v>
      </c>
      <c r="DP82" s="17">
        <f>DO82*VLOOKUP('Données projet'!$B$14,Paramètres!$A$1:$I$89,3,0)*VLOOKUP('Données projet'!$B$14,Paramètres!$A$1:$I$89,5,0)</f>
        <v>221.41140666666669</v>
      </c>
      <c r="DQ82" s="13">
        <f t="shared" si="97"/>
        <v>54.42153371936967</v>
      </c>
      <c r="DR82" s="20">
        <f t="shared" si="70"/>
        <v>480.40903783901331</v>
      </c>
      <c r="DS82" s="59">
        <f t="shared" si="71"/>
        <v>750.73858522019032</v>
      </c>
      <c r="DT82" s="59">
        <f ca="1">AVERAGE(OFFSET($DS$3,0,0,'Données projet'!$E$14+1,1))-AVERAGE(OFFSET($H$3,0,0,'Données projet'!$E$14+1,1))</f>
        <v>532.34688562681413</v>
      </c>
      <c r="DU82" s="59">
        <f t="shared" si="98"/>
        <v>345.42627129678556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30.275217664733155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30.275217664733155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-5.6843418860808015E-14</v>
      </c>
      <c r="EK82" s="17">
        <f>EJ82*VLOOKUP('Données projet'!$B$15,Paramètres!$A$1:$I$89,3,0)*VLOOKUP('Données projet'!$B$15,Paramètres!$A$1:$I$89,5,0)</f>
        <v>-5.1431925385259088E-14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256.20286603823035</v>
      </c>
      <c r="EP82" s="59">
        <f t="shared" si="100"/>
        <v>364.83827155069434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25.676571668330453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25.676571668330453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7.0711111111111098</v>
      </c>
      <c r="FE82" s="12">
        <f>IF('Données projet'!$A$218&gt;35,FE81+FD82-FM81,IF(A82&lt;'Données projet'!$A$218,$FB$205^A82,IF(A82='Données projet'!$A$218,'Données projet'!$B$218,FE81+FD82-FM81)))</f>
        <v>218.35444444444445</v>
      </c>
      <c r="FF82" s="17">
        <f>FE82*VLOOKUP('Données projet'!$B$16,Paramètres!$A$1:$I$89,3,0)*VLOOKUP('Données projet'!$B$16,Paramètres!$A$1:$I$89,5,0)</f>
        <v>146.47216133333333</v>
      </c>
      <c r="FG82" s="13">
        <f t="shared" si="101"/>
        <v>37.775764511618057</v>
      </c>
      <c r="FH82" s="20">
        <f t="shared" si="76"/>
        <v>320.89847084662364</v>
      </c>
      <c r="FI82" s="59">
        <f t="shared" si="77"/>
        <v>591.22801822780059</v>
      </c>
      <c r="FJ82" s="59">
        <f ca="1">AVERAGE(OFFSET($FI$3,0,0,'Données projet'!$E$16+1,1))-AVERAGE(OFFSET($H$3,0,0,'Données projet'!$E$16+1,1))</f>
        <v>380.73695370216979</v>
      </c>
      <c r="FK82" s="59">
        <f t="shared" si="102"/>
        <v>249.34467160415713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24.685946711243961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24.685946711243961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7.0711111111111098</v>
      </c>
      <c r="FZ82" s="12">
        <f>IF('Données projet'!$A$244&gt;35,FZ81+FY82-GH81,IF(A82&lt;'Données projet'!$A$244,$FW$205^A82,IF(A82='Données projet'!$A$244,'Données projet'!$B$244,FZ81+FY82-GH81)))</f>
        <v>218.35444444444445</v>
      </c>
      <c r="GA82" s="17">
        <f>FZ82*VLOOKUP('Données projet'!$B$17,Paramètres!$A$1:$I$89,3,0)*VLOOKUP('Données projet'!$B$17,Paramètres!$A$1:$I$89,5,0)</f>
        <v>211.1924186666667</v>
      </c>
      <c r="GB82" s="13">
        <f t="shared" si="103"/>
        <v>52.196073247397088</v>
      </c>
      <c r="GC82" s="20">
        <f t="shared" si="79"/>
        <v>458.73495675032768</v>
      </c>
      <c r="GD82" s="59">
        <f t="shared" si="80"/>
        <v>729.06450413150469</v>
      </c>
      <c r="GE82" s="59">
        <f ca="1">AVERAGE(OFFSET($GD$3,0,0,'Données projet'!$E$17+1,1))-AVERAGE(OFFSET($H$3,0,0,'Données projet'!$E$17+1,1))</f>
        <v>511.7458522930001</v>
      </c>
      <c r="GF82" s="59">
        <f t="shared" si="104"/>
        <v>332.37317679966122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28.877899926360858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28.877899926360858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2.8</v>
      </c>
      <c r="GU82" s="12">
        <f>IF('Données projet'!$A$270&gt;35,GU81+GT82-HC81,IF(A82&lt;'Données projet'!$A$270,$GR$205^A82,IF(A82='Données projet'!$A$270,'Données projet'!$B$270,GU81+GT82-HC81)))</f>
        <v>272.19999999999982</v>
      </c>
      <c r="GV82" s="17">
        <f>GU82*VLOOKUP('Données projet'!$B$18,Paramètres!$A$1:$I$89,3,0)*VLOOKUP('Données projet'!$B$18,Paramètres!$A$1:$I$89,5,0)</f>
        <v>237.79391999999984</v>
      </c>
      <c r="GW82" s="13">
        <f t="shared" si="105"/>
        <v>57.96462682570845</v>
      </c>
      <c r="GX82" s="20">
        <f t="shared" si="82"/>
        <v>515.11280238810866</v>
      </c>
      <c r="GY82" s="59">
        <f t="shared" si="83"/>
        <v>785.44234976928556</v>
      </c>
      <c r="GZ82" s="59">
        <f ca="1">AVERAGE(OFFSET($GY$3,0,0,'Données projet'!$E$18+1,1))-AVERAGE(OFFSET($H$3,0,0,'Données projet'!$E$18+1,1))</f>
        <v>348.77506423101278</v>
      </c>
      <c r="HA82" s="59">
        <f t="shared" si="106"/>
        <v>336.13747591329548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21.41312971341927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21.41312971341927</v>
      </c>
    </row>
    <row r="83" spans="1:218" x14ac:dyDescent="0.2">
      <c r="A83" s="10">
        <f t="shared" si="85"/>
        <v>80</v>
      </c>
      <c r="B83" s="71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5">
        <f t="shared" si="56"/>
        <v>183.33333333333334</v>
      </c>
      <c r="I83" s="6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14.212499999999999</v>
      </c>
      <c r="N83" s="13">
        <f>IF('Données projet'!$A$36&gt;35,N82+M83-V82,IF(A83&lt;'Données projet'!$A$36,$K$205^A83,IF(A83='Données projet'!$A$36,'Données projet'!$B$36,N82+M83-V82)))</f>
        <v>422.13249999999994</v>
      </c>
      <c r="O83" s="13">
        <f>N83*VLOOKUP('Données projet'!$B$9,Paramètres!$A$1:$I$89,3,0)*VLOOKUP('Données projet'!$B$9,Paramètres!$A$1:$I$89,5,0)</f>
        <v>197.55800999999997</v>
      </c>
      <c r="P83" s="13">
        <f t="shared" si="87"/>
        <v>49.207109119088621</v>
      </c>
      <c r="Q83" s="20">
        <f t="shared" si="54"/>
        <v>429.78258246574592</v>
      </c>
      <c r="R83" s="59">
        <f t="shared" si="55"/>
        <v>700.51119410443198</v>
      </c>
      <c r="S83" s="59">
        <f ca="1">AVERAGE(OFFSET($R$3,0,0,'Données projet'!$E$9+1,1))-AVERAGE(OFFSET($H$3,0,0,'Données projet'!$E$9+1,1))</f>
        <v>387.50901594883317</v>
      </c>
      <c r="T83" s="59">
        <f t="shared" si="88"/>
        <v>361.3623790401972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77.931036517872414</v>
      </c>
      <c r="AA83" s="21">
        <f>EXP(-LN(2)/25)*AA82+(1-EXP(-LN(2)/25))/(LN(2)/25)*Calculateur!V83*Calculateur!X83*VLOOKUP('Données projet'!$B$9,Paramètres!$A$1:$I$89,3,0)*0.475*44/12</f>
        <v>28.212623233669735</v>
      </c>
      <c r="AB83" s="21">
        <f>EXP(-LN(2)/2)*AB82+(1-EXP(-LN(2)/2))/(LN(2)/2)*V83*Y83*VLOOKUP('Données projet'!$B$9,Paramètres!$A$1:$I$89,3,0)*0.475*44/12</f>
        <v>3.2670458290914302</v>
      </c>
      <c r="AC83" s="22">
        <f t="shared" si="57"/>
        <v>109.41070558063358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</v>
      </c>
      <c r="AG83" s="12">
        <f>VLOOKUP(A83,'Données projet'!$A$61:$I$81,9,0)</f>
        <v>9.782</v>
      </c>
      <c r="AH83" s="12">
        <f t="array" ref="AH83">INDEX(AG:AG,MIN(IF(ISNUMBER(AG83:AG279),ROW(AG83:AG279),"")))</f>
        <v>9.782</v>
      </c>
      <c r="AI83" s="13">
        <f>IF('Données projet'!$A$62&gt;35,AI82+AH83-AQ82,IF(A83&lt;'Données projet'!$A$62,$AF$205^A83,IF(A83='Données projet'!$A$62,'Données projet'!$B$62,AI82+AH83-AQ82)))</f>
        <v>520</v>
      </c>
      <c r="AJ83" s="13">
        <f>AI83*VLOOKUP('Données projet'!$B$10,Paramètres!$A$1:$I$89,3,0)*VLOOKUP('Données projet'!$B$10,Paramètres!$A$1:$I$89,5,0)</f>
        <v>310.96000000000004</v>
      </c>
      <c r="AK83" s="13">
        <f t="shared" si="89"/>
        <v>73.469280288324128</v>
      </c>
      <c r="AL83" s="20">
        <f t="shared" si="58"/>
        <v>669.54766316883126</v>
      </c>
      <c r="AM83" s="59">
        <f t="shared" si="59"/>
        <v>940.27627480751744</v>
      </c>
      <c r="AN83" s="59">
        <f ca="1">AVERAGE(OFFSET($AM$3,0,0,'Données projet'!$E$10+1,1))-AVERAGE(OFFSET($H$3,0,0,'Données projet'!$E$10+1,1))</f>
        <v>373.47758082856359</v>
      </c>
      <c r="AO83" s="59">
        <f t="shared" si="90"/>
        <v>277.24895424120166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</v>
      </c>
      <c r="AR83" s="16">
        <f>IF(ISNA(VLOOKUP(A83,'Données projet'!$A$61:$I$81,5,0)),0%,VLOOKUP(A83,'Données projet'!$A$61:$I$81,5,0)*VLOOKUP('Données projet'!$B$10,Paramètres!$A$1:$I$89,7,0))</f>
        <v>0.36000000000000004</v>
      </c>
      <c r="AS83" s="16">
        <f>IF(ISNA(VLOOKUP(A83,'Données projet'!$A$61:$I$81,6,0)),0%,VLOOKUP(A83,'Données projet'!$A$61:$I$81,6,0)*VLOOKUP('Données projet'!$B$10,Paramètres!$A$1:$I$89,7,0))</f>
        <v>4.9500000000000002E-2</v>
      </c>
      <c r="AT83" s="16">
        <f>IF(ISNA(VLOOKUP(A83,'Données projet'!$A$61:$I$81,7,0)),0%,VLOOKUP(A83,'Données projet'!$A$61:$I$81,7,0))</f>
        <v>0.09</v>
      </c>
      <c r="AU83" s="21">
        <f>EXP(-LN(2)/35)*AU82+(1-EXP(-LN(2)/35))/(LN(2)/35)*AQ83*AR83*VLOOKUP('Données projet'!$B$10,Paramètres!$A$1:$I$89,3,0)*0.475*44/12</f>
        <v>192.17600857523342</v>
      </c>
      <c r="AV83" s="21">
        <f>EXP(-LN(2)/25)*AV82+(1-EXP(-LN(2)/25))/(LN(2)/25)*Calculateur!AQ83*Calculateur!AS83*VLOOKUP('Données projet'!$B$10,Paramètres!$A$1:$I$89,3,0)*0.475*44/12</f>
        <v>35.954849581794569</v>
      </c>
      <c r="AW83" s="21">
        <f>EXP(-LN(2)/2)*AW82+(1-EXP(-LN(2)/2))/(LN(2)/2)*AQ83*AT83*VLOOKUP('Données projet'!$B$10,Paramètres!$A$1:$I$89,3,0)*0.475*44/12</f>
        <v>31.882407624411506</v>
      </c>
      <c r="AX83" s="21">
        <f t="shared" si="60"/>
        <v>260.01326578143949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-6.8212102632969618E-13</v>
      </c>
      <c r="BE83" s="13">
        <f>BD83*VLOOKUP('Données projet'!$B$11,Paramètres!$A$1:$I$89,3,0)*VLOOKUP('Données projet'!$B$11,Paramètres!$A$1:$I$89,5,0)</f>
        <v>-4.0790837374515837E-13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460.88622650237176</v>
      </c>
      <c r="BJ83" s="59">
        <f t="shared" si="92"/>
        <v>396.05161661639647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224.57913352874945</v>
      </c>
      <c r="BQ83" s="21">
        <f>EXP(-LN(2)/25)*BQ82+(1-EXP(-LN(2)/25))/(LN(2)/25)*Calculateur!BL83*Calculateur!BN83*VLOOKUP('Données projet'!$B$11,Paramètres!$A$1:$I$89,3,0)*0.475*44/12</f>
        <v>39.417969813149988</v>
      </c>
      <c r="BR83" s="21">
        <f>EXP(-LN(2)/2)*BR82+(1-EXP(-LN(2)/2))/(LN(2)/2)*BL83*BO83*VLOOKUP('Données projet'!$B$11,Paramètres!$A$1:$I$89,3,0)*0.475*44/12</f>
        <v>10.293617363935786</v>
      </c>
      <c r="BS83" s="22">
        <f t="shared" si="63"/>
        <v>274.29072070583521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-1.1368683772161603E-13</v>
      </c>
      <c r="BZ83" s="13">
        <f>BY83*VLOOKUP('Données projet'!$B$12,Paramètres!$A$1:$I$89,3,0)*VLOOKUP('Données projet'!$B$12,Paramètres!$A$1:$I$89,5,0)</f>
        <v>-5.1727511163335289E-14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341.60063595566282</v>
      </c>
      <c r="CE83" s="59">
        <f t="shared" si="94"/>
        <v>317.05609766344219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184.31926784354658</v>
      </c>
      <c r="CL83" s="21">
        <f>EXP(-LN(2)/25)*CL82+(1-EXP(-LN(2)/25))/(LN(2)/25)*Calculateur!CG83*Calculateur!CI83*VLOOKUP('Données projet'!$B$12,Paramètres!$A$1:$I$89,3,0)*0.475*44/12</f>
        <v>36.610959213196971</v>
      </c>
      <c r="CM83" s="21">
        <f>EXP(-LN(2)/2)*CM82+(1-EXP(-LN(2)/2))/(LN(2)/2)*CG83*CJ83*VLOOKUP('Données projet'!$B$12,Paramètres!$A$1:$I$89,3,0)*0.475*44/12</f>
        <v>0.86993856741883147</v>
      </c>
      <c r="CN83" s="22">
        <f t="shared" si="66"/>
        <v>221.80016562416239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148.72</v>
      </c>
      <c r="CR83" s="12">
        <f>VLOOKUP(A83,'Données projet'!$A$139:$I$159,9,0)</f>
        <v>2.180000000000001</v>
      </c>
      <c r="CS83" s="12">
        <f t="array" ref="CS83">INDEX(CR:CR,MIN(IF(ISNUMBER(CR83:CR279),ROW(CR83:CR279),"")))</f>
        <v>2.180000000000001</v>
      </c>
      <c r="CT83" s="12">
        <f>IF('Données projet'!$A$140&gt;35,CT82+CS83-DB82,IF(A83&lt;'Données projet'!$A$140,$CQ$205^A83,IF(A83='Données projet'!$A$140,'Données projet'!$B$140,CT82+CS83-DB82)))</f>
        <v>148.72000000000006</v>
      </c>
      <c r="CU83" s="17">
        <f>CT83*VLOOKUP('Données projet'!$B$13,Paramètres!$A$1:$I$89,3,0)*VLOOKUP('Données projet'!$B$13,Paramètres!$A$1:$I$89,5,0)</f>
        <v>155.44214400000007</v>
      </c>
      <c r="CV83" s="13">
        <f t="shared" si="95"/>
        <v>39.812755514614473</v>
      </c>
      <c r="CW83" s="20">
        <f t="shared" si="67"/>
        <v>340.06894998795366</v>
      </c>
      <c r="CX83" s="59">
        <f t="shared" si="68"/>
        <v>610.79756162663978</v>
      </c>
      <c r="CY83" s="59">
        <f ca="1">AVERAGE(OFFSET($CX$3,0,0,'Données projet'!$E$13+1,1))-AVERAGE(OFFSET($H$3,0,0,'Données projet'!$E$13+1,1))</f>
        <v>287.73449456153207</v>
      </c>
      <c r="CZ83" s="59">
        <f t="shared" si="96"/>
        <v>296.74833899433281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8.33</v>
      </c>
      <c r="DC83" s="16">
        <f>IF(ISNA(VLOOKUP(A83,'Données projet'!$A$139:$I$159,5,0)),0%,VLOOKUP(A83,'Données projet'!$A$139:$I$159,5,0)*VLOOKUP('Données projet'!$B$13,Paramètres!$A$1:$I$89,7,0))</f>
        <v>0.30099999999999999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21.519160212285861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21.519160212285861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7.0711111111111098</v>
      </c>
      <c r="DO83" s="12">
        <f>IF('Données projet'!$A$166&gt;35,DO82+DN83-DW82,IF(A83&lt;'Données projet'!$A$166,$DL$205^A83,IF(A83='Données projet'!$A$166,'Données projet'!$B$166,DO82+DN83-DW82)))</f>
        <v>225.42555555555558</v>
      </c>
      <c r="DP83" s="17">
        <f>DO83*VLOOKUP('Données projet'!$B$14,Paramètres!$A$1:$I$89,3,0)*VLOOKUP('Données projet'!$B$14,Paramètres!$A$1:$I$89,5,0)</f>
        <v>228.58151333333336</v>
      </c>
      <c r="DQ83" s="13">
        <f t="shared" si="97"/>
        <v>55.975861205978845</v>
      </c>
      <c r="DR83" s="20">
        <f t="shared" si="70"/>
        <v>495.6040939893021</v>
      </c>
      <c r="DS83" s="59">
        <f t="shared" si="71"/>
        <v>766.33270562798816</v>
      </c>
      <c r="DT83" s="59">
        <f ca="1">AVERAGE(OFFSET($DS$3,0,0,'Données projet'!$E$14+1,1))-AVERAGE(OFFSET($H$3,0,0,'Données projet'!$E$14+1,1))</f>
        <v>532.34688562681413</v>
      </c>
      <c r="DU83" s="59">
        <f t="shared" si="98"/>
        <v>345.42627129678556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29.681539112387142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29.681539112387142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-5.6843418860808015E-14</v>
      </c>
      <c r="EK83" s="17">
        <f>EJ83*VLOOKUP('Données projet'!$B$15,Paramètres!$A$1:$I$89,3,0)*VLOOKUP('Données projet'!$B$15,Paramètres!$A$1:$I$89,5,0)</f>
        <v>-5.1431925385259088E-14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256.20286603823035</v>
      </c>
      <c r="EP83" s="59">
        <f t="shared" si="100"/>
        <v>364.83827155069434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25.1730697590768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25.1730697590768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7.0711111111111098</v>
      </c>
      <c r="FE83" s="12">
        <f>IF('Données projet'!$A$218&gt;35,FE82+FD83-FM82,IF(A83&lt;'Données projet'!$A$218,$FB$205^A83,IF(A83='Données projet'!$A$218,'Données projet'!$B$218,FE82+FD83-FM82)))</f>
        <v>225.42555555555558</v>
      </c>
      <c r="FF83" s="17">
        <f>FE83*VLOOKUP('Données projet'!$B$16,Paramètres!$A$1:$I$89,3,0)*VLOOKUP('Données projet'!$B$16,Paramètres!$A$1:$I$89,5,0)</f>
        <v>151.2154626666667</v>
      </c>
      <c r="FG83" s="13">
        <f t="shared" si="101"/>
        <v>38.854674000109476</v>
      </c>
      <c r="FH83" s="20">
        <f t="shared" si="76"/>
        <v>331.03882136130181</v>
      </c>
      <c r="FI83" s="59">
        <f t="shared" si="77"/>
        <v>601.76743299998793</v>
      </c>
      <c r="FJ83" s="59">
        <f ca="1">AVERAGE(OFFSET($FI$3,0,0,'Données projet'!$E$16+1,1))-AVERAGE(OFFSET($H$3,0,0,'Données projet'!$E$16+1,1))</f>
        <v>380.73695370216979</v>
      </c>
      <c r="FK83" s="59">
        <f t="shared" si="102"/>
        <v>249.34467160415713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24.20187035317721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24.20187035317721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7.0711111111111098</v>
      </c>
      <c r="FZ83" s="12">
        <f>IF('Données projet'!$A$244&gt;35,FZ82+FY83-GH82,IF(A83&lt;'Données projet'!$A$244,$FW$205^A83,IF(A83='Données projet'!$A$244,'Données projet'!$B$244,FZ82+FY83-GH82)))</f>
        <v>225.42555555555558</v>
      </c>
      <c r="GA83" s="17">
        <f>FZ83*VLOOKUP('Données projet'!$B$17,Paramètres!$A$1:$I$89,3,0)*VLOOKUP('Données projet'!$B$17,Paramètres!$A$1:$I$89,5,0)</f>
        <v>218.03159733333337</v>
      </c>
      <c r="GB83" s="13">
        <f t="shared" si="103"/>
        <v>53.686839600286909</v>
      </c>
      <c r="GC83" s="20">
        <f t="shared" si="79"/>
        <v>473.24294432605535</v>
      </c>
      <c r="GD83" s="59">
        <f t="shared" si="80"/>
        <v>743.97155596474147</v>
      </c>
      <c r="GE83" s="59">
        <f ca="1">AVERAGE(OFFSET($GD$3,0,0,'Données projet'!$E$17+1,1))-AVERAGE(OFFSET($H$3,0,0,'Données projet'!$E$17+1,1))</f>
        <v>511.7458522930001</v>
      </c>
      <c r="GF83" s="59">
        <f t="shared" si="104"/>
        <v>332.37317679966122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28.31162192258466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28.31162192258466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275</v>
      </c>
      <c r="GS83" s="12">
        <f>VLOOKUP(A83,'Données projet'!$A$269:$I$289,9,0)</f>
        <v>2.8</v>
      </c>
      <c r="GT83" s="12">
        <f t="array" ref="GT83">INDEX(GS:GS,MIN(IF(ISNUMBER(GS83:GS279),ROW(GS83:GS279),"")))</f>
        <v>2.8</v>
      </c>
      <c r="GU83" s="12">
        <f>IF('Données projet'!$A$270&gt;35,GU82+GT83-HC82,IF(A83&lt;'Données projet'!$A$270,$GR$205^A83,IF(A83='Données projet'!$A$270,'Données projet'!$B$270,GU82+GT83-HC82)))</f>
        <v>274.99999999999983</v>
      </c>
      <c r="GV83" s="17">
        <f>GU83*VLOOKUP('Données projet'!$B$18,Paramètres!$A$1:$I$89,3,0)*VLOOKUP('Données projet'!$B$18,Paramètres!$A$1:$I$89,5,0)</f>
        <v>240.23999999999987</v>
      </c>
      <c r="GW83" s="13">
        <f t="shared" si="105"/>
        <v>58.491164647183084</v>
      </c>
      <c r="GX83" s="20">
        <f t="shared" si="82"/>
        <v>520.29011176051029</v>
      </c>
      <c r="GY83" s="59">
        <f t="shared" si="83"/>
        <v>791.01872339919646</v>
      </c>
      <c r="GZ83" s="59">
        <f ca="1">AVERAGE(OFFSET($GY$3,0,0,'Données projet'!$E$18+1,1))-AVERAGE(OFFSET($H$3,0,0,'Données projet'!$E$18+1,1))</f>
        <v>348.77506423101278</v>
      </c>
      <c r="HA83" s="59">
        <f t="shared" si="106"/>
        <v>336.13747591329548</v>
      </c>
      <c r="HB83" s="15">
        <f>IF(ISNA(VLOOKUP(A83,'Données projet'!$A$269:$I$289,3,0)),0,VLOOKUP(A83,'Données projet'!$A$269:$I$289,3,0))</f>
        <v>14</v>
      </c>
      <c r="HC83" s="15">
        <f>IF(ISNA(VLOOKUP(A83,'Données projet'!$A$269:$I$289,4,0)),0,VLOOKUP(A83,'Données projet'!$A$269:$I$289,4,0))</f>
        <v>275</v>
      </c>
      <c r="HD83" s="16">
        <f>IF(ISNA(VLOOKUP(A83,'Données projet'!$A$269:$I$289,5,0)),0%,VLOOKUP(A83,'Données projet'!$A$269:$I$289,5,0)*VLOOKUP('Données projet'!$B$18,Paramètres!$A$1:$I$89,7,0))</f>
        <v>0.42400000000000004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133.59838978755289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133.59838978755289</v>
      </c>
    </row>
    <row r="84" spans="1:218" x14ac:dyDescent="0.2">
      <c r="A84" s="10">
        <f t="shared" si="85"/>
        <v>81</v>
      </c>
      <c r="B84" s="71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5">
        <f t="shared" si="56"/>
        <v>183.33333333333334</v>
      </c>
      <c r="I84" s="6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14.212499999999999</v>
      </c>
      <c r="N84" s="13">
        <f>IF('Données projet'!$A$36&gt;35,N83+M84-V83,IF(A84&lt;'Données projet'!$A$36,$K$205^A84,IF(A84='Données projet'!$A$36,'Données projet'!$B$36,N83+M84-V83)))</f>
        <v>436.34499999999991</v>
      </c>
      <c r="O84" s="13">
        <f>N84*VLOOKUP('Données projet'!$B$9,Paramètres!$A$1:$I$89,3,0)*VLOOKUP('Données projet'!$B$9,Paramètres!$A$1:$I$89,5,0)</f>
        <v>204.20945999999995</v>
      </c>
      <c r="P84" s="13">
        <f t="shared" si="87"/>
        <v>50.668155185492893</v>
      </c>
      <c r="Q84" s="20">
        <f t="shared" si="54"/>
        <v>443.91184644806668</v>
      </c>
      <c r="R84" s="59">
        <f t="shared" si="55"/>
        <v>715.03259947156812</v>
      </c>
      <c r="S84" s="59">
        <f ca="1">AVERAGE(OFFSET($R$3,0,0,'Données projet'!$E$9+1,1))-AVERAGE(OFFSET($H$3,0,0,'Données projet'!$E$9+1,1))</f>
        <v>387.50901594883317</v>
      </c>
      <c r="T84" s="59">
        <f t="shared" si="88"/>
        <v>361.3623790401972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76.40285642499569</v>
      </c>
      <c r="AA84" s="21">
        <f>EXP(-LN(2)/25)*AA83+(1-EXP(-LN(2)/25))/(LN(2)/25)*Calculateur!V84*Calculateur!X84*VLOOKUP('Données projet'!$B$9,Paramètres!$A$1:$I$89,3,0)*0.475*44/12</f>
        <v>27.44114756770766</v>
      </c>
      <c r="AB84" s="21">
        <f>EXP(-LN(2)/2)*AB83+(1-EXP(-LN(2)/2))/(LN(2)/2)*V84*Y84*VLOOKUP('Données projet'!$B$9,Paramètres!$A$1:$I$89,3,0)*0.475*44/12</f>
        <v>2.3101502601977768</v>
      </c>
      <c r="AC84" s="22">
        <f t="shared" si="57"/>
        <v>106.15415425290112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373.47758082856359</v>
      </c>
      <c r="AO84" s="59">
        <f t="shared" si="90"/>
        <v>277.24895424120166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188.40755426286424</v>
      </c>
      <c r="AV84" s="21">
        <f>EXP(-LN(2)/25)*AV83+(1-EXP(-LN(2)/25))/(LN(2)/25)*Calculateur!AQ84*Calculateur!AS84*VLOOKUP('Données projet'!$B$10,Paramètres!$A$1:$I$89,3,0)*0.475*44/12</f>
        <v>34.971662329197031</v>
      </c>
      <c r="AW84" s="21">
        <f>EXP(-LN(2)/2)*AW83+(1-EXP(-LN(2)/2))/(LN(2)/2)*AQ84*AT84*VLOOKUP('Données projet'!$B$10,Paramètres!$A$1:$I$89,3,0)*0.475*44/12</f>
        <v>22.544266631775063</v>
      </c>
      <c r="AX84" s="21">
        <f t="shared" si="60"/>
        <v>245.92348322383631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-6.8212102632969618E-13</v>
      </c>
      <c r="BE84" s="13">
        <f>BD84*VLOOKUP('Données projet'!$B$11,Paramètres!$A$1:$I$89,3,0)*VLOOKUP('Données projet'!$B$11,Paramètres!$A$1:$I$89,5,0)</f>
        <v>-4.0790837374515837E-13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460.88622650237176</v>
      </c>
      <c r="BJ84" s="59">
        <f t="shared" si="92"/>
        <v>396.05161661639647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220.1752736999965</v>
      </c>
      <c r="BQ84" s="21">
        <f>EXP(-LN(2)/25)*BQ83+(1-EXP(-LN(2)/25))/(LN(2)/25)*Calculateur!BL84*Calculateur!BN84*VLOOKUP('Données projet'!$B$11,Paramètres!$A$1:$I$89,3,0)*0.475*44/12</f>
        <v>38.340083355708458</v>
      </c>
      <c r="BR84" s="21">
        <f>EXP(-LN(2)/2)*BR83+(1-EXP(-LN(2)/2))/(LN(2)/2)*BL84*BO84*VLOOKUP('Données projet'!$B$11,Paramètres!$A$1:$I$89,3,0)*0.475*44/12</f>
        <v>7.278686640978588</v>
      </c>
      <c r="BS84" s="22">
        <f t="shared" si="63"/>
        <v>265.79404369668356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-1.1368683772161603E-13</v>
      </c>
      <c r="BZ84" s="13">
        <f>BY84*VLOOKUP('Données projet'!$B$12,Paramètres!$A$1:$I$89,3,0)*VLOOKUP('Données projet'!$B$12,Paramètres!$A$1:$I$89,5,0)</f>
        <v>-5.1727511163335289E-14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341.60063595566282</v>
      </c>
      <c r="CE84" s="59">
        <f t="shared" si="94"/>
        <v>317.05609766344219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180.70487942478709</v>
      </c>
      <c r="CL84" s="21">
        <f>EXP(-LN(2)/25)*CL83+(1-EXP(-LN(2)/25))/(LN(2)/25)*Calculateur!CG84*Calculateur!CI84*VLOOKUP('Données projet'!$B$12,Paramètres!$A$1:$I$89,3,0)*0.475*44/12</f>
        <v>35.60983060822543</v>
      </c>
      <c r="CM84" s="21">
        <f>EXP(-LN(2)/2)*CM83+(1-EXP(-LN(2)/2))/(LN(2)/2)*CG84*CJ84*VLOOKUP('Données projet'!$B$12,Paramètres!$A$1:$I$89,3,0)*0.475*44/12</f>
        <v>0.61513946023756627</v>
      </c>
      <c r="CN84" s="22">
        <f t="shared" si="66"/>
        <v>216.92984949325009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1.9220000000000028</v>
      </c>
      <c r="CT84" s="12">
        <f>IF('Données projet'!$A$140&gt;35,CT83+CS84-DB83,IF(A84&lt;'Données projet'!$A$140,$CQ$205^A84,IF(A84='Données projet'!$A$140,'Données projet'!$B$140,CT83+CS84-DB83)))</f>
        <v>142.31200000000004</v>
      </c>
      <c r="CU84" s="17">
        <f>CT84*VLOOKUP('Données projet'!$B$13,Paramètres!$A$1:$I$89,3,0)*VLOOKUP('Données projet'!$B$13,Paramètres!$A$1:$I$89,5,0)</f>
        <v>148.74450240000004</v>
      </c>
      <c r="CV84" s="13">
        <f t="shared" si="95"/>
        <v>38.293129864212617</v>
      </c>
      <c r="CW84" s="20">
        <f t="shared" si="67"/>
        <v>325.75720952683702</v>
      </c>
      <c r="CX84" s="59">
        <f t="shared" si="68"/>
        <v>596.87796255033845</v>
      </c>
      <c r="CY84" s="59">
        <f ca="1">AVERAGE(OFFSET($CX$3,0,0,'Données projet'!$E$13+1,1))-AVERAGE(OFFSET($H$3,0,0,'Données projet'!$E$13+1,1))</f>
        <v>287.73449456153207</v>
      </c>
      <c r="CZ84" s="59">
        <f t="shared" si="96"/>
        <v>296.74833899433281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21.097182605914639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21.097182605914639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7.0711111111111098</v>
      </c>
      <c r="DO84" s="12">
        <f>IF('Données projet'!$A$166&gt;35,DO83+DN84-DW83,IF(A84&lt;'Données projet'!$A$166,$DL$205^A84,IF(A84='Données projet'!$A$166,'Données projet'!$B$166,DO83+DN84-DW83)))</f>
        <v>232.4966666666667</v>
      </c>
      <c r="DP84" s="17">
        <f>DO84*VLOOKUP('Données projet'!$B$14,Paramètres!$A$1:$I$89,3,0)*VLOOKUP('Données projet'!$B$14,Paramètres!$A$1:$I$89,5,0)</f>
        <v>235.75162000000003</v>
      </c>
      <c r="DQ84" s="13">
        <f t="shared" si="97"/>
        <v>57.524522874036109</v>
      </c>
      <c r="DR84" s="20">
        <f t="shared" si="70"/>
        <v>510.78928217227963</v>
      </c>
      <c r="DS84" s="59">
        <f t="shared" si="71"/>
        <v>781.91003519578112</v>
      </c>
      <c r="DT84" s="59">
        <f ca="1">AVERAGE(OFFSET($DS$3,0,0,'Données projet'!$E$14+1,1))-AVERAGE(OFFSET($H$3,0,0,'Données projet'!$E$14+1,1))</f>
        <v>532.34688562681413</v>
      </c>
      <c r="DU84" s="59">
        <f t="shared" si="98"/>
        <v>345.42627129678556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29.099502234344474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29.099502234344474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-5.6843418860808015E-14</v>
      </c>
      <c r="EK84" s="17">
        <f>EJ84*VLOOKUP('Données projet'!$B$15,Paramètres!$A$1:$I$89,3,0)*VLOOKUP('Données projet'!$B$15,Paramètres!$A$1:$I$89,5,0)</f>
        <v>-5.1431925385259088E-14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256.20286603823035</v>
      </c>
      <c r="EP84" s="59">
        <f t="shared" si="100"/>
        <v>364.83827155069434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24.67944121515777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24.67944121515777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7.0711111111111098</v>
      </c>
      <c r="FE84" s="12">
        <f>IF('Données projet'!$A$218&gt;35,FE83+FD84-FM83,IF(A84&lt;'Données projet'!$A$218,$FB$205^A84,IF(A84='Données projet'!$A$218,'Données projet'!$B$218,FE83+FD84-FM83)))</f>
        <v>232.4966666666667</v>
      </c>
      <c r="FF84" s="17">
        <f>FE84*VLOOKUP('Données projet'!$B$16,Paramètres!$A$1:$I$89,3,0)*VLOOKUP('Données projet'!$B$16,Paramètres!$A$1:$I$89,5,0)</f>
        <v>155.95876400000003</v>
      </c>
      <c r="FG84" s="13">
        <f t="shared" si="101"/>
        <v>39.92965065884114</v>
      </c>
      <c r="FH84" s="20">
        <f t="shared" si="76"/>
        <v>341.17232219748166</v>
      </c>
      <c r="FI84" s="59">
        <f t="shared" si="77"/>
        <v>612.29307522098316</v>
      </c>
      <c r="FJ84" s="59">
        <f ca="1">AVERAGE(OFFSET($FI$3,0,0,'Données projet'!$E$16+1,1))-AVERAGE(OFFSET($H$3,0,0,'Données projet'!$E$16+1,1))</f>
        <v>380.73695370216979</v>
      </c>
      <c r="FK84" s="59">
        <f t="shared" si="102"/>
        <v>249.34467160415713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23.727286437234724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23.727286437234724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7.0711111111111098</v>
      </c>
      <c r="FZ84" s="12">
        <f>IF('Données projet'!$A$244&gt;35,FZ83+FY84-GH83,IF(A84&lt;'Données projet'!$A$244,$FW$205^A84,IF(A84='Données projet'!$A$244,'Données projet'!$B$244,FZ83+FY84-GH83)))</f>
        <v>232.4966666666667</v>
      </c>
      <c r="GA84" s="17">
        <f>FZ84*VLOOKUP('Données projet'!$B$17,Paramètres!$A$1:$I$89,3,0)*VLOOKUP('Données projet'!$B$17,Paramètres!$A$1:$I$89,5,0)</f>
        <v>224.87077600000003</v>
      </c>
      <c r="GB84" s="13">
        <f t="shared" si="103"/>
        <v>55.172171827015021</v>
      </c>
      <c r="GC84" s="20">
        <f t="shared" si="79"/>
        <v>487.74146746538446</v>
      </c>
      <c r="GD84" s="59">
        <f t="shared" si="80"/>
        <v>758.8622204888859</v>
      </c>
      <c r="GE84" s="59">
        <f ca="1">AVERAGE(OFFSET($GD$3,0,0,'Données projet'!$E$17+1,1))-AVERAGE(OFFSET($H$3,0,0,'Données projet'!$E$17+1,1))</f>
        <v>511.7458522930001</v>
      </c>
      <c r="GF84" s="59">
        <f t="shared" si="104"/>
        <v>332.37317679966122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27.756448285067037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27.756448285067037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-1.7053025658242404E-13</v>
      </c>
      <c r="GV84" s="17">
        <f>GU84*VLOOKUP('Données projet'!$B$18,Paramètres!$A$1:$I$89,3,0)*VLOOKUP('Données projet'!$B$18,Paramètres!$A$1:$I$89,5,0)</f>
        <v>-1.4897523215040567E-13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348.77506423101278</v>
      </c>
      <c r="HA84" s="59">
        <f t="shared" si="106"/>
        <v>336.13747591329548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130.97860685079058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130.97860685079058</v>
      </c>
    </row>
    <row r="85" spans="1:218" x14ac:dyDescent="0.2">
      <c r="A85" s="10">
        <f t="shared" si="85"/>
        <v>82</v>
      </c>
      <c r="B85" s="71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5">
        <f t="shared" si="56"/>
        <v>183.33333333333334</v>
      </c>
      <c r="I85" s="6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14.212499999999999</v>
      </c>
      <c r="N85" s="13">
        <f>IF('Données projet'!$A$36&gt;35,N84+M85-V84,IF(A85&lt;'Données projet'!$A$36,$K$205^A85,IF(A85='Données projet'!$A$36,'Données projet'!$B$36,N84+M85-V84)))</f>
        <v>450.55749999999989</v>
      </c>
      <c r="O85" s="13">
        <f>N85*VLOOKUP('Données projet'!$B$9,Paramètres!$A$1:$I$89,3,0)*VLOOKUP('Données projet'!$B$9,Paramètres!$A$1:$I$89,5,0)</f>
        <v>210.86090999999996</v>
      </c>
      <c r="P85" s="13">
        <f t="shared" si="87"/>
        <v>52.123671374805603</v>
      </c>
      <c r="Q85" s="20">
        <f t="shared" si="54"/>
        <v>458.03147922778635</v>
      </c>
      <c r="R85" s="59">
        <f t="shared" si="55"/>
        <v>729.53757085977338</v>
      </c>
      <c r="S85" s="59">
        <f ca="1">AVERAGE(OFFSET($R$3,0,0,'Données projet'!$E$9+1,1))-AVERAGE(OFFSET($H$3,0,0,'Données projet'!$E$9+1,1))</f>
        <v>387.50901594883317</v>
      </c>
      <c r="T85" s="59">
        <f t="shared" si="88"/>
        <v>361.3623790401972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74.904643011642463</v>
      </c>
      <c r="AA85" s="21">
        <f>EXP(-LN(2)/25)*AA84+(1-EXP(-LN(2)/25))/(LN(2)/25)*Calculateur!V85*Calculateur!X85*VLOOKUP('Données projet'!$B$9,Paramètres!$A$1:$I$89,3,0)*0.475*44/12</f>
        <v>26.690767944401461</v>
      </c>
      <c r="AB85" s="21">
        <f>EXP(-LN(2)/2)*AB84+(1-EXP(-LN(2)/2))/(LN(2)/2)*V85*Y85*VLOOKUP('Données projet'!$B$9,Paramètres!$A$1:$I$89,3,0)*0.475*44/12</f>
        <v>1.6335229145457153</v>
      </c>
      <c r="AC85" s="22">
        <f t="shared" si="57"/>
        <v>103.22893387058964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373.47758082856359</v>
      </c>
      <c r="AO85" s="59">
        <f t="shared" si="90"/>
        <v>277.24895424120166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184.71299704103043</v>
      </c>
      <c r="AV85" s="21">
        <f>EXP(-LN(2)/25)*AV84+(1-EXP(-LN(2)/25))/(LN(2)/25)*Calculateur!AQ85*Calculateur!AS85*VLOOKUP('Données projet'!$B$10,Paramètres!$A$1:$I$89,3,0)*0.475*44/12</f>
        <v>34.015360383725344</v>
      </c>
      <c r="AW85" s="21">
        <f>EXP(-LN(2)/2)*AW84+(1-EXP(-LN(2)/2))/(LN(2)/2)*AQ85*AT85*VLOOKUP('Données projet'!$B$10,Paramètres!$A$1:$I$89,3,0)*0.475*44/12</f>
        <v>15.941203812205755</v>
      </c>
      <c r="AX85" s="21">
        <f t="shared" si="60"/>
        <v>234.66956123696153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-6.8212102632969618E-13</v>
      </c>
      <c r="BE85" s="13">
        <f>BD85*VLOOKUP('Données projet'!$B$11,Paramètres!$A$1:$I$89,3,0)*VLOOKUP('Données projet'!$B$11,Paramètres!$A$1:$I$89,5,0)</f>
        <v>-4.0790837374515837E-13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460.88622650237176</v>
      </c>
      <c r="BJ85" s="59">
        <f t="shared" si="92"/>
        <v>396.05161661639647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215.85777087639613</v>
      </c>
      <c r="BQ85" s="21">
        <f>EXP(-LN(2)/25)*BQ84+(1-EXP(-LN(2)/25))/(LN(2)/25)*Calculateur!BL85*Calculateur!BN85*VLOOKUP('Données projet'!$B$11,Paramètres!$A$1:$I$89,3,0)*0.475*44/12</f>
        <v>37.291671760129255</v>
      </c>
      <c r="BR85" s="21">
        <f>EXP(-LN(2)/2)*BR84+(1-EXP(-LN(2)/2))/(LN(2)/2)*BL85*BO85*VLOOKUP('Données projet'!$B$11,Paramètres!$A$1:$I$89,3,0)*0.475*44/12</f>
        <v>5.1468086819678938</v>
      </c>
      <c r="BS85" s="22">
        <f t="shared" si="63"/>
        <v>258.29625131849326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-1.1368683772161603E-13</v>
      </c>
      <c r="BZ85" s="13">
        <f>BY85*VLOOKUP('Données projet'!$B$12,Paramètres!$A$1:$I$89,3,0)*VLOOKUP('Données projet'!$B$12,Paramètres!$A$1:$I$89,5,0)</f>
        <v>-5.1727511163335289E-14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341.60063595566282</v>
      </c>
      <c r="CE85" s="59">
        <f t="shared" si="94"/>
        <v>317.05609766344219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177.16136695836025</v>
      </c>
      <c r="CL85" s="21">
        <f>EXP(-LN(2)/25)*CL84+(1-EXP(-LN(2)/25))/(LN(2)/25)*Calculateur!CG85*Calculateur!CI85*VLOOKUP('Données projet'!$B$12,Paramètres!$A$1:$I$89,3,0)*0.475*44/12</f>
        <v>34.636077917603899</v>
      </c>
      <c r="CM85" s="21">
        <f>EXP(-LN(2)/2)*CM84+(1-EXP(-LN(2)/2))/(LN(2)/2)*CG85*CJ85*VLOOKUP('Données projet'!$B$12,Paramètres!$A$1:$I$89,3,0)*0.475*44/12</f>
        <v>0.43496928370941573</v>
      </c>
      <c r="CN85" s="22">
        <f t="shared" si="66"/>
        <v>212.23241415967357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1.9220000000000028</v>
      </c>
      <c r="CT85" s="12">
        <f>IF('Données projet'!$A$140&gt;35,CT84+CS85-DB84,IF(A85&lt;'Données projet'!$A$140,$CQ$205^A85,IF(A85='Données projet'!$A$140,'Données projet'!$B$140,CT84+CS85-DB84)))</f>
        <v>144.23400000000004</v>
      </c>
      <c r="CU85" s="17">
        <f>CT85*VLOOKUP('Données projet'!$B$13,Paramètres!$A$1:$I$89,3,0)*VLOOKUP('Données projet'!$B$13,Paramètres!$A$1:$I$89,5,0)</f>
        <v>150.75337680000004</v>
      </c>
      <c r="CV85" s="13">
        <f t="shared" si="95"/>
        <v>38.749743249611676</v>
      </c>
      <c r="CW85" s="20">
        <f t="shared" si="67"/>
        <v>330.05126741974038</v>
      </c>
      <c r="CX85" s="59">
        <f t="shared" si="68"/>
        <v>601.55735905172742</v>
      </c>
      <c r="CY85" s="59">
        <f ca="1">AVERAGE(OFFSET($CX$3,0,0,'Données projet'!$E$13+1,1))-AVERAGE(OFFSET($H$3,0,0,'Données projet'!$E$13+1,1))</f>
        <v>287.73449456153207</v>
      </c>
      <c r="CZ85" s="59">
        <f t="shared" si="96"/>
        <v>296.74833899433281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20.683479723023432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20.683479723023432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7.0711111111111098</v>
      </c>
      <c r="DO85" s="12">
        <f>IF('Données projet'!$A$166&gt;35,DO84+DN85-DW84,IF(A85&lt;'Données projet'!$A$166,$DL$205^A85,IF(A85='Données projet'!$A$166,'Données projet'!$B$166,DO84+DN85-DW84)))</f>
        <v>239.56777777777782</v>
      </c>
      <c r="DP85" s="17">
        <f>DO85*VLOOKUP('Données projet'!$B$14,Paramètres!$A$1:$I$89,3,0)*VLOOKUP('Données projet'!$B$14,Paramètres!$A$1:$I$89,5,0)</f>
        <v>242.92172666666673</v>
      </c>
      <c r="DQ85" s="13">
        <f t="shared" si="97"/>
        <v>59.067710820607559</v>
      </c>
      <c r="DR85" s="20">
        <f t="shared" si="70"/>
        <v>525.96493695700281</v>
      </c>
      <c r="DS85" s="59">
        <f t="shared" si="71"/>
        <v>797.47102858898984</v>
      </c>
      <c r="DT85" s="59">
        <f ca="1">AVERAGE(OFFSET($DS$3,0,0,'Données projet'!$E$14+1,1))-AVERAGE(OFFSET($H$3,0,0,'Données projet'!$E$14+1,1))</f>
        <v>532.34688562681413</v>
      </c>
      <c r="DU85" s="59">
        <f t="shared" si="98"/>
        <v>345.42627129678556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28.528878744472777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28.528878744472777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-5.6843418860808015E-14</v>
      </c>
      <c r="EK85" s="17">
        <f>EJ85*VLOOKUP('Données projet'!$B$15,Paramètres!$A$1:$I$89,3,0)*VLOOKUP('Données projet'!$B$15,Paramètres!$A$1:$I$89,5,0)</f>
        <v>-5.1431925385259088E-14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256.20286603823035</v>
      </c>
      <c r="EP85" s="59">
        <f t="shared" si="100"/>
        <v>364.83827155069434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24.19549242590131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24.19549242590131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7.0711111111111098</v>
      </c>
      <c r="FE85" s="12">
        <f>IF('Données projet'!$A$218&gt;35,FE84+FD85-FM84,IF(A85&lt;'Données projet'!$A$218,$FB$205^A85,IF(A85='Données projet'!$A$218,'Données projet'!$B$218,FE84+FD85-FM84)))</f>
        <v>239.56777777777782</v>
      </c>
      <c r="FF85" s="17">
        <f>FE85*VLOOKUP('Données projet'!$B$16,Paramètres!$A$1:$I$89,3,0)*VLOOKUP('Données projet'!$B$16,Paramètres!$A$1:$I$89,5,0)</f>
        <v>160.70206533333337</v>
      </c>
      <c r="FG85" s="13">
        <f t="shared" si="101"/>
        <v>41.000827828662473</v>
      </c>
      <c r="FH85" s="20">
        <f t="shared" si="76"/>
        <v>351.29920559047605</v>
      </c>
      <c r="FI85" s="59">
        <f t="shared" si="77"/>
        <v>622.80529722246308</v>
      </c>
      <c r="FJ85" s="59">
        <f ca="1">AVERAGE(OFFSET($FI$3,0,0,'Données projet'!$E$16+1,1))-AVERAGE(OFFSET($H$3,0,0,'Données projet'!$E$16+1,1))</f>
        <v>380.73695370216979</v>
      </c>
      <c r="FK85" s="59">
        <f t="shared" si="102"/>
        <v>249.34467160415713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23.262008822416266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23.262008822416266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7.0711111111111098</v>
      </c>
      <c r="FZ85" s="12">
        <f>IF('Données projet'!$A$244&gt;35,FZ84+FY85-GH84,IF(A85&lt;'Données projet'!$A$244,$FW$205^A85,IF(A85='Données projet'!$A$244,'Données projet'!$B$244,FZ84+FY85-GH84)))</f>
        <v>239.56777777777782</v>
      </c>
      <c r="GA85" s="17">
        <f>FZ85*VLOOKUP('Données projet'!$B$17,Paramètres!$A$1:$I$89,3,0)*VLOOKUP('Données projet'!$B$17,Paramètres!$A$1:$I$89,5,0)</f>
        <v>231.70995466666673</v>
      </c>
      <c r="GB85" s="13">
        <f t="shared" si="103"/>
        <v>56.652254169219852</v>
      </c>
      <c r="GC85" s="20">
        <f t="shared" si="79"/>
        <v>502.23084705583574</v>
      </c>
      <c r="GD85" s="59">
        <f t="shared" si="80"/>
        <v>773.73693868782277</v>
      </c>
      <c r="GE85" s="59">
        <f ca="1">AVERAGE(OFFSET($GD$3,0,0,'Données projet'!$E$17+1,1))-AVERAGE(OFFSET($H$3,0,0,'Données projet'!$E$17+1,1))</f>
        <v>511.7458522930001</v>
      </c>
      <c r="GF85" s="59">
        <f t="shared" si="104"/>
        <v>332.37317679966122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27.212161263958652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27.212161263958652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-1.7053025658242404E-13</v>
      </c>
      <c r="GV85" s="17">
        <f>GU85*VLOOKUP('Données projet'!$B$18,Paramètres!$A$1:$I$89,3,0)*VLOOKUP('Données projet'!$B$18,Paramètres!$A$1:$I$89,5,0)</f>
        <v>-1.4897523215040567E-13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348.77506423101278</v>
      </c>
      <c r="HA85" s="59">
        <f t="shared" si="106"/>
        <v>336.13747591329548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128.41019625950838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128.41019625950838</v>
      </c>
    </row>
    <row r="86" spans="1:218" x14ac:dyDescent="0.2">
      <c r="A86" s="10">
        <f t="shared" si="85"/>
        <v>83</v>
      </c>
      <c r="B86" s="71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5">
        <f t="shared" si="56"/>
        <v>183.33333333333334</v>
      </c>
      <c r="I86" s="6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14.212499999999999</v>
      </c>
      <c r="N86" s="13">
        <f>IF('Données projet'!$A$36&gt;35,N85+M86-V85,IF(A86&lt;'Données projet'!$A$36,$K$205^A86,IF(A86='Données projet'!$A$36,'Données projet'!$B$36,N85+M86-V85)))</f>
        <v>464.76999999999987</v>
      </c>
      <c r="O86" s="13">
        <f>N86*VLOOKUP('Données projet'!$B$9,Paramètres!$A$1:$I$89,3,0)*VLOOKUP('Données projet'!$B$9,Paramètres!$A$1:$I$89,5,0)</f>
        <v>217.51235999999994</v>
      </c>
      <c r="P86" s="13">
        <f t="shared" si="87"/>
        <v>53.573852135564842</v>
      </c>
      <c r="Q86" s="20">
        <f t="shared" si="54"/>
        <v>472.141819469442</v>
      </c>
      <c r="R86" s="59">
        <f t="shared" si="55"/>
        <v>744.02656494654548</v>
      </c>
      <c r="S86" s="59">
        <f ca="1">AVERAGE(OFFSET($R$3,0,0,'Données projet'!$E$9+1,1))-AVERAGE(OFFSET($H$3,0,0,'Données projet'!$E$9+1,1))</f>
        <v>387.50901594883317</v>
      </c>
      <c r="T86" s="59">
        <f t="shared" si="88"/>
        <v>361.3623790401972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73.435808649505148</v>
      </c>
      <c r="AA86" s="21">
        <f>EXP(-LN(2)/25)*AA85+(1-EXP(-LN(2)/25))/(LN(2)/25)*Calculateur!V86*Calculateur!X86*VLOOKUP('Données projet'!$B$9,Paramètres!$A$1:$I$89,3,0)*0.475*44/12</f>
        <v>25.960907491355318</v>
      </c>
      <c r="AB86" s="21">
        <f>EXP(-LN(2)/2)*AB85+(1-EXP(-LN(2)/2))/(LN(2)/2)*V86*Y86*VLOOKUP('Données projet'!$B$9,Paramètres!$A$1:$I$89,3,0)*0.475*44/12</f>
        <v>1.1550751300988886</v>
      </c>
      <c r="AC86" s="22">
        <f t="shared" si="57"/>
        <v>100.55179127095936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373.47758082856359</v>
      </c>
      <c r="AO86" s="59">
        <f t="shared" si="90"/>
        <v>277.24895424120166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181.09088783285941</v>
      </c>
      <c r="AV86" s="21">
        <f>EXP(-LN(2)/25)*AV85+(1-EXP(-LN(2)/25))/(LN(2)/25)*Calculateur!AQ86*Calculateur!AS86*VLOOKUP('Données projet'!$B$10,Paramètres!$A$1:$I$89,3,0)*0.475*44/12</f>
        <v>33.085208565242318</v>
      </c>
      <c r="AW86" s="21">
        <f>EXP(-LN(2)/2)*AW85+(1-EXP(-LN(2)/2))/(LN(2)/2)*AQ86*AT86*VLOOKUP('Données projet'!$B$10,Paramètres!$A$1:$I$89,3,0)*0.475*44/12</f>
        <v>11.272133315887533</v>
      </c>
      <c r="AX86" s="21">
        <f t="shared" si="60"/>
        <v>225.44822971398926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-6.8212102632969618E-13</v>
      </c>
      <c r="BE86" s="13">
        <f>BD86*VLOOKUP('Données projet'!$B$11,Paramètres!$A$1:$I$89,3,0)*VLOOKUP('Données projet'!$B$11,Paramètres!$A$1:$I$89,5,0)</f>
        <v>-4.0790837374515837E-13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460.88622650237176</v>
      </c>
      <c r="BJ86" s="59">
        <f t="shared" si="92"/>
        <v>396.05161661639647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211.62493164974987</v>
      </c>
      <c r="BQ86" s="21">
        <f>EXP(-LN(2)/25)*BQ85+(1-EXP(-LN(2)/25))/(LN(2)/25)*Calculateur!BL86*Calculateur!BN86*VLOOKUP('Données projet'!$B$11,Paramètres!$A$1:$I$89,3,0)*0.475*44/12</f>
        <v>36.271929034764732</v>
      </c>
      <c r="BR86" s="21">
        <f>EXP(-LN(2)/2)*BR85+(1-EXP(-LN(2)/2))/(LN(2)/2)*BL86*BO86*VLOOKUP('Données projet'!$B$11,Paramètres!$A$1:$I$89,3,0)*0.475*44/12</f>
        <v>3.6393433204892949</v>
      </c>
      <c r="BS86" s="22">
        <f t="shared" si="63"/>
        <v>251.5362040050039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-1.1368683772161603E-13</v>
      </c>
      <c r="BZ86" s="13">
        <f>BY86*VLOOKUP('Données projet'!$B$12,Paramètres!$A$1:$I$89,3,0)*VLOOKUP('Données projet'!$B$12,Paramètres!$A$1:$I$89,5,0)</f>
        <v>-5.1727511163335289E-14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341.60063595566282</v>
      </c>
      <c r="CE86" s="59">
        <f t="shared" si="94"/>
        <v>317.05609766344219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173.68734061007083</v>
      </c>
      <c r="CL86" s="21">
        <f>EXP(-LN(2)/25)*CL85+(1-EXP(-LN(2)/25))/(LN(2)/25)*Calculateur!CG86*Calculateur!CI86*VLOOKUP('Données projet'!$B$12,Paramètres!$A$1:$I$89,3,0)*0.475*44/12</f>
        <v>33.688952545514844</v>
      </c>
      <c r="CM86" s="21">
        <f>EXP(-LN(2)/2)*CM85+(1-EXP(-LN(2)/2))/(LN(2)/2)*CG86*CJ86*VLOOKUP('Données projet'!$B$12,Paramètres!$A$1:$I$89,3,0)*0.475*44/12</f>
        <v>0.30756973011878314</v>
      </c>
      <c r="CN86" s="22">
        <f t="shared" si="66"/>
        <v>207.68386288570446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1.9220000000000028</v>
      </c>
      <c r="CT86" s="12">
        <f>IF('Données projet'!$A$140&gt;35,CT85+CS86-DB85,IF(A86&lt;'Données projet'!$A$140,$CQ$205^A86,IF(A86='Données projet'!$A$140,'Données projet'!$B$140,CT85+CS86-DB85)))</f>
        <v>146.15600000000003</v>
      </c>
      <c r="CU86" s="17">
        <f>CT86*VLOOKUP('Données projet'!$B$13,Paramètres!$A$1:$I$89,3,0)*VLOOKUP('Données projet'!$B$13,Paramètres!$A$1:$I$89,5,0)</f>
        <v>152.76225120000007</v>
      </c>
      <c r="CV86" s="13">
        <f t="shared" si="95"/>
        <v>39.205648910604246</v>
      </c>
      <c r="CW86" s="20">
        <f t="shared" si="67"/>
        <v>334.34409269263585</v>
      </c>
      <c r="CX86" s="59">
        <f t="shared" si="68"/>
        <v>606.22883816973933</v>
      </c>
      <c r="CY86" s="59">
        <f ca="1">AVERAGE(OFFSET($CX$3,0,0,'Données projet'!$E$13+1,1))-AVERAGE(OFFSET($H$3,0,0,'Données projet'!$E$13+1,1))</f>
        <v>287.73449456153207</v>
      </c>
      <c r="CZ86" s="59">
        <f t="shared" si="96"/>
        <v>296.74833899433281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20.277889301331879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20.277889301331879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7.0711111111111098</v>
      </c>
      <c r="DO86" s="12">
        <f>IF('Données projet'!$A$166&gt;35,DO85+DN86-DW85,IF(A86&lt;'Données projet'!$A$166,$DL$205^A86,IF(A86='Données projet'!$A$166,'Données projet'!$B$166,DO85+DN86-DW85)))</f>
        <v>246.63888888888894</v>
      </c>
      <c r="DP86" s="17">
        <f>DO86*VLOOKUP('Données projet'!$B$14,Paramètres!$A$1:$I$89,3,0)*VLOOKUP('Données projet'!$B$14,Paramètres!$A$1:$I$89,5,0)</f>
        <v>250.09183333333343</v>
      </c>
      <c r="DQ86" s="13">
        <f t="shared" si="97"/>
        <v>60.605605158175855</v>
      </c>
      <c r="DR86" s="20">
        <f t="shared" si="70"/>
        <v>541.13137203937856</v>
      </c>
      <c r="DS86" s="59">
        <f t="shared" si="71"/>
        <v>813.01611751648204</v>
      </c>
      <c r="DT86" s="59">
        <f ca="1">AVERAGE(OFFSET($DS$3,0,0,'Données projet'!$E$14+1,1))-AVERAGE(OFFSET($H$3,0,0,'Données projet'!$E$14+1,1))</f>
        <v>532.34688562681413</v>
      </c>
      <c r="DU86" s="59">
        <f t="shared" si="98"/>
        <v>345.42627129678556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27.969444833191503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27.969444833191503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-5.6843418860808015E-14</v>
      </c>
      <c r="EK86" s="17">
        <f>EJ86*VLOOKUP('Données projet'!$B$15,Paramètres!$A$1:$I$89,3,0)*VLOOKUP('Données projet'!$B$15,Paramètres!$A$1:$I$89,5,0)</f>
        <v>-5.1431925385259088E-14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256.20286603823035</v>
      </c>
      <c r="EP86" s="59">
        <f t="shared" si="100"/>
        <v>364.83827155069434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23.721033577222556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23.721033577222556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7.0711111111111098</v>
      </c>
      <c r="FE86" s="12">
        <f>IF('Données projet'!$A$218&gt;35,FE85+FD86-FM85,IF(A86&lt;'Données projet'!$A$218,$FB$205^A86,IF(A86='Données projet'!$A$218,'Données projet'!$B$218,FE85+FD86-FM85)))</f>
        <v>246.63888888888894</v>
      </c>
      <c r="FF86" s="17">
        <f>FE86*VLOOKUP('Données projet'!$B$16,Paramètres!$A$1:$I$89,3,0)*VLOOKUP('Données projet'!$B$16,Paramètres!$A$1:$I$89,5,0)</f>
        <v>165.4453666666667</v>
      </c>
      <c r="FG86" s="13">
        <f t="shared" si="101"/>
        <v>42.06833053153197</v>
      </c>
      <c r="FH86" s="20">
        <f t="shared" si="76"/>
        <v>361.41968928686265</v>
      </c>
      <c r="FI86" s="59">
        <f t="shared" si="77"/>
        <v>633.30443476396613</v>
      </c>
      <c r="FJ86" s="59">
        <f ca="1">AVERAGE(OFFSET($FI$3,0,0,'Données projet'!$E$16+1,1))-AVERAGE(OFFSET($H$3,0,0,'Données projet'!$E$16+1,1))</f>
        <v>380.73695370216979</v>
      </c>
      <c r="FK86" s="59">
        <f t="shared" si="102"/>
        <v>249.34467160415713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22.805855017833075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22.805855017833075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7.0711111111111098</v>
      </c>
      <c r="FZ86" s="12">
        <f>IF('Données projet'!$A$244&gt;35,FZ85+FY86-GH85,IF(A86&lt;'Données projet'!$A$244,$FW$205^A86,IF(A86='Données projet'!$A$244,'Données projet'!$B$244,FZ85+FY86-GH85)))</f>
        <v>246.63888888888894</v>
      </c>
      <c r="GA86" s="17">
        <f>FZ86*VLOOKUP('Données projet'!$B$17,Paramètres!$A$1:$I$89,3,0)*VLOOKUP('Données projet'!$B$17,Paramètres!$A$1:$I$89,5,0)</f>
        <v>238.5491333333334</v>
      </c>
      <c r="GB86" s="13">
        <f t="shared" si="103"/>
        <v>58.127259374041955</v>
      </c>
      <c r="GC86" s="20">
        <f t="shared" si="79"/>
        <v>516.71138396534536</v>
      </c>
      <c r="GD86" s="59">
        <f t="shared" si="80"/>
        <v>788.59612944244884</v>
      </c>
      <c r="GE86" s="59">
        <f ca="1">AVERAGE(OFFSET($GD$3,0,0,'Données projet'!$E$17+1,1))-AVERAGE(OFFSET($H$3,0,0,'Données projet'!$E$17+1,1))</f>
        <v>511.7458522930001</v>
      </c>
      <c r="GF86" s="59">
        <f t="shared" si="104"/>
        <v>332.37317679966122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26.678547379351901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26.678547379351901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-1.7053025658242404E-13</v>
      </c>
      <c r="GV86" s="17">
        <f>GU86*VLOOKUP('Données projet'!$B$18,Paramètres!$A$1:$I$89,3,0)*VLOOKUP('Données projet'!$B$18,Paramètres!$A$1:$I$89,5,0)</f>
        <v>-1.4897523215040567E-13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348.77506423101278</v>
      </c>
      <c r="HA86" s="59">
        <f t="shared" si="106"/>
        <v>336.13747591329548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125.89215063334544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125.89215063334544</v>
      </c>
    </row>
    <row r="87" spans="1:218" x14ac:dyDescent="0.2">
      <c r="A87" s="10">
        <f t="shared" si="85"/>
        <v>84</v>
      </c>
      <c r="B87" s="71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5">
        <f t="shared" si="56"/>
        <v>183.33333333333334</v>
      </c>
      <c r="I87" s="6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14.212499999999999</v>
      </c>
      <c r="N87" s="13">
        <f>IF('Données projet'!$A$36&gt;35,N86+M87-V86,IF(A87&lt;'Données projet'!$A$36,$K$205^A87,IF(A87='Données projet'!$A$36,'Données projet'!$B$36,N86+M87-V86)))</f>
        <v>478.98249999999985</v>
      </c>
      <c r="O87" s="13">
        <f>N87*VLOOKUP('Données projet'!$B$9,Paramètres!$A$1:$I$89,3,0)*VLOOKUP('Données projet'!$B$9,Paramètres!$A$1:$I$89,5,0)</f>
        <v>224.16380999999993</v>
      </c>
      <c r="P87" s="13">
        <f t="shared" si="87"/>
        <v>55.018879348273053</v>
      </c>
      <c r="Q87" s="20">
        <f t="shared" si="54"/>
        <v>486.24318394824201</v>
      </c>
      <c r="R87" s="59">
        <f t="shared" si="55"/>
        <v>758.50001447279237</v>
      </c>
      <c r="S87" s="59">
        <f ca="1">AVERAGE(OFFSET($R$3,0,0,'Données projet'!$E$9+1,1))-AVERAGE(OFFSET($H$3,0,0,'Données projet'!$E$9+1,1))</f>
        <v>387.50901594883317</v>
      </c>
      <c r="T87" s="59">
        <f t="shared" si="88"/>
        <v>361.3623790401972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71.995777233308843</v>
      </c>
      <c r="AA87" s="21">
        <f>EXP(-LN(2)/25)*AA86+(1-EXP(-LN(2)/25))/(LN(2)/25)*Calculateur!V87*Calculateur!X87*VLOOKUP('Données projet'!$B$9,Paramètres!$A$1:$I$89,3,0)*0.475*44/12</f>
        <v>25.251005110779417</v>
      </c>
      <c r="AB87" s="21">
        <f>EXP(-LN(2)/2)*AB86+(1-EXP(-LN(2)/2))/(LN(2)/2)*V87*Y87*VLOOKUP('Données projet'!$B$9,Paramètres!$A$1:$I$89,3,0)*0.475*44/12</f>
        <v>0.81676145727285776</v>
      </c>
      <c r="AC87" s="22">
        <f t="shared" si="57"/>
        <v>98.063543801361121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373.47758082856359</v>
      </c>
      <c r="AO87" s="59">
        <f t="shared" si="90"/>
        <v>277.24895424120166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177.53980597699214</v>
      </c>
      <c r="AV87" s="21">
        <f>EXP(-LN(2)/25)*AV86+(1-EXP(-LN(2)/25))/(LN(2)/25)*Calculateur!AQ87*Calculateur!AS87*VLOOKUP('Données projet'!$B$10,Paramètres!$A$1:$I$89,3,0)*0.475*44/12</f>
        <v>32.180491797150268</v>
      </c>
      <c r="AW87" s="21">
        <f>EXP(-LN(2)/2)*AW86+(1-EXP(-LN(2)/2))/(LN(2)/2)*AQ87*AT87*VLOOKUP('Données projet'!$B$10,Paramètres!$A$1:$I$89,3,0)*0.475*44/12</f>
        <v>7.9706019061028792</v>
      </c>
      <c r="AX87" s="21">
        <f t="shared" si="60"/>
        <v>217.69089968024528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-6.8212102632969618E-13</v>
      </c>
      <c r="BE87" s="13">
        <f>BD87*VLOOKUP('Données projet'!$B$11,Paramètres!$A$1:$I$89,3,0)*VLOOKUP('Données projet'!$B$11,Paramètres!$A$1:$I$89,5,0)</f>
        <v>-4.0790837374515837E-13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460.88622650237176</v>
      </c>
      <c r="BJ87" s="59">
        <f t="shared" si="92"/>
        <v>396.05161661639647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207.47509581856113</v>
      </c>
      <c r="BQ87" s="21">
        <f>EXP(-LN(2)/25)*BQ86+(1-EXP(-LN(2)/25))/(LN(2)/25)*Calculateur!BL87*Calculateur!BN87*VLOOKUP('Données projet'!$B$11,Paramètres!$A$1:$I$89,3,0)*0.475*44/12</f>
        <v>35.280071227851245</v>
      </c>
      <c r="BR87" s="21">
        <f>EXP(-LN(2)/2)*BR86+(1-EXP(-LN(2)/2))/(LN(2)/2)*BL87*BO87*VLOOKUP('Données projet'!$B$11,Paramètres!$A$1:$I$89,3,0)*0.475*44/12</f>
        <v>2.5734043409839473</v>
      </c>
      <c r="BS87" s="22">
        <f t="shared" si="63"/>
        <v>245.32857138739632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-1.1368683772161603E-13</v>
      </c>
      <c r="BZ87" s="13">
        <f>BY87*VLOOKUP('Données projet'!$B$12,Paramètres!$A$1:$I$89,3,0)*VLOOKUP('Données projet'!$B$12,Paramètres!$A$1:$I$89,5,0)</f>
        <v>-5.1727511163335289E-14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341.60063595566282</v>
      </c>
      <c r="CE87" s="59">
        <f t="shared" si="94"/>
        <v>317.05609766344219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170.28143779952453</v>
      </c>
      <c r="CL87" s="21">
        <f>EXP(-LN(2)/25)*CL86+(1-EXP(-LN(2)/25))/(LN(2)/25)*Calculateur!CG87*Calculateur!CI87*VLOOKUP('Données projet'!$B$12,Paramètres!$A$1:$I$89,3,0)*0.475*44/12</f>
        <v>32.76772636653272</v>
      </c>
      <c r="CM87" s="21">
        <f>EXP(-LN(2)/2)*CM86+(1-EXP(-LN(2)/2))/(LN(2)/2)*CG87*CJ87*VLOOKUP('Données projet'!$B$12,Paramètres!$A$1:$I$89,3,0)*0.475*44/12</f>
        <v>0.21748464185470787</v>
      </c>
      <c r="CN87" s="22">
        <f t="shared" si="66"/>
        <v>203.26664880791193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1.9220000000000028</v>
      </c>
      <c r="CT87" s="12">
        <f>IF('Données projet'!$A$140&gt;35,CT86+CS87-DB86,IF(A87&lt;'Données projet'!$A$140,$CQ$205^A87,IF(A87='Données projet'!$A$140,'Données projet'!$B$140,CT86+CS87-DB86)))</f>
        <v>148.07800000000003</v>
      </c>
      <c r="CU87" s="17">
        <f>CT87*VLOOKUP('Données projet'!$B$13,Paramètres!$A$1:$I$89,3,0)*VLOOKUP('Données projet'!$B$13,Paramètres!$A$1:$I$89,5,0)</f>
        <v>154.77112560000006</v>
      </c>
      <c r="CV87" s="13">
        <f t="shared" si="95"/>
        <v>39.660857229968521</v>
      </c>
      <c r="CW87" s="20">
        <f t="shared" si="67"/>
        <v>338.63570342886192</v>
      </c>
      <c r="CX87" s="59">
        <f t="shared" si="68"/>
        <v>610.89253395341223</v>
      </c>
      <c r="CY87" s="59">
        <f ca="1">AVERAGE(OFFSET($CX$3,0,0,'Données projet'!$E$13+1,1))-AVERAGE(OFFSET($H$3,0,0,'Données projet'!$E$13+1,1))</f>
        <v>287.73449456153207</v>
      </c>
      <c r="CZ87" s="59">
        <f t="shared" si="96"/>
        <v>296.74833899433281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19.880252260423966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19.880252260423966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253.71</v>
      </c>
      <c r="DM87" s="12">
        <f>VLOOKUP(A87,'Données projet'!$A$165:$I$185,9,0)</f>
        <v>7.0711111111111098</v>
      </c>
      <c r="DN87" s="12">
        <f t="array" ref="DN87">INDEX(DM:DM,MIN(IF(ISNUMBER(DM87:DM283),ROW(DM87:DM283),"")))</f>
        <v>7.0711111111111098</v>
      </c>
      <c r="DO87" s="12">
        <f>IF('Données projet'!$A$166&gt;35,DO86+DN87-DW86,IF(A87&lt;'Données projet'!$A$166,$DL$205^A87,IF(A87='Données projet'!$A$166,'Données projet'!$B$166,DO86+DN87-DW86)))</f>
        <v>253.71000000000006</v>
      </c>
      <c r="DP87" s="17">
        <f>DO87*VLOOKUP('Données projet'!$B$14,Paramètres!$A$1:$I$89,3,0)*VLOOKUP('Données projet'!$B$14,Paramètres!$A$1:$I$89,5,0)</f>
        <v>257.2619400000001</v>
      </c>
      <c r="DQ87" s="13">
        <f t="shared" si="97"/>
        <v>62.138375084235072</v>
      </c>
      <c r="DR87" s="20">
        <f t="shared" si="70"/>
        <v>556.28888210504294</v>
      </c>
      <c r="DS87" s="59">
        <f t="shared" si="71"/>
        <v>828.54571262959325</v>
      </c>
      <c r="DT87" s="59">
        <f ca="1">AVERAGE(OFFSET($DS$3,0,0,'Données projet'!$E$14+1,1))-AVERAGE(OFFSET($H$3,0,0,'Données projet'!$E$14+1,1))</f>
        <v>532.34688562681413</v>
      </c>
      <c r="DU87" s="59">
        <f t="shared" si="98"/>
        <v>345.42627129678556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44.89</v>
      </c>
      <c r="DX87" s="16">
        <f>IF(ISNA(VLOOKUP(A87,'Données projet'!$A$165:$I$185,5,0)),0%,VLOOKUP(A87,'Données projet'!$A$165:$I$185,5,0)*VLOOKUP('Données projet'!$B$14,Paramètres!$A$1:$I$89,7,0))</f>
        <v>0.25800000000000001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40.403362866693961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40.403362866693961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-5.6843418860808015E-14</v>
      </c>
      <c r="EK87" s="17">
        <f>EJ87*VLOOKUP('Données projet'!$B$15,Paramètres!$A$1:$I$89,3,0)*VLOOKUP('Données projet'!$B$15,Paramètres!$A$1:$I$89,5,0)</f>
        <v>-5.1431925385259088E-14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256.20286603823035</v>
      </c>
      <c r="EP87" s="59">
        <f t="shared" si="100"/>
        <v>364.83827155069434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23.255878577175068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23.255878577175068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253.71</v>
      </c>
      <c r="FC87" s="12">
        <f>VLOOKUP(A87,'Données projet'!$A$217:$I$237,9,0)</f>
        <v>7.0711111111111098</v>
      </c>
      <c r="FD87" s="12">
        <f t="array" ref="FD87">INDEX(FC:FC,MIN(IF(ISNUMBER(FC87:FC283),ROW(FC87:FC283),"")))</f>
        <v>7.0711111111111098</v>
      </c>
      <c r="FE87" s="12">
        <f>IF('Données projet'!$A$218&gt;35,FE86+FD87-FM86,IF(A87&lt;'Données projet'!$A$218,$FB$205^A87,IF(A87='Données projet'!$A$218,'Données projet'!$B$218,FE86+FD87-FM86)))</f>
        <v>253.71000000000006</v>
      </c>
      <c r="FF87" s="17">
        <f>FE87*VLOOKUP('Données projet'!$B$16,Paramètres!$A$1:$I$89,3,0)*VLOOKUP('Données projet'!$B$16,Paramètres!$A$1:$I$89,5,0)</f>
        <v>170.18866800000004</v>
      </c>
      <c r="FG87" s="13">
        <f t="shared" si="101"/>
        <v>43.132276212957983</v>
      </c>
      <c r="FH87" s="20">
        <f t="shared" si="76"/>
        <v>371.5339778375685</v>
      </c>
      <c r="FI87" s="59">
        <f t="shared" si="77"/>
        <v>643.79080836211881</v>
      </c>
      <c r="FJ87" s="59">
        <f ca="1">AVERAGE(OFFSET($FI$3,0,0,'Données projet'!$E$16+1,1))-AVERAGE(OFFSET($H$3,0,0,'Données projet'!$E$16+1,1))</f>
        <v>380.73695370216979</v>
      </c>
      <c r="FK87" s="59">
        <f t="shared" si="102"/>
        <v>249.34467160415713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44.89</v>
      </c>
      <c r="FN87" s="16">
        <f>IF(ISNA(VLOOKUP(A87,'Données projet'!$A$217:$I$237,5,0)),0%,VLOOKUP(A87,'Données projet'!$A$217:$I$237,5,0)*VLOOKUP('Données projet'!$B$16,Paramètres!$A$1:$I$89,7,0))</f>
        <v>0.318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32.944280491304305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32.944280491304305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>
        <f>VLOOKUP(A87,'Données projet'!$A$243:$I$263,2,0)</f>
        <v>253.71</v>
      </c>
      <c r="FX87" s="12">
        <f>VLOOKUP(A87,'Données projet'!$A$243:$I$263,9,0)</f>
        <v>7.0711111111111098</v>
      </c>
      <c r="FY87" s="12">
        <f t="array" ref="FY87">INDEX(FX:FX,MIN(IF(ISNUMBER(FX87:FX283),ROW(FX87:FX283),"")))</f>
        <v>7.0711111111111098</v>
      </c>
      <c r="FZ87" s="12">
        <f>IF('Données projet'!$A$244&gt;35,FZ86+FY87-GH86,IF(A87&lt;'Données projet'!$A$244,$FW$205^A87,IF(A87='Données projet'!$A$244,'Données projet'!$B$244,FZ86+FY87-GH86)))</f>
        <v>253.71000000000006</v>
      </c>
      <c r="GA87" s="17">
        <f>FZ87*VLOOKUP('Données projet'!$B$17,Paramètres!$A$1:$I$89,3,0)*VLOOKUP('Données projet'!$B$17,Paramètres!$A$1:$I$89,5,0)</f>
        <v>245.38831200000007</v>
      </c>
      <c r="GB87" s="13">
        <f t="shared" si="103"/>
        <v>59.59734971998013</v>
      </c>
      <c r="GC87" s="20">
        <f t="shared" si="79"/>
        <v>531.18336082896553</v>
      </c>
      <c r="GD87" s="59">
        <f t="shared" si="80"/>
        <v>803.44019135351584</v>
      </c>
      <c r="GE87" s="59">
        <f ca="1">AVERAGE(OFFSET($GD$3,0,0,'Données projet'!$E$17+1,1))-AVERAGE(OFFSET($H$3,0,0,'Données projet'!$E$17+1,1))</f>
        <v>511.7458522930001</v>
      </c>
      <c r="GF87" s="59">
        <f t="shared" si="104"/>
        <v>332.37317679966122</v>
      </c>
      <c r="GG87" s="15">
        <f>IF(ISNA(VLOOKUP(A87,'Données projet'!$A$243:$I$263,3,0)),0,VLOOKUP(A87,'Données projet'!$A$243:$I$263,3,0))</f>
        <v>6</v>
      </c>
      <c r="GH87" s="15">
        <f>IF(ISNA(VLOOKUP(A87,'Données projet'!$A$243:$I$263,4,0)),0,VLOOKUP(A87,'Données projet'!$A$243:$I$263,4,0))</f>
        <v>44.89</v>
      </c>
      <c r="GI87" s="16">
        <f>IF(ISNA(VLOOKUP(A87,'Données projet'!$A$243:$I$263,5,0)),0%,VLOOKUP(A87,'Données projet'!$A$243:$I$263,5,0)*VLOOKUP('Données projet'!$B$17,Paramètres!$A$1:$I$89,7,0))</f>
        <v>0.25800000000000001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38.53859227284655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38.53859227284655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-1.7053025658242404E-13</v>
      </c>
      <c r="GV87" s="17">
        <f>GU87*VLOOKUP('Données projet'!$B$18,Paramètres!$A$1:$I$89,3,0)*VLOOKUP('Données projet'!$B$18,Paramètres!$A$1:$I$89,5,0)</f>
        <v>-1.4897523215040567E-13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348.77506423101278</v>
      </c>
      <c r="HA87" s="59">
        <f t="shared" si="106"/>
        <v>336.13747591329548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123.42348234605537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123.42348234605537</v>
      </c>
    </row>
    <row r="88" spans="1:218" x14ac:dyDescent="0.2">
      <c r="A88" s="10">
        <f t="shared" si="85"/>
        <v>85</v>
      </c>
      <c r="B88" s="71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5">
        <f t="shared" si="56"/>
        <v>183.33333333333334</v>
      </c>
      <c r="I88" s="6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14.212499999999999</v>
      </c>
      <c r="N88" s="13">
        <f>IF('Données projet'!$A$36&gt;35,N87+M88-V87,IF(A88&lt;'Données projet'!$A$36,$K$205^A88,IF(A88='Données projet'!$A$36,'Données projet'!$B$36,N87+M88-V87)))</f>
        <v>493.19499999999982</v>
      </c>
      <c r="O88" s="13">
        <f>N88*VLOOKUP('Données projet'!$B$9,Paramètres!$A$1:$I$89,3,0)*VLOOKUP('Données projet'!$B$9,Paramètres!$A$1:$I$89,5,0)</f>
        <v>230.81525999999991</v>
      </c>
      <c r="P88" s="13">
        <f t="shared" si="87"/>
        <v>56.458923486259444</v>
      </c>
      <c r="Q88" s="20">
        <f t="shared" si="54"/>
        <v>500.33586957190164</v>
      </c>
      <c r="R88" s="59">
        <f t="shared" si="55"/>
        <v>772.95833030018321</v>
      </c>
      <c r="S88" s="59">
        <f ca="1">AVERAGE(OFFSET($R$3,0,0,'Données projet'!$E$9+1,1))-AVERAGE(OFFSET($H$3,0,0,'Données projet'!$E$9+1,1))</f>
        <v>387.50901594883317</v>
      </c>
      <c r="T88" s="59">
        <f t="shared" si="88"/>
        <v>361.3623790401972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70.583983954851718</v>
      </c>
      <c r="AA88" s="21">
        <f>EXP(-LN(2)/25)*AA87+(1-EXP(-LN(2)/25))/(LN(2)/25)*Calculateur!V88*Calculateur!X88*VLOOKUP('Données projet'!$B$9,Paramètres!$A$1:$I$89,3,0)*0.475*44/12</f>
        <v>24.560515048132508</v>
      </c>
      <c r="AB88" s="21">
        <f>EXP(-LN(2)/2)*AB87+(1-EXP(-LN(2)/2))/(LN(2)/2)*V88*Y88*VLOOKUP('Données projet'!$B$9,Paramètres!$A$1:$I$89,3,0)*0.475*44/12</f>
        <v>0.57753756504944431</v>
      </c>
      <c r="AC88" s="22">
        <f t="shared" si="57"/>
        <v>95.722036568033658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373.47758082856359</v>
      </c>
      <c r="AO88" s="59">
        <f t="shared" si="90"/>
        <v>277.24895424120166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174.05835867037237</v>
      </c>
      <c r="AV88" s="21">
        <f>EXP(-LN(2)/25)*AV87+(1-EXP(-LN(2)/25))/(LN(2)/25)*Calculateur!AQ88*Calculateur!AS88*VLOOKUP('Données projet'!$B$10,Paramètres!$A$1:$I$89,3,0)*0.475*44/12</f>
        <v>31.30051455665868</v>
      </c>
      <c r="AW88" s="21">
        <f>EXP(-LN(2)/2)*AW87+(1-EXP(-LN(2)/2))/(LN(2)/2)*AQ88*AT88*VLOOKUP('Données projet'!$B$10,Paramètres!$A$1:$I$89,3,0)*0.475*44/12</f>
        <v>5.6360666579437675</v>
      </c>
      <c r="AX88" s="21">
        <f t="shared" si="60"/>
        <v>210.9949398849748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-6.8212102632969618E-13</v>
      </c>
      <c r="BE88" s="13">
        <f>BD88*VLOOKUP('Données projet'!$B$11,Paramètres!$A$1:$I$89,3,0)*VLOOKUP('Données projet'!$B$11,Paramètres!$A$1:$I$89,5,0)</f>
        <v>-4.0790837374515837E-13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460.88622650237176</v>
      </c>
      <c r="BJ88" s="59">
        <f t="shared" si="92"/>
        <v>396.05161661639647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203.40663573687209</v>
      </c>
      <c r="BQ88" s="21">
        <f>EXP(-LN(2)/25)*BQ87+(1-EXP(-LN(2)/25))/(LN(2)/25)*Calculateur!BL88*Calculateur!BN88*VLOOKUP('Données projet'!$B$11,Paramètres!$A$1:$I$89,3,0)*0.475*44/12</f>
        <v>34.315335824827343</v>
      </c>
      <c r="BR88" s="21">
        <f>EXP(-LN(2)/2)*BR87+(1-EXP(-LN(2)/2))/(LN(2)/2)*BL88*BO88*VLOOKUP('Données projet'!$B$11,Paramètres!$A$1:$I$89,3,0)*0.475*44/12</f>
        <v>1.8196716602446477</v>
      </c>
      <c r="BS88" s="22">
        <f t="shared" si="63"/>
        <v>239.54164322194407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-1.1368683772161603E-13</v>
      </c>
      <c r="BZ88" s="13">
        <f>BY88*VLOOKUP('Données projet'!$B$12,Paramètres!$A$1:$I$89,3,0)*VLOOKUP('Données projet'!$B$12,Paramètres!$A$1:$I$89,5,0)</f>
        <v>-5.1727511163335289E-14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341.60063595566282</v>
      </c>
      <c r="CE88" s="59">
        <f t="shared" si="94"/>
        <v>317.05609766344219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166.94232266569745</v>
      </c>
      <c r="CL88" s="21">
        <f>EXP(-LN(2)/25)*CL87+(1-EXP(-LN(2)/25))/(LN(2)/25)*Calculateur!CG88*Calculateur!CI88*VLOOKUP('Données projet'!$B$12,Paramètres!$A$1:$I$89,3,0)*0.475*44/12</f>
        <v>31.871691165860046</v>
      </c>
      <c r="CM88" s="21">
        <f>EXP(-LN(2)/2)*CM87+(1-EXP(-LN(2)/2))/(LN(2)/2)*CG88*CJ88*VLOOKUP('Données projet'!$B$12,Paramètres!$A$1:$I$89,3,0)*0.475*44/12</f>
        <v>0.15378486505939157</v>
      </c>
      <c r="CN88" s="22">
        <f t="shared" si="66"/>
        <v>198.96779869661688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150</v>
      </c>
      <c r="CR88" s="12">
        <f>VLOOKUP(A88,'Données projet'!$A$139:$I$159,9,0)</f>
        <v>1.9220000000000028</v>
      </c>
      <c r="CS88" s="12">
        <f t="array" ref="CS88">INDEX(CR:CR,MIN(IF(ISNUMBER(CR88:CR284),ROW(CR88:CR284),"")))</f>
        <v>1.9220000000000028</v>
      </c>
      <c r="CT88" s="12">
        <f>IF('Données projet'!$A$140&gt;35,CT87+CS88-DB87,IF(A88&lt;'Données projet'!$A$140,$CQ$205^A88,IF(A88='Données projet'!$A$140,'Données projet'!$B$140,CT87+CS88-DB87)))</f>
        <v>150.00000000000003</v>
      </c>
      <c r="CU88" s="17">
        <f>CT88*VLOOKUP('Données projet'!$B$13,Paramètres!$A$1:$I$89,3,0)*VLOOKUP('Données projet'!$B$13,Paramètres!$A$1:$I$89,5,0)</f>
        <v>156.78000000000006</v>
      </c>
      <c r="CV88" s="13">
        <f t="shared" si="95"/>
        <v>40.115378305457973</v>
      </c>
      <c r="CW88" s="20">
        <f t="shared" si="67"/>
        <v>342.92611721533939</v>
      </c>
      <c r="CX88" s="59">
        <f t="shared" si="68"/>
        <v>615.5485779436209</v>
      </c>
      <c r="CY88" s="59">
        <f ca="1">AVERAGE(OFFSET($CX$3,0,0,'Données projet'!$E$13+1,1))-AVERAGE(OFFSET($H$3,0,0,'Données projet'!$E$13+1,1))</f>
        <v>287.73449456153207</v>
      </c>
      <c r="CZ88" s="59">
        <f t="shared" si="96"/>
        <v>296.74833899433281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7.69</v>
      </c>
      <c r="DC88" s="16">
        <f>IF(ISNA(VLOOKUP(A88,'Données projet'!$A$139:$I$159,5,0)),0%,VLOOKUP(A88,'Données projet'!$A$139:$I$159,5,0)*VLOOKUP('Données projet'!$B$13,Paramètres!$A$1:$I$89,7,0))</f>
        <v>0.30099999999999999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22.164892591877347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22.164892591877347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6.7444444444444436</v>
      </c>
      <c r="DO88" s="12">
        <f>IF('Données projet'!$A$166&gt;35,DO87+DN88-DW87,IF(A88&lt;'Données projet'!$A$166,$DL$205^A88,IF(A88='Données projet'!$A$166,'Données projet'!$B$166,DO87+DN88-DW87)))</f>
        <v>215.56444444444452</v>
      </c>
      <c r="DP88" s="17">
        <f>DO88*VLOOKUP('Données projet'!$B$14,Paramètres!$A$1:$I$89,3,0)*VLOOKUP('Données projet'!$B$14,Paramètres!$A$1:$I$89,5,0)</f>
        <v>218.58234666666678</v>
      </c>
      <c r="DQ88" s="13">
        <f t="shared" si="97"/>
        <v>53.806649939519559</v>
      </c>
      <c r="DR88" s="20">
        <f t="shared" si="70"/>
        <v>474.41083575577449</v>
      </c>
      <c r="DS88" s="59">
        <f t="shared" si="71"/>
        <v>747.033296484056</v>
      </c>
      <c r="DT88" s="59">
        <f ca="1">AVERAGE(OFFSET($DS$3,0,0,'Données projet'!$E$14+1,1))-AVERAGE(OFFSET($H$3,0,0,'Données projet'!$E$14+1,1))</f>
        <v>532.34688562681413</v>
      </c>
      <c r="DU88" s="59">
        <f t="shared" si="98"/>
        <v>345.42627129678556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39.611077564496085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39.611077564496085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-5.6843418860808015E-14</v>
      </c>
      <c r="EK88" s="17">
        <f>EJ88*VLOOKUP('Données projet'!$B$15,Paramètres!$A$1:$I$89,3,0)*VLOOKUP('Données projet'!$B$15,Paramètres!$A$1:$I$89,5,0)</f>
        <v>-5.1431925385259088E-14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256.20286603823035</v>
      </c>
      <c r="EP88" s="59">
        <f t="shared" si="100"/>
        <v>364.83827155069434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22.799844982961975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22.799844982961975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6.7444444444444436</v>
      </c>
      <c r="FE88" s="12">
        <f>IF('Données projet'!$A$218&gt;35,FE87+FD88-FM87,IF(A88&lt;'Données projet'!$A$218,$FB$205^A88,IF(A88='Données projet'!$A$218,'Données projet'!$B$218,FE87+FD88-FM87)))</f>
        <v>215.56444444444452</v>
      </c>
      <c r="FF88" s="17">
        <f>FE88*VLOOKUP('Données projet'!$B$16,Paramètres!$A$1:$I$89,3,0)*VLOOKUP('Données projet'!$B$16,Paramètres!$A$1:$I$89,5,0)</f>
        <v>144.60062933333339</v>
      </c>
      <c r="FG88" s="13">
        <f t="shared" si="101"/>
        <v>37.348953591708906</v>
      </c>
      <c r="FH88" s="20">
        <f t="shared" si="76"/>
        <v>316.89552359444866</v>
      </c>
      <c r="FI88" s="59">
        <f t="shared" si="77"/>
        <v>589.51798432273017</v>
      </c>
      <c r="FJ88" s="59">
        <f ca="1">AVERAGE(OFFSET($FI$3,0,0,'Données projet'!$E$16+1,1))-AVERAGE(OFFSET($H$3,0,0,'Données projet'!$E$16+1,1))</f>
        <v>380.73695370216979</v>
      </c>
      <c r="FK88" s="59">
        <f t="shared" si="102"/>
        <v>249.34467160415713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32.298263244896809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32.298263244896809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6.7444444444444436</v>
      </c>
      <c r="FZ88" s="12">
        <f>IF('Données projet'!$A$244&gt;35,FZ87+FY88-GH87,IF(A88&lt;'Données projet'!$A$244,$FW$205^A88,IF(A88='Données projet'!$A$244,'Données projet'!$B$244,FZ87+FY88-GH87)))</f>
        <v>215.56444444444452</v>
      </c>
      <c r="GA88" s="17">
        <f>FZ88*VLOOKUP('Données projet'!$B$17,Paramètres!$A$1:$I$89,3,0)*VLOOKUP('Données projet'!$B$17,Paramètres!$A$1:$I$89,5,0)</f>
        <v>208.49393066666676</v>
      </c>
      <c r="GB88" s="13">
        <f t="shared" si="103"/>
        <v>51.606333917792902</v>
      </c>
      <c r="GC88" s="20">
        <f t="shared" si="79"/>
        <v>453.00796081793391</v>
      </c>
      <c r="GD88" s="59">
        <f t="shared" si="80"/>
        <v>725.63042154621542</v>
      </c>
      <c r="GE88" s="59">
        <f ca="1">AVERAGE(OFFSET($GD$3,0,0,'Données projet'!$E$17+1,1))-AVERAGE(OFFSET($H$3,0,0,'Données projet'!$E$17+1,1))</f>
        <v>511.7458522930001</v>
      </c>
      <c r="GF88" s="59">
        <f t="shared" si="104"/>
        <v>332.37317679966122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37.782873984596272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37.782873984596272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-1.7053025658242404E-13</v>
      </c>
      <c r="GV88" s="17">
        <f>GU88*VLOOKUP('Données projet'!$B$18,Paramètres!$A$1:$I$89,3,0)*VLOOKUP('Données projet'!$B$18,Paramètres!$A$1:$I$89,5,0)</f>
        <v>-1.4897523215040567E-13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348.77506423101278</v>
      </c>
      <c r="HA88" s="59">
        <f t="shared" si="106"/>
        <v>336.13747591329548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121.00322313814009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121.00322313814009</v>
      </c>
    </row>
    <row r="89" spans="1:218" x14ac:dyDescent="0.2">
      <c r="A89" s="10">
        <f t="shared" si="85"/>
        <v>86</v>
      </c>
      <c r="B89" s="71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5">
        <f t="shared" si="56"/>
        <v>183.33333333333334</v>
      </c>
      <c r="I89" s="6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14.212499999999999</v>
      </c>
      <c r="N89" s="13">
        <f>IF('Données projet'!$A$36&gt;35,N88+M89-V88,IF(A89&lt;'Données projet'!$A$36,$K$205^A89,IF(A89='Données projet'!$A$36,'Données projet'!$B$36,N88+M89-V88)))</f>
        <v>507.4074999999998</v>
      </c>
      <c r="O89" s="13">
        <f>N89*VLOOKUP('Données projet'!$B$9,Paramètres!$A$1:$I$89,3,0)*VLOOKUP('Données projet'!$B$9,Paramètres!$A$1:$I$89,5,0)</f>
        <v>237.46670999999992</v>
      </c>
      <c r="P89" s="13">
        <f t="shared" si="87"/>
        <v>57.89414463897004</v>
      </c>
      <c r="Q89" s="20">
        <f t="shared" si="54"/>
        <v>514.42015516287267</v>
      </c>
      <c r="R89" s="59">
        <f t="shared" si="55"/>
        <v>787.40190322827743</v>
      </c>
      <c r="S89" s="59">
        <f ca="1">AVERAGE(OFFSET($R$3,0,0,'Données projet'!$E$9+1,1))-AVERAGE(OFFSET($H$3,0,0,'Données projet'!$E$9+1,1))</f>
        <v>387.50901594883317</v>
      </c>
      <c r="T89" s="59">
        <f t="shared" si="88"/>
        <v>361.3623790401972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69.199875081476264</v>
      </c>
      <c r="AA89" s="21">
        <f>EXP(-LN(2)/25)*AA88+(1-EXP(-LN(2)/25))/(LN(2)/25)*Calculateur!V89*Calculateur!X89*VLOOKUP('Données projet'!$B$9,Paramètres!$A$1:$I$89,3,0)*0.475*44/12</f>
        <v>23.888906472559974</v>
      </c>
      <c r="AB89" s="21">
        <f>EXP(-LN(2)/2)*AB88+(1-EXP(-LN(2)/2))/(LN(2)/2)*V89*Y89*VLOOKUP('Données projet'!$B$9,Paramètres!$A$1:$I$89,3,0)*0.475*44/12</f>
        <v>0.40838072863642888</v>
      </c>
      <c r="AC89" s="22">
        <f t="shared" si="57"/>
        <v>93.497162282672676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373.47758082856359</v>
      </c>
      <c r="AO89" s="59">
        <f t="shared" si="90"/>
        <v>277.24895424120166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170.64518042196224</v>
      </c>
      <c r="AV89" s="21">
        <f>EXP(-LN(2)/25)*AV88+(1-EXP(-LN(2)/25))/(LN(2)/25)*Calculateur!AQ89*Calculateur!AS89*VLOOKUP('Données projet'!$B$10,Paramètres!$A$1:$I$89,3,0)*0.475*44/12</f>
        <v>30.444600340084325</v>
      </c>
      <c r="AW89" s="21">
        <f>EXP(-LN(2)/2)*AW88+(1-EXP(-LN(2)/2))/(LN(2)/2)*AQ89*AT89*VLOOKUP('Données projet'!$B$10,Paramètres!$A$1:$I$89,3,0)*0.475*44/12</f>
        <v>3.9853009530514401</v>
      </c>
      <c r="AX89" s="21">
        <f t="shared" si="60"/>
        <v>205.07508171509801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-6.8212102632969618E-13</v>
      </c>
      <c r="BE89" s="13">
        <f>BD89*VLOOKUP('Données projet'!$B$11,Paramètres!$A$1:$I$89,3,0)*VLOOKUP('Données projet'!$B$11,Paramètres!$A$1:$I$89,5,0)</f>
        <v>-4.0790837374515837E-13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460.88622650237176</v>
      </c>
      <c r="BJ89" s="59">
        <f t="shared" si="92"/>
        <v>396.05161661639647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199.41795567586934</v>
      </c>
      <c r="BQ89" s="21">
        <f>EXP(-LN(2)/25)*BQ88+(1-EXP(-LN(2)/25))/(LN(2)/25)*Calculateur!BL89*Calculateur!BN89*VLOOKUP('Données projet'!$B$11,Paramètres!$A$1:$I$89,3,0)*0.475*44/12</f>
        <v>33.37698116213236</v>
      </c>
      <c r="BR89" s="21">
        <f>EXP(-LN(2)/2)*BR88+(1-EXP(-LN(2)/2))/(LN(2)/2)*BL89*BO89*VLOOKUP('Données projet'!$B$11,Paramètres!$A$1:$I$89,3,0)*0.475*44/12</f>
        <v>1.2867021704919739</v>
      </c>
      <c r="BS89" s="22">
        <f t="shared" si="63"/>
        <v>234.08163900849365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-1.1368683772161603E-13</v>
      </c>
      <c r="BZ89" s="13">
        <f>BY89*VLOOKUP('Données projet'!$B$12,Paramètres!$A$1:$I$89,3,0)*VLOOKUP('Données projet'!$B$12,Paramètres!$A$1:$I$89,5,0)</f>
        <v>-5.1727511163335289E-14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341.60063595566282</v>
      </c>
      <c r="CE89" s="59">
        <f t="shared" si="94"/>
        <v>317.05609766344219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163.66868554298557</v>
      </c>
      <c r="CL89" s="21">
        <f>EXP(-LN(2)/25)*CL88+(1-EXP(-LN(2)/25))/(LN(2)/25)*Calculateur!CG89*Calculateur!CI89*VLOOKUP('Données projet'!$B$12,Paramètres!$A$1:$I$89,3,0)*0.475*44/12</f>
        <v>31.000158094870208</v>
      </c>
      <c r="CM89" s="21">
        <f>EXP(-LN(2)/2)*CM88+(1-EXP(-LN(2)/2))/(LN(2)/2)*CG89*CJ89*VLOOKUP('Données projet'!$B$12,Paramètres!$A$1:$I$89,3,0)*0.475*44/12</f>
        <v>0.10874232092735393</v>
      </c>
      <c r="CN89" s="22">
        <f t="shared" si="66"/>
        <v>194.77758595878313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1.7939999999999998</v>
      </c>
      <c r="CT89" s="12">
        <f>IF('Données projet'!$A$140&gt;35,CT88+CS89-DB88,IF(A89&lt;'Données projet'!$A$140,$CQ$205^A89,IF(A89='Données projet'!$A$140,'Données projet'!$B$140,CT88+CS89-DB88)))</f>
        <v>144.10400000000004</v>
      </c>
      <c r="CU89" s="17">
        <f>CT89*VLOOKUP('Données projet'!$B$13,Paramètres!$A$1:$I$89,3,0)*VLOOKUP('Données projet'!$B$13,Paramètres!$A$1:$I$89,5,0)</f>
        <v>150.61750080000007</v>
      </c>
      <c r="CV89" s="13">
        <f t="shared" si="95"/>
        <v>38.718881323331942</v>
      </c>
      <c r="CW89" s="20">
        <f t="shared" si="67"/>
        <v>329.7608655314699</v>
      </c>
      <c r="CX89" s="59">
        <f t="shared" si="68"/>
        <v>602.74261359687466</v>
      </c>
      <c r="CY89" s="59">
        <f ca="1">AVERAGE(OFFSET($CX$3,0,0,'Données projet'!$E$13+1,1))-AVERAGE(OFFSET($H$3,0,0,'Données projet'!$E$13+1,1))</f>
        <v>287.73449456153207</v>
      </c>
      <c r="CZ89" s="59">
        <f t="shared" si="96"/>
        <v>296.74833899433281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21.7302525674002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21.7302525674002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6.7444444444444436</v>
      </c>
      <c r="DO89" s="12">
        <f>IF('Données projet'!$A$166&gt;35,DO88+DN89-DW88,IF(A89&lt;'Données projet'!$A$166,$DL$205^A89,IF(A89='Données projet'!$A$166,'Données projet'!$B$166,DO88+DN89-DW88)))</f>
        <v>222.30888888888896</v>
      </c>
      <c r="DP89" s="17">
        <f>DO89*VLOOKUP('Données projet'!$B$14,Paramètres!$A$1:$I$89,3,0)*VLOOKUP('Données projet'!$B$14,Paramètres!$A$1:$I$89,5,0)</f>
        <v>225.42121333333344</v>
      </c>
      <c r="DQ89" s="13">
        <f t="shared" si="97"/>
        <v>55.291485120086222</v>
      </c>
      <c r="DR89" s="20">
        <f t="shared" si="70"/>
        <v>488.90794980637247</v>
      </c>
      <c r="DS89" s="59">
        <f t="shared" si="71"/>
        <v>761.88969787177712</v>
      </c>
      <c r="DT89" s="59">
        <f ca="1">AVERAGE(OFFSET($DS$3,0,0,'Données projet'!$E$14+1,1))-AVERAGE(OFFSET($H$3,0,0,'Données projet'!$E$14+1,1))</f>
        <v>532.34688562681413</v>
      </c>
      <c r="DU89" s="59">
        <f t="shared" si="98"/>
        <v>345.42627129678556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38.834328493827989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38.834328493827989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-5.6843418860808015E-14</v>
      </c>
      <c r="EK89" s="17">
        <f>EJ89*VLOOKUP('Données projet'!$B$15,Paramètres!$A$1:$I$89,3,0)*VLOOKUP('Données projet'!$B$15,Paramètres!$A$1:$I$89,5,0)</f>
        <v>-5.1431925385259088E-14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256.20286603823035</v>
      </c>
      <c r="EP89" s="59">
        <f t="shared" si="100"/>
        <v>364.83827155069434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22.352753929378373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22.352753929378373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6.7444444444444436</v>
      </c>
      <c r="FE89" s="12">
        <f>IF('Données projet'!$A$218&gt;35,FE88+FD89-FM88,IF(A89&lt;'Données projet'!$A$218,$FB$205^A89,IF(A89='Données projet'!$A$218,'Données projet'!$B$218,FE88+FD89-FM88)))</f>
        <v>222.30888888888896</v>
      </c>
      <c r="FF89" s="17">
        <f>FE89*VLOOKUP('Données projet'!$B$16,Paramètres!$A$1:$I$89,3,0)*VLOOKUP('Données projet'!$B$16,Paramètres!$A$1:$I$89,5,0)</f>
        <v>149.12480266666671</v>
      </c>
      <c r="FG89" s="13">
        <f t="shared" si="101"/>
        <v>38.379626200255551</v>
      </c>
      <c r="FH89" s="20">
        <f t="shared" si="76"/>
        <v>326.57021360988955</v>
      </c>
      <c r="FI89" s="59">
        <f t="shared" si="77"/>
        <v>599.55196167529425</v>
      </c>
      <c r="FJ89" s="59">
        <f ca="1">AVERAGE(OFFSET($FI$3,0,0,'Données projet'!$E$16+1,1))-AVERAGE(OFFSET($H$3,0,0,'Données projet'!$E$16+1,1))</f>
        <v>380.73695370216979</v>
      </c>
      <c r="FK89" s="59">
        <f t="shared" si="102"/>
        <v>249.34467160415713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31.664914002659749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31.664914002659749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6.7444444444444436</v>
      </c>
      <c r="FZ89" s="12">
        <f>IF('Données projet'!$A$244&gt;35,FZ88+FY89-GH88,IF(A89&lt;'Données projet'!$A$244,$FW$205^A89,IF(A89='Données projet'!$A$244,'Données projet'!$B$244,FZ88+FY89-GH88)))</f>
        <v>222.30888888888896</v>
      </c>
      <c r="GA89" s="17">
        <f>FZ89*VLOOKUP('Données projet'!$B$17,Paramètres!$A$1:$I$89,3,0)*VLOOKUP('Données projet'!$B$17,Paramètres!$A$1:$I$89,5,0)</f>
        <v>215.01715733333342</v>
      </c>
      <c r="GB89" s="13">
        <f t="shared" si="103"/>
        <v>53.030449714396866</v>
      </c>
      <c r="GC89" s="20">
        <f t="shared" si="79"/>
        <v>466.84958227479683</v>
      </c>
      <c r="GD89" s="59">
        <f t="shared" si="80"/>
        <v>739.83133034020148</v>
      </c>
      <c r="GE89" s="59">
        <f ca="1">AVERAGE(OFFSET($GD$3,0,0,'Données projet'!$E$17+1,1))-AVERAGE(OFFSET($H$3,0,0,'Données projet'!$E$17+1,1))</f>
        <v>511.7458522930001</v>
      </c>
      <c r="GF89" s="59">
        <f t="shared" si="104"/>
        <v>332.37317679966122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37.04197487103594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37.04197487103594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-1.7053025658242404E-13</v>
      </c>
      <c r="GV89" s="17">
        <f>GU89*VLOOKUP('Données projet'!$B$18,Paramètres!$A$1:$I$89,3,0)*VLOOKUP('Données projet'!$B$18,Paramètres!$A$1:$I$89,5,0)</f>
        <v>-1.4897523215040567E-13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348.77506423101278</v>
      </c>
      <c r="HA89" s="59">
        <f t="shared" si="106"/>
        <v>336.13747591329548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118.63042373707967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118.63042373707967</v>
      </c>
    </row>
    <row r="90" spans="1:218" x14ac:dyDescent="0.2">
      <c r="A90" s="10">
        <f t="shared" si="85"/>
        <v>87</v>
      </c>
      <c r="B90" s="71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5">
        <f t="shared" si="56"/>
        <v>183.33333333333334</v>
      </c>
      <c r="I90" s="6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521.62</v>
      </c>
      <c r="L90" s="12">
        <f>VLOOKUP(A90,'Données projet'!$A$35:$I$55,9,0)</f>
        <v>14.212499999999999</v>
      </c>
      <c r="M90" s="12">
        <f t="array" ref="M90">INDEX(L:L,MIN(IF(ISNUMBER(L90:L286),ROW(L90:L286),"")))</f>
        <v>14.212499999999999</v>
      </c>
      <c r="N90" s="13">
        <f>IF('Données projet'!$A$36&gt;35,N89+M90-V89,IF(A90&lt;'Données projet'!$A$36,$K$205^A90,IF(A90='Données projet'!$A$36,'Données projet'!$B$36,N89+M90-V89)))</f>
        <v>521.61999999999978</v>
      </c>
      <c r="O90" s="13">
        <f>N90*VLOOKUP('Données projet'!$B$9,Paramètres!$A$1:$I$89,3,0)*VLOOKUP('Données projet'!$B$9,Paramètres!$A$1:$I$89,5,0)</f>
        <v>244.11815999999988</v>
      </c>
      <c r="P90" s="13">
        <f t="shared" si="87"/>
        <v>59.324693417385667</v>
      </c>
      <c r="Q90" s="20">
        <f t="shared" si="54"/>
        <v>528.49630303527977</v>
      </c>
      <c r="R90" s="59">
        <f t="shared" si="55"/>
        <v>801.8311056057546</v>
      </c>
      <c r="S90" s="59">
        <f ca="1">AVERAGE(OFFSET($R$3,0,0,'Données projet'!$E$9+1,1))-AVERAGE(OFFSET($H$3,0,0,'Données projet'!$E$9+1,1))</f>
        <v>387.50901594883317</v>
      </c>
      <c r="T90" s="59">
        <f t="shared" si="88"/>
        <v>361.3623790401972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88.62</v>
      </c>
      <c r="W90" s="16">
        <f>IF(ISNA(VLOOKUP(A90,'Données projet'!$A$35:$I$55,5,0)),0%,VLOOKUP(A90,'Données projet'!$A$35:$I$55,5,0)*VLOOKUP('Données projet'!$B$9,Paramètres!$A$1:$I$89,7,0))</f>
        <v>0.44000000000000006</v>
      </c>
      <c r="X90" s="16">
        <f>IF(ISNA(VLOOKUP(A90,'Données projet'!$A$35:$I$55,6,0)),0%,VLOOKUP(A90,'Données projet'!$A$35:$I$55,6,0)*VLOOKUP('Données projet'!$B$9,Paramètres!$A$1:$I$89,7,0))</f>
        <v>6.0500000000000005E-2</v>
      </c>
      <c r="Y90" s="16">
        <f>IF(ISNA(VLOOKUP(A90,'Données projet'!$A$35:$I$55,7,0)),0%,VLOOKUP(A90,'Données projet'!$A$35:$I$55,7,0))</f>
        <v>0.09</v>
      </c>
      <c r="Z90" s="21">
        <f>EXP(-LN(2)/35)*Z89+(1-EXP(-LN(2)/35))/(LN(2)/35)*V90*W90*VLOOKUP('Données projet'!$B$9,Paramètres!$A$1:$I$89,3,0)*0.475*44/12</f>
        <v>92.050892187978093</v>
      </c>
      <c r="AA90" s="21">
        <f>EXP(-LN(2)/25)*AA89+(1-EXP(-LN(2)/25))/(LN(2)/25)*Calculateur!V90*Calculateur!X90*VLOOKUP('Données projet'!$B$9,Paramètres!$A$1:$I$89,3,0)*0.475*44/12</f>
        <v>26.551154972478248</v>
      </c>
      <c r="AB90" s="21">
        <f>EXP(-LN(2)/2)*AB89+(1-EXP(-LN(2)/2))/(LN(2)/2)*V90*Y90*VLOOKUP('Données projet'!$B$9,Paramètres!$A$1:$I$89,3,0)*0.475*44/12</f>
        <v>4.5150232943549442</v>
      </c>
      <c r="AC90" s="22">
        <f t="shared" si="57"/>
        <v>123.11707045481128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373.47758082856359</v>
      </c>
      <c r="AO90" s="59">
        <f t="shared" si="90"/>
        <v>277.24895424120166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167.29893251717024</v>
      </c>
      <c r="AV90" s="21">
        <f>EXP(-LN(2)/25)*AV89+(1-EXP(-LN(2)/25))/(LN(2)/25)*Calculateur!AQ90*Calculateur!AS90*VLOOKUP('Données projet'!$B$10,Paramètres!$A$1:$I$89,3,0)*0.475*44/12</f>
        <v>29.612091142772769</v>
      </c>
      <c r="AW90" s="21">
        <f>EXP(-LN(2)/2)*AW89+(1-EXP(-LN(2)/2))/(LN(2)/2)*AQ90*AT90*VLOOKUP('Données projet'!$B$10,Paramètres!$A$1:$I$89,3,0)*0.475*44/12</f>
        <v>2.8180333289718842</v>
      </c>
      <c r="AX90" s="21">
        <f t="shared" si="60"/>
        <v>199.72905698891489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-6.8212102632969618E-13</v>
      </c>
      <c r="BE90" s="13">
        <f>BD90*VLOOKUP('Données projet'!$B$11,Paramètres!$A$1:$I$89,3,0)*VLOOKUP('Données projet'!$B$11,Paramètres!$A$1:$I$89,5,0)</f>
        <v>-4.0790837374515837E-13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460.88622650237176</v>
      </c>
      <c r="BJ90" s="59">
        <f t="shared" si="92"/>
        <v>396.05161661639647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195.50749119800824</v>
      </c>
      <c r="BQ90" s="21">
        <f>EXP(-LN(2)/25)*BQ89+(1-EXP(-LN(2)/25))/(LN(2)/25)*Calculateur!BL90*Calculateur!BN90*VLOOKUP('Données projet'!$B$11,Paramètres!$A$1:$I$89,3,0)*0.475*44/12</f>
        <v>32.464285857034696</v>
      </c>
      <c r="BR90" s="21">
        <f>EXP(-LN(2)/2)*BR89+(1-EXP(-LN(2)/2))/(LN(2)/2)*BL90*BO90*VLOOKUP('Données projet'!$B$11,Paramètres!$A$1:$I$89,3,0)*0.475*44/12</f>
        <v>0.90983583012232405</v>
      </c>
      <c r="BS90" s="22">
        <f t="shared" si="63"/>
        <v>228.88161288516525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-1.1368683772161603E-13</v>
      </c>
      <c r="BZ90" s="13">
        <f>BY90*VLOOKUP('Données projet'!$B$12,Paramètres!$A$1:$I$89,3,0)*VLOOKUP('Données projet'!$B$12,Paramètres!$A$1:$I$89,5,0)</f>
        <v>-5.1727511163335289E-14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341.60063595566282</v>
      </c>
      <c r="CE90" s="59">
        <f t="shared" si="94"/>
        <v>317.05609766344219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160.4592424475286</v>
      </c>
      <c r="CL90" s="21">
        <f>EXP(-LN(2)/25)*CL89+(1-EXP(-LN(2)/25))/(LN(2)/25)*Calculateur!CG90*Calculateur!CI90*VLOOKUP('Données projet'!$B$12,Paramètres!$A$1:$I$89,3,0)*0.475*44/12</f>
        <v>30.15245714153852</v>
      </c>
      <c r="CM90" s="21">
        <f>EXP(-LN(2)/2)*CM89+(1-EXP(-LN(2)/2))/(LN(2)/2)*CG90*CJ90*VLOOKUP('Données projet'!$B$12,Paramètres!$A$1:$I$89,3,0)*0.475*44/12</f>
        <v>7.6892432529695784E-2</v>
      </c>
      <c r="CN90" s="22">
        <f t="shared" si="66"/>
        <v>190.6885920215968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1.7939999999999998</v>
      </c>
      <c r="CT90" s="12">
        <f>IF('Données projet'!$A$140&gt;35,CT89+CS90-DB89,IF(A90&lt;'Données projet'!$A$140,$CQ$205^A90,IF(A90='Données projet'!$A$140,'Données projet'!$B$140,CT89+CS90-DB89)))</f>
        <v>145.89800000000005</v>
      </c>
      <c r="CU90" s="17">
        <f>CT90*VLOOKUP('Données projet'!$B$13,Paramètres!$A$1:$I$89,3,0)*VLOOKUP('Données projet'!$B$13,Paramètres!$A$1:$I$89,5,0)</f>
        <v>152.49258960000009</v>
      </c>
      <c r="CV90" s="13">
        <f t="shared" si="95"/>
        <v>39.144491082213925</v>
      </c>
      <c r="CW90" s="20">
        <f t="shared" si="67"/>
        <v>333.76791552152275</v>
      </c>
      <c r="CX90" s="59">
        <f t="shared" si="68"/>
        <v>607.10271809199753</v>
      </c>
      <c r="CY90" s="59">
        <f ca="1">AVERAGE(OFFSET($CX$3,0,0,'Données projet'!$E$13+1,1))-AVERAGE(OFFSET($H$3,0,0,'Données projet'!$E$13+1,1))</f>
        <v>287.73449456153207</v>
      </c>
      <c r="CZ90" s="59">
        <f t="shared" si="96"/>
        <v>296.74833899433281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21.304135568698811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21.304135568698811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6.7444444444444436</v>
      </c>
      <c r="DO90" s="12">
        <f>IF('Données projet'!$A$166&gt;35,DO89+DN90-DW89,IF(A90&lt;'Données projet'!$A$166,$DL$205^A90,IF(A90='Données projet'!$A$166,'Données projet'!$B$166,DO89+DN90-DW89)))</f>
        <v>229.0533333333334</v>
      </c>
      <c r="DP90" s="17">
        <f>DO90*VLOOKUP('Données projet'!$B$14,Paramètres!$A$1:$I$89,3,0)*VLOOKUP('Données projet'!$B$14,Paramètres!$A$1:$I$89,5,0)</f>
        <v>232.26008000000007</v>
      </c>
      <c r="DQ90" s="13">
        <f t="shared" si="97"/>
        <v>56.771085207930533</v>
      </c>
      <c r="DR90" s="20">
        <f t="shared" si="70"/>
        <v>503.39594607047911</v>
      </c>
      <c r="DS90" s="59">
        <f t="shared" si="71"/>
        <v>776.73074864095395</v>
      </c>
      <c r="DT90" s="59">
        <f ca="1">AVERAGE(OFFSET($DS$3,0,0,'Données projet'!$E$14+1,1))-AVERAGE(OFFSET($H$3,0,0,'Données projet'!$E$14+1,1))</f>
        <v>532.34688562681413</v>
      </c>
      <c r="DU90" s="59">
        <f t="shared" si="98"/>
        <v>345.42627129678556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38.072810998665545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38.072810998665545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-5.6843418860808015E-14</v>
      </c>
      <c r="EK90" s="17">
        <f>EJ90*VLOOKUP('Données projet'!$B$15,Paramètres!$A$1:$I$89,3,0)*VLOOKUP('Données projet'!$B$15,Paramètres!$A$1:$I$89,5,0)</f>
        <v>-5.1431925385259088E-14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256.20286603823035</v>
      </c>
      <c r="EP90" s="59">
        <f t="shared" si="100"/>
        <v>364.83827155069434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21.914430058656929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21.914430058656929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6.7444444444444436</v>
      </c>
      <c r="FE90" s="12">
        <f>IF('Données projet'!$A$218&gt;35,FE89+FD90-FM89,IF(A90&lt;'Données projet'!$A$218,$FB$205^A90,IF(A90='Données projet'!$A$218,'Données projet'!$B$218,FE89+FD90-FM89)))</f>
        <v>229.0533333333334</v>
      </c>
      <c r="FF90" s="17">
        <f>FE90*VLOOKUP('Données projet'!$B$16,Paramètres!$A$1:$I$89,3,0)*VLOOKUP('Données projet'!$B$16,Paramètres!$A$1:$I$89,5,0)</f>
        <v>153.64897600000003</v>
      </c>
      <c r="FG90" s="13">
        <f t="shared" si="101"/>
        <v>39.406664959912646</v>
      </c>
      <c r="FH90" s="20">
        <f t="shared" si="76"/>
        <v>336.23857467184791</v>
      </c>
      <c r="FI90" s="59">
        <f t="shared" si="77"/>
        <v>609.57337724232275</v>
      </c>
      <c r="FJ90" s="59">
        <f ca="1">AVERAGE(OFFSET($FI$3,0,0,'Données projet'!$E$16+1,1))-AVERAGE(OFFSET($H$3,0,0,'Données projet'!$E$16+1,1))</f>
        <v>380.73695370216979</v>
      </c>
      <c r="FK90" s="59">
        <f t="shared" si="102"/>
        <v>249.34467160415713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31.043984352758066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31.043984352758066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6.7444444444444436</v>
      </c>
      <c r="FZ90" s="12">
        <f>IF('Données projet'!$A$244&gt;35,FZ89+FY90-GH89,IF(A90&lt;'Données projet'!$A$244,$FW$205^A90,IF(A90='Données projet'!$A$244,'Données projet'!$B$244,FZ89+FY90-GH89)))</f>
        <v>229.0533333333334</v>
      </c>
      <c r="GA90" s="17">
        <f>FZ90*VLOOKUP('Données projet'!$B$17,Paramètres!$A$1:$I$89,3,0)*VLOOKUP('Données projet'!$B$17,Paramètres!$A$1:$I$89,5,0)</f>
        <v>221.54038400000007</v>
      </c>
      <c r="GB90" s="13">
        <f t="shared" si="103"/>
        <v>54.449544496991948</v>
      </c>
      <c r="GC90" s="20">
        <f t="shared" si="79"/>
        <v>480.68245879892771</v>
      </c>
      <c r="GD90" s="59">
        <f t="shared" si="80"/>
        <v>754.0172613694026</v>
      </c>
      <c r="GE90" s="59">
        <f ca="1">AVERAGE(OFFSET($GD$3,0,0,'Données projet'!$E$17+1,1))-AVERAGE(OFFSET($H$3,0,0,'Données projet'!$E$17+1,1))</f>
        <v>511.7458522930001</v>
      </c>
      <c r="GF90" s="59">
        <f t="shared" si="104"/>
        <v>332.37317679966122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36.315604337188688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36.315604337188688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-1.7053025658242404E-13</v>
      </c>
      <c r="GV90" s="17">
        <f>GU90*VLOOKUP('Données projet'!$B$18,Paramètres!$A$1:$I$89,3,0)*VLOOKUP('Données projet'!$B$18,Paramètres!$A$1:$I$89,5,0)</f>
        <v>-1.4897523215040567E-13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348.77506423101278</v>
      </c>
      <c r="HA90" s="59">
        <f t="shared" si="106"/>
        <v>336.13747591329548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116.30415348500931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116.30415348500931</v>
      </c>
    </row>
    <row r="91" spans="1:218" x14ac:dyDescent="0.2">
      <c r="A91" s="10">
        <f t="shared" si="85"/>
        <v>88</v>
      </c>
      <c r="B91" s="71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5">
        <f t="shared" si="56"/>
        <v>183.33333333333334</v>
      </c>
      <c r="I91" s="6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13.159999999999997</v>
      </c>
      <c r="N91" s="13">
        <f>IF('Données projet'!$A$36&gt;35,N90+M91-V90,IF(A91&lt;'Données projet'!$A$36,$K$205^A91,IF(A91='Données projet'!$A$36,'Données projet'!$B$36,N90+M91-V90)))</f>
        <v>446.15999999999974</v>
      </c>
      <c r="O91" s="13">
        <f>N91*VLOOKUP('Données projet'!$B$9,Paramètres!$A$1:$I$89,3,0)*VLOOKUP('Données projet'!$B$9,Paramètres!$A$1:$I$89,5,0)</f>
        <v>208.80287999999987</v>
      </c>
      <c r="P91" s="13">
        <f t="shared" si="87"/>
        <v>51.67389788236224</v>
      </c>
      <c r="Q91" s="20">
        <f t="shared" si="54"/>
        <v>453.66372147844731</v>
      </c>
      <c r="R91" s="59">
        <f t="shared" si="55"/>
        <v>727.34545384764101</v>
      </c>
      <c r="S91" s="59">
        <f ca="1">AVERAGE(OFFSET($R$3,0,0,'Données projet'!$E$9+1,1))-AVERAGE(OFFSET($H$3,0,0,'Données projet'!$E$9+1,1))</f>
        <v>387.50901594883317</v>
      </c>
      <c r="T91" s="59">
        <f t="shared" si="88"/>
        <v>361.3623790401972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90.245830337672174</v>
      </c>
      <c r="AA91" s="21">
        <f>EXP(-LN(2)/25)*AA90+(1-EXP(-LN(2)/25))/(LN(2)/25)*Calculateur!V91*Calculateur!X91*VLOOKUP('Données projet'!$B$9,Paramètres!$A$1:$I$89,3,0)*0.475*44/12</f>
        <v>25.825112243491272</v>
      </c>
      <c r="AB91" s="21">
        <f>EXP(-LN(2)/2)*AB90+(1-EXP(-LN(2)/2))/(LN(2)/2)*V91*Y91*VLOOKUP('Données projet'!$B$9,Paramètres!$A$1:$I$89,3,0)*0.475*44/12</f>
        <v>3.1926035886536068</v>
      </c>
      <c r="AC91" s="22">
        <f t="shared" si="57"/>
        <v>119.26354616981706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373.47758082856359</v>
      </c>
      <c r="AO91" s="59">
        <f t="shared" si="90"/>
        <v>277.24895424120166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164.01830249278154</v>
      </c>
      <c r="AV91" s="21">
        <f>EXP(-LN(2)/25)*AV90+(1-EXP(-LN(2)/25))/(LN(2)/25)*Calculateur!AQ91*Calculateur!AS91*VLOOKUP('Données projet'!$B$10,Paramètres!$A$1:$I$89,3,0)*0.475*44/12</f>
        <v>28.802346953241454</v>
      </c>
      <c r="AW91" s="21">
        <f>EXP(-LN(2)/2)*AW90+(1-EXP(-LN(2)/2))/(LN(2)/2)*AQ91*AT91*VLOOKUP('Données projet'!$B$10,Paramètres!$A$1:$I$89,3,0)*0.475*44/12</f>
        <v>1.9926504765257202</v>
      </c>
      <c r="AX91" s="21">
        <f t="shared" si="60"/>
        <v>194.81329992254871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-6.8212102632969618E-13</v>
      </c>
      <c r="BE91" s="13">
        <f>BD91*VLOOKUP('Données projet'!$B$11,Paramètres!$A$1:$I$89,3,0)*VLOOKUP('Données projet'!$B$11,Paramètres!$A$1:$I$89,5,0)</f>
        <v>-4.0790837374515837E-13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460.88622650237176</v>
      </c>
      <c r="BJ91" s="59">
        <f t="shared" si="92"/>
        <v>396.05161661639647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191.67370854341019</v>
      </c>
      <c r="BQ91" s="21">
        <f>EXP(-LN(2)/25)*BQ90+(1-EXP(-LN(2)/25))/(LN(2)/25)*Calculateur!BL91*Calculateur!BN91*VLOOKUP('Données projet'!$B$11,Paramètres!$A$1:$I$89,3,0)*0.475*44/12</f>
        <v>31.576548253051488</v>
      </c>
      <c r="BR91" s="21">
        <f>EXP(-LN(2)/2)*BR90+(1-EXP(-LN(2)/2))/(LN(2)/2)*BL91*BO91*VLOOKUP('Données projet'!$B$11,Paramètres!$A$1:$I$89,3,0)*0.475*44/12</f>
        <v>0.64335108524598705</v>
      </c>
      <c r="BS91" s="22">
        <f t="shared" si="63"/>
        <v>223.89360788170768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-1.1368683772161603E-13</v>
      </c>
      <c r="BZ91" s="13">
        <f>BY91*VLOOKUP('Données projet'!$B$12,Paramètres!$A$1:$I$89,3,0)*VLOOKUP('Données projet'!$B$12,Paramètres!$A$1:$I$89,5,0)</f>
        <v>-5.1727511163335289E-14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341.60063595566282</v>
      </c>
      <c r="CE91" s="59">
        <f t="shared" si="94"/>
        <v>317.05609766344219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157.31273457360655</v>
      </c>
      <c r="CL91" s="21">
        <f>EXP(-LN(2)/25)*CL90+(1-EXP(-LN(2)/25))/(LN(2)/25)*Calculateur!CG91*Calculateur!CI91*VLOOKUP('Données projet'!$B$12,Paramètres!$A$1:$I$89,3,0)*0.475*44/12</f>
        <v>29.327936615354343</v>
      </c>
      <c r="CM91" s="21">
        <f>EXP(-LN(2)/2)*CM90+(1-EXP(-LN(2)/2))/(LN(2)/2)*CG91*CJ91*VLOOKUP('Données projet'!$B$12,Paramètres!$A$1:$I$89,3,0)*0.475*44/12</f>
        <v>5.4371160463676967E-2</v>
      </c>
      <c r="CN91" s="22">
        <f t="shared" si="66"/>
        <v>186.69504234942457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1.7939999999999998</v>
      </c>
      <c r="CT91" s="12">
        <f>IF('Données projet'!$A$140&gt;35,CT90+CS91-DB90,IF(A91&lt;'Données projet'!$A$140,$CQ$205^A91,IF(A91='Données projet'!$A$140,'Données projet'!$B$140,CT90+CS91-DB90)))</f>
        <v>147.69200000000006</v>
      </c>
      <c r="CU91" s="17">
        <f>CT91*VLOOKUP('Données projet'!$B$13,Paramètres!$A$1:$I$89,3,0)*VLOOKUP('Données projet'!$B$13,Paramètres!$A$1:$I$89,5,0)</f>
        <v>154.36767840000007</v>
      </c>
      <c r="CV91" s="13">
        <f t="shared" si="95"/>
        <v>39.569492091804534</v>
      </c>
      <c r="CW91" s="20">
        <f t="shared" si="67"/>
        <v>337.77390527322638</v>
      </c>
      <c r="CX91" s="59">
        <f t="shared" si="68"/>
        <v>611.45563764242002</v>
      </c>
      <c r="CY91" s="59">
        <f ca="1">AVERAGE(OFFSET($CX$3,0,0,'Données projet'!$E$13+1,1))-AVERAGE(OFFSET($H$3,0,0,'Données projet'!$E$13+1,1))</f>
        <v>287.73449456153207</v>
      </c>
      <c r="CZ91" s="59">
        <f t="shared" si="96"/>
        <v>296.74833899433281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20.886374464436251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20.886374464436251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6.7444444444444436</v>
      </c>
      <c r="DO91" s="12">
        <f>IF('Données projet'!$A$166&gt;35,DO90+DN91-DW90,IF(A91&lt;'Données projet'!$A$166,$DL$205^A91,IF(A91='Données projet'!$A$166,'Données projet'!$B$166,DO90+DN91-DW90)))</f>
        <v>235.79777777777784</v>
      </c>
      <c r="DP91" s="17">
        <f>DO91*VLOOKUP('Données projet'!$B$14,Paramètres!$A$1:$I$89,3,0)*VLOOKUP('Données projet'!$B$14,Paramètres!$A$1:$I$89,5,0)</f>
        <v>239.09894666666673</v>
      </c>
      <c r="DQ91" s="13">
        <f t="shared" si="97"/>
        <v>58.245622048084961</v>
      </c>
      <c r="DR91" s="20">
        <f t="shared" si="70"/>
        <v>517.8751238448591</v>
      </c>
      <c r="DS91" s="59">
        <f t="shared" si="71"/>
        <v>791.5568562140528</v>
      </c>
      <c r="DT91" s="59">
        <f ca="1">AVERAGE(OFFSET($DS$3,0,0,'Données projet'!$E$14+1,1))-AVERAGE(OFFSET($H$3,0,0,'Données projet'!$E$14+1,1))</f>
        <v>532.34688562681413</v>
      </c>
      <c r="DU91" s="59">
        <f t="shared" si="98"/>
        <v>345.42627129678556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37.326226397103426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37.326226397103426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-5.6843418860808015E-14</v>
      </c>
      <c r="EK91" s="17">
        <f>EJ91*VLOOKUP('Données projet'!$B$15,Paramètres!$A$1:$I$89,3,0)*VLOOKUP('Données projet'!$B$15,Paramètres!$A$1:$I$89,5,0)</f>
        <v>-5.1431925385259088E-14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256.20286603823035</v>
      </c>
      <c r="EP91" s="59">
        <f t="shared" si="100"/>
        <v>364.83827155069434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21.484701451689173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21.484701451689173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6.7444444444444436</v>
      </c>
      <c r="FE91" s="12">
        <f>IF('Données projet'!$A$218&gt;35,FE90+FD91-FM90,IF(A91&lt;'Données projet'!$A$218,$FB$205^A91,IF(A91='Données projet'!$A$218,'Données projet'!$B$218,FE90+FD91-FM90)))</f>
        <v>235.79777777777784</v>
      </c>
      <c r="FF91" s="17">
        <f>FE91*VLOOKUP('Données projet'!$B$16,Paramètres!$A$1:$I$89,3,0)*VLOOKUP('Données projet'!$B$16,Paramètres!$A$1:$I$89,5,0)</f>
        <v>158.17314933333338</v>
      </c>
      <c r="FG91" s="13">
        <f t="shared" si="101"/>
        <v>40.430189153931302</v>
      </c>
      <c r="FH91" s="20">
        <f t="shared" si="76"/>
        <v>345.90081453198599</v>
      </c>
      <c r="FI91" s="59">
        <f t="shared" si="77"/>
        <v>619.58254690117974</v>
      </c>
      <c r="FJ91" s="59">
        <f ca="1">AVERAGE(OFFSET($FI$3,0,0,'Données projet'!$E$16+1,1))-AVERAGE(OFFSET($H$3,0,0,'Données projet'!$E$16+1,1))</f>
        <v>380.73695370216979</v>
      </c>
      <c r="FK91" s="59">
        <f t="shared" si="102"/>
        <v>249.34467160415713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30.435230754561264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30.435230754561264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6.7444444444444436</v>
      </c>
      <c r="FZ91" s="12">
        <f>IF('Données projet'!$A$244&gt;35,FZ90+FY91-GH90,IF(A91&lt;'Données projet'!$A$244,$FW$205^A91,IF(A91='Données projet'!$A$244,'Données projet'!$B$244,FZ90+FY91-GH90)))</f>
        <v>235.79777777777784</v>
      </c>
      <c r="GA91" s="17">
        <f>FZ91*VLOOKUP('Données projet'!$B$17,Paramètres!$A$1:$I$89,3,0)*VLOOKUP('Données projet'!$B$17,Paramètres!$A$1:$I$89,5,0)</f>
        <v>228.0636106666667</v>
      </c>
      <c r="GB91" s="13">
        <f t="shared" si="103"/>
        <v>55.863783083349347</v>
      </c>
      <c r="GC91" s="20">
        <f t="shared" si="79"/>
        <v>494.50687744794459</v>
      </c>
      <c r="GD91" s="59">
        <f t="shared" si="80"/>
        <v>768.18860981713829</v>
      </c>
      <c r="GE91" s="59">
        <f ca="1">AVERAGE(OFFSET($GD$3,0,0,'Données projet'!$E$17+1,1))-AVERAGE(OFFSET($H$3,0,0,'Données projet'!$E$17+1,1))</f>
        <v>511.7458522930001</v>
      </c>
      <c r="GF91" s="59">
        <f t="shared" si="104"/>
        <v>332.37317679966122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35.603477486467902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35.603477486467902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-1.7053025658242404E-13</v>
      </c>
      <c r="GV91" s="17">
        <f>GU91*VLOOKUP('Données projet'!$B$18,Paramètres!$A$1:$I$89,3,0)*VLOOKUP('Données projet'!$B$18,Paramètres!$A$1:$I$89,5,0)</f>
        <v>-1.4897523215040567E-13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348.77506423101278</v>
      </c>
      <c r="HA91" s="59">
        <f t="shared" si="106"/>
        <v>336.13747591329548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114.0234999736973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114.0234999736973</v>
      </c>
    </row>
    <row r="92" spans="1:218" x14ac:dyDescent="0.2">
      <c r="A92" s="10">
        <f t="shared" si="85"/>
        <v>89</v>
      </c>
      <c r="B92" s="71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5">
        <f t="shared" si="56"/>
        <v>183.33333333333334</v>
      </c>
      <c r="I92" s="6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13.159999999999997</v>
      </c>
      <c r="N92" s="13">
        <f>IF('Données projet'!$A$36&gt;35,N91+M92-V91,IF(A92&lt;'Données projet'!$A$36,$K$205^A92,IF(A92='Données projet'!$A$36,'Données projet'!$B$36,N91+M92-V91)))</f>
        <v>459.31999999999971</v>
      </c>
      <c r="O92" s="13">
        <f>N92*VLOOKUP('Données projet'!$B$9,Paramètres!$A$1:$I$89,3,0)*VLOOKUP('Données projet'!$B$9,Paramètres!$A$1:$I$89,5,0)</f>
        <v>214.96175999999986</v>
      </c>
      <c r="P92" s="13">
        <f t="shared" si="87"/>
        <v>53.018377045952029</v>
      </c>
      <c r="Q92" s="20">
        <f t="shared" si="54"/>
        <v>466.73207202169948</v>
      </c>
      <c r="R92" s="59">
        <f t="shared" si="55"/>
        <v>740.75471573322307</v>
      </c>
      <c r="S92" s="59">
        <f ca="1">AVERAGE(OFFSET($R$3,0,0,'Données projet'!$E$9+1,1))-AVERAGE(OFFSET($H$3,0,0,'Données projet'!$E$9+1,1))</f>
        <v>387.50901594883317</v>
      </c>
      <c r="T92" s="59">
        <f t="shared" si="88"/>
        <v>361.3623790401972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88.476164649271738</v>
      </c>
      <c r="AA92" s="21">
        <f>EXP(-LN(2)/25)*AA91+(1-EXP(-LN(2)/25))/(LN(2)/25)*Calculateur!V92*Calculateur!X92*VLOOKUP('Données projet'!$B$9,Paramètres!$A$1:$I$89,3,0)*0.475*44/12</f>
        <v>25.118923191109374</v>
      </c>
      <c r="AB92" s="21">
        <f>EXP(-LN(2)/2)*AB91+(1-EXP(-LN(2)/2))/(LN(2)/2)*V92*Y92*VLOOKUP('Données projet'!$B$9,Paramètres!$A$1:$I$89,3,0)*0.475*44/12</f>
        <v>2.2575116471774725</v>
      </c>
      <c r="AC92" s="22">
        <f t="shared" si="57"/>
        <v>115.85259948755858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373.47758082856359</v>
      </c>
      <c r="AO92" s="59">
        <f t="shared" si="90"/>
        <v>277.24895424120166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160.80200362218437</v>
      </c>
      <c r="AV92" s="21">
        <f>EXP(-LN(2)/25)*AV91+(1-EXP(-LN(2)/25))/(LN(2)/25)*Calculateur!AQ92*Calculateur!AS92*VLOOKUP('Données projet'!$B$10,Paramètres!$A$1:$I$89,3,0)*0.475*44/12</f>
        <v>28.014745261155468</v>
      </c>
      <c r="AW92" s="21">
        <f>EXP(-LN(2)/2)*AW91+(1-EXP(-LN(2)/2))/(LN(2)/2)*AQ92*AT92*VLOOKUP('Données projet'!$B$10,Paramètres!$A$1:$I$89,3,0)*0.475*44/12</f>
        <v>1.4090166644859423</v>
      </c>
      <c r="AX92" s="21">
        <f t="shared" si="60"/>
        <v>190.22576554782577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-6.8212102632969618E-13</v>
      </c>
      <c r="BE92" s="13">
        <f>BD92*VLOOKUP('Données projet'!$B$11,Paramètres!$A$1:$I$89,3,0)*VLOOKUP('Données projet'!$B$11,Paramètres!$A$1:$I$89,5,0)</f>
        <v>-4.0790837374515837E-13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460.88622650237176</v>
      </c>
      <c r="BJ92" s="59">
        <f t="shared" si="92"/>
        <v>396.05161661639647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187.91510402829229</v>
      </c>
      <c r="BQ92" s="21">
        <f>EXP(-LN(2)/25)*BQ91+(1-EXP(-LN(2)/25))/(LN(2)/25)*Calculateur!BL92*Calculateur!BN92*VLOOKUP('Données projet'!$B$11,Paramètres!$A$1:$I$89,3,0)*0.475*44/12</f>
        <v>30.713085880533292</v>
      </c>
      <c r="BR92" s="21">
        <f>EXP(-LN(2)/2)*BR91+(1-EXP(-LN(2)/2))/(LN(2)/2)*BL92*BO92*VLOOKUP('Données projet'!$B$11,Paramètres!$A$1:$I$89,3,0)*0.475*44/12</f>
        <v>0.45491791506116208</v>
      </c>
      <c r="BS92" s="22">
        <f t="shared" si="63"/>
        <v>219.08310782388676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-1.1368683772161603E-13</v>
      </c>
      <c r="BZ92" s="13">
        <f>BY92*VLOOKUP('Données projet'!$B$12,Paramètres!$A$1:$I$89,3,0)*VLOOKUP('Données projet'!$B$12,Paramètres!$A$1:$I$89,5,0)</f>
        <v>-5.1727511163335289E-14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341.60063595566282</v>
      </c>
      <c r="CE92" s="59">
        <f t="shared" si="94"/>
        <v>317.05609766344219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154.22792779991181</v>
      </c>
      <c r="CL92" s="21">
        <f>EXP(-LN(2)/25)*CL91+(1-EXP(-LN(2)/25))/(LN(2)/25)*Calculateur!CG92*Calculateur!CI92*VLOOKUP('Données projet'!$B$12,Paramètres!$A$1:$I$89,3,0)*0.475*44/12</f>
        <v>28.525962646318323</v>
      </c>
      <c r="CM92" s="21">
        <f>EXP(-LN(2)/2)*CM91+(1-EXP(-LN(2)/2))/(LN(2)/2)*CG92*CJ92*VLOOKUP('Données projet'!$B$12,Paramètres!$A$1:$I$89,3,0)*0.475*44/12</f>
        <v>3.8446216264847892E-2</v>
      </c>
      <c r="CN92" s="22">
        <f t="shared" si="66"/>
        <v>182.79233666249499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1.7939999999999998</v>
      </c>
      <c r="CT92" s="12">
        <f>IF('Données projet'!$A$140&gt;35,CT91+CS92-DB91,IF(A92&lt;'Données projet'!$A$140,$CQ$205^A92,IF(A92='Données projet'!$A$140,'Données projet'!$B$140,CT91+CS92-DB91)))</f>
        <v>149.48600000000008</v>
      </c>
      <c r="CU92" s="17">
        <f>CT92*VLOOKUP('Données projet'!$B$13,Paramètres!$A$1:$I$89,3,0)*VLOOKUP('Données projet'!$B$13,Paramètres!$A$1:$I$89,5,0)</f>
        <v>156.24276720000009</v>
      </c>
      <c r="CV92" s="13">
        <f t="shared" si="95"/>
        <v>39.993892601805435</v>
      </c>
      <c r="CW92" s="20">
        <f t="shared" si="67"/>
        <v>341.77884915481127</v>
      </c>
      <c r="CX92" s="59">
        <f t="shared" si="68"/>
        <v>615.80149286633491</v>
      </c>
      <c r="CY92" s="59">
        <f ca="1">AVERAGE(OFFSET($CX$3,0,0,'Données projet'!$E$13+1,1))-AVERAGE(OFFSET($H$3,0,0,'Données projet'!$E$13+1,1))</f>
        <v>287.73449456153207</v>
      </c>
      <c r="CZ92" s="59">
        <f t="shared" si="96"/>
        <v>296.74833899433281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20.476805400619167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20.476805400619167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6.7444444444444436</v>
      </c>
      <c r="DO92" s="12">
        <f>IF('Données projet'!$A$166&gt;35,DO91+DN92-DW91,IF(A92&lt;'Données projet'!$A$166,$DL$205^A92,IF(A92='Données projet'!$A$166,'Données projet'!$B$166,DO91+DN92-DW91)))</f>
        <v>242.54222222222228</v>
      </c>
      <c r="DP92" s="17">
        <f>DO92*VLOOKUP('Données projet'!$B$14,Paramètres!$A$1:$I$89,3,0)*VLOOKUP('Données projet'!$B$14,Paramètres!$A$1:$I$89,5,0)</f>
        <v>245.93781333333339</v>
      </c>
      <c r="DQ92" s="13">
        <f t="shared" si="97"/>
        <v>59.715257096009388</v>
      </c>
      <c r="DR92" s="20">
        <f t="shared" si="70"/>
        <v>532.34576433110544</v>
      </c>
      <c r="DS92" s="59">
        <f t="shared" si="71"/>
        <v>806.36840804262897</v>
      </c>
      <c r="DT92" s="59">
        <f ca="1">AVERAGE(OFFSET($DS$3,0,0,'Données projet'!$E$14+1,1))-AVERAGE(OFFSET($H$3,0,0,'Données projet'!$E$14+1,1))</f>
        <v>532.34688562681413</v>
      </c>
      <c r="DU92" s="59">
        <f t="shared" si="98"/>
        <v>345.42627129678556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36.594281864206302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36.594281864206302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-5.6843418860808015E-14</v>
      </c>
      <c r="EK92" s="17">
        <f>EJ92*VLOOKUP('Données projet'!$B$15,Paramètres!$A$1:$I$89,3,0)*VLOOKUP('Données projet'!$B$15,Paramètres!$A$1:$I$89,5,0)</f>
        <v>-5.1431925385259088E-14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256.20286603823035</v>
      </c>
      <c r="EP92" s="59">
        <f t="shared" si="100"/>
        <v>364.83827155069434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21.063399560595485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21.063399560595485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6.7444444444444436</v>
      </c>
      <c r="FE92" s="12">
        <f>IF('Données projet'!$A$218&gt;35,FE91+FD92-FM91,IF(A92&lt;'Données projet'!$A$218,$FB$205^A92,IF(A92='Données projet'!$A$218,'Données projet'!$B$218,FE91+FD92-FM91)))</f>
        <v>242.54222222222228</v>
      </c>
      <c r="FF92" s="17">
        <f>FE92*VLOOKUP('Données projet'!$B$16,Paramètres!$A$1:$I$89,3,0)*VLOOKUP('Données projet'!$B$16,Paramètres!$A$1:$I$89,5,0)</f>
        <v>162.69732266666671</v>
      </c>
      <c r="FG92" s="13">
        <f t="shared" si="101"/>
        <v>41.450310853821144</v>
      </c>
      <c r="FH92" s="20">
        <f t="shared" si="76"/>
        <v>355.55712838151635</v>
      </c>
      <c r="FI92" s="59">
        <f t="shared" si="77"/>
        <v>629.57977209303999</v>
      </c>
      <c r="FJ92" s="59">
        <f ca="1">AVERAGE(OFFSET($FI$3,0,0,'Données projet'!$E$16+1,1))-AVERAGE(OFFSET($H$3,0,0,'Données projet'!$E$16+1,1))</f>
        <v>380.73695370216979</v>
      </c>
      <c r="FK92" s="59">
        <f t="shared" si="102"/>
        <v>249.34467160415713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29.838414443122069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29.838414443122069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6.7444444444444436</v>
      </c>
      <c r="FZ92" s="12">
        <f>IF('Données projet'!$A$244&gt;35,FZ91+FY92-GH91,IF(A92&lt;'Données projet'!$A$244,$FW$205^A92,IF(A92='Données projet'!$A$244,'Données projet'!$B$244,FZ91+FY92-GH91)))</f>
        <v>242.54222222222228</v>
      </c>
      <c r="GA92" s="17">
        <f>FZ92*VLOOKUP('Données projet'!$B$17,Paramètres!$A$1:$I$89,3,0)*VLOOKUP('Données projet'!$B$17,Paramètres!$A$1:$I$89,5,0)</f>
        <v>234.58683733333336</v>
      </c>
      <c r="GB92" s="13">
        <f t="shared" si="103"/>
        <v>57.273320326528939</v>
      </c>
      <c r="GC92" s="20">
        <f t="shared" si="79"/>
        <v>508.32310792426023</v>
      </c>
      <c r="GD92" s="59">
        <f t="shared" si="80"/>
        <v>782.34575163578381</v>
      </c>
      <c r="GE92" s="59">
        <f ca="1">AVERAGE(OFFSET($GD$3,0,0,'Données projet'!$E$17+1,1))-AVERAGE(OFFSET($H$3,0,0,'Données projet'!$E$17+1,1))</f>
        <v>511.7458522930001</v>
      </c>
      <c r="GF92" s="59">
        <f t="shared" si="104"/>
        <v>332.37317679966122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34.905315008935261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34.905315008935261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-1.7053025658242404E-13</v>
      </c>
      <c r="GV92" s="17">
        <f>GU92*VLOOKUP('Données projet'!$B$18,Paramètres!$A$1:$I$89,3,0)*VLOOKUP('Données projet'!$B$18,Paramètres!$A$1:$I$89,5,0)</f>
        <v>-1.4897523215040567E-13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348.77506423101278</v>
      </c>
      <c r="HA92" s="59">
        <f t="shared" si="106"/>
        <v>336.13747591329548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111.78756868668084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111.78756868668084</v>
      </c>
    </row>
    <row r="93" spans="1:218" x14ac:dyDescent="0.2">
      <c r="A93" s="10">
        <f t="shared" si="85"/>
        <v>90</v>
      </c>
      <c r="B93" s="71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5">
        <f t="shared" si="56"/>
        <v>183.33333333333334</v>
      </c>
      <c r="I93" s="6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13.159999999999997</v>
      </c>
      <c r="N93" s="13">
        <f>IF('Données projet'!$A$36&gt;35,N92+M93-V92,IF(A93&lt;'Données projet'!$A$36,$K$205^A93,IF(A93='Données projet'!$A$36,'Données projet'!$B$36,N92+M93-V92)))</f>
        <v>472.47999999999968</v>
      </c>
      <c r="O93" s="13">
        <f>N93*VLOOKUP('Données projet'!$B$9,Paramètres!$A$1:$I$89,3,0)*VLOOKUP('Données projet'!$B$9,Paramètres!$A$1:$I$89,5,0)</f>
        <v>221.12063999999984</v>
      </c>
      <c r="P93" s="13">
        <f t="shared" si="87"/>
        <v>54.35837921673749</v>
      </c>
      <c r="Q93" s="20">
        <f t="shared" si="54"/>
        <v>479.79262513581756</v>
      </c>
      <c r="R93" s="59">
        <f t="shared" si="55"/>
        <v>754.15026614004523</v>
      </c>
      <c r="S93" s="59">
        <f ca="1">AVERAGE(OFFSET($R$3,0,0,'Données projet'!$E$9+1,1))-AVERAGE(OFFSET($H$3,0,0,'Données projet'!$E$9+1,1))</f>
        <v>387.50901594883317</v>
      </c>
      <c r="T93" s="59">
        <f t="shared" si="88"/>
        <v>361.3623790401972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86.741201025631341</v>
      </c>
      <c r="AA93" s="21">
        <f>EXP(-LN(2)/25)*AA92+(1-EXP(-LN(2)/25))/(LN(2)/25)*Calculateur!V93*Calculateur!X93*VLOOKUP('Données projet'!$B$9,Paramètres!$A$1:$I$89,3,0)*0.475*44/12</f>
        <v>24.432044915501727</v>
      </c>
      <c r="AB93" s="21">
        <f>EXP(-LN(2)/2)*AB92+(1-EXP(-LN(2)/2))/(LN(2)/2)*V93*Y93*VLOOKUP('Données projet'!$B$9,Paramètres!$A$1:$I$89,3,0)*0.475*44/12</f>
        <v>1.5963017943268036</v>
      </c>
      <c r="AC93" s="22">
        <f t="shared" si="57"/>
        <v>112.76954773545988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373.47758082856359</v>
      </c>
      <c r="AO93" s="59">
        <f t="shared" si="90"/>
        <v>277.24895424120166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157.648774410691</v>
      </c>
      <c r="AV93" s="21">
        <f>EXP(-LN(2)/25)*AV92+(1-EXP(-LN(2)/25))/(LN(2)/25)*Calculateur!AQ93*Calculateur!AS93*VLOOKUP('Données projet'!$B$10,Paramètres!$A$1:$I$89,3,0)*0.475*44/12</f>
        <v>27.248680578757746</v>
      </c>
      <c r="AW93" s="21">
        <f>EXP(-LN(2)/2)*AW92+(1-EXP(-LN(2)/2))/(LN(2)/2)*AQ93*AT93*VLOOKUP('Données projet'!$B$10,Paramètres!$A$1:$I$89,3,0)*0.475*44/12</f>
        <v>0.99632523826286035</v>
      </c>
      <c r="AX93" s="21">
        <f t="shared" si="60"/>
        <v>185.89378022771163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-6.8212102632969618E-13</v>
      </c>
      <c r="BE93" s="13">
        <f>BD93*VLOOKUP('Données projet'!$B$11,Paramètres!$A$1:$I$89,3,0)*VLOOKUP('Données projet'!$B$11,Paramètres!$A$1:$I$89,5,0)</f>
        <v>-4.0790837374515837E-13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460.88622650237176</v>
      </c>
      <c r="BJ93" s="59">
        <f t="shared" si="92"/>
        <v>396.05161661639647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184.23020345519345</v>
      </c>
      <c r="BQ93" s="21">
        <f>EXP(-LN(2)/25)*BQ92+(1-EXP(-LN(2)/25))/(LN(2)/25)*Calculateur!BL93*Calculateur!BN93*VLOOKUP('Données projet'!$B$11,Paramètres!$A$1:$I$89,3,0)*0.475*44/12</f>
        <v>29.873234931999118</v>
      </c>
      <c r="BR93" s="21">
        <f>EXP(-LN(2)/2)*BR92+(1-EXP(-LN(2)/2))/(LN(2)/2)*BL93*BO93*VLOOKUP('Données projet'!$B$11,Paramètres!$A$1:$I$89,3,0)*0.475*44/12</f>
        <v>0.32167554262299358</v>
      </c>
      <c r="BS93" s="22">
        <f t="shared" si="63"/>
        <v>214.42511392981555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-1.1368683772161603E-13</v>
      </c>
      <c r="BZ93" s="13">
        <f>BY93*VLOOKUP('Données projet'!$B$12,Paramètres!$A$1:$I$89,3,0)*VLOOKUP('Données projet'!$B$12,Paramètres!$A$1:$I$89,5,0)</f>
        <v>-5.1727511163335289E-14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341.60063595566282</v>
      </c>
      <c r="CE93" s="59">
        <f t="shared" si="94"/>
        <v>317.05609766344219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151.20361220550288</v>
      </c>
      <c r="CL93" s="21">
        <f>EXP(-LN(2)/25)*CL92+(1-EXP(-LN(2)/25))/(LN(2)/25)*Calculateur!CG93*Calculateur!CI93*VLOOKUP('Données projet'!$B$12,Paramètres!$A$1:$I$89,3,0)*0.475*44/12</f>
        <v>27.745918697639571</v>
      </c>
      <c r="CM93" s="21">
        <f>EXP(-LN(2)/2)*CM92+(1-EXP(-LN(2)/2))/(LN(2)/2)*CG93*CJ93*VLOOKUP('Données projet'!$B$12,Paramètres!$A$1:$I$89,3,0)*0.475*44/12</f>
        <v>2.7185580231838483E-2</v>
      </c>
      <c r="CN93" s="22">
        <f t="shared" si="66"/>
        <v>178.9767164833743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151.28</v>
      </c>
      <c r="CR93" s="12">
        <f>VLOOKUP(A93,'Données projet'!$A$139:$I$159,9,0)</f>
        <v>1.7939999999999998</v>
      </c>
      <c r="CS93" s="12">
        <f t="array" ref="CS93">INDEX(CR:CR,MIN(IF(ISNUMBER(CR93:CR289),ROW(CR93:CR289),"")))</f>
        <v>1.7939999999999998</v>
      </c>
      <c r="CT93" s="12">
        <f>IF('Données projet'!$A$140&gt;35,CT92+CS93-DB92,IF(A93&lt;'Données projet'!$A$140,$CQ$205^A93,IF(A93='Données projet'!$A$140,'Données projet'!$B$140,CT92+CS93-DB92)))</f>
        <v>151.28000000000009</v>
      </c>
      <c r="CU93" s="17">
        <f>CT93*VLOOKUP('Données projet'!$B$13,Paramètres!$A$1:$I$89,3,0)*VLOOKUP('Données projet'!$B$13,Paramètres!$A$1:$I$89,5,0)</f>
        <v>158.1178560000001</v>
      </c>
      <c r="CV93" s="13">
        <f t="shared" si="95"/>
        <v>40.41770065251432</v>
      </c>
      <c r="CW93" s="20">
        <f t="shared" si="67"/>
        <v>345.78276116979595</v>
      </c>
      <c r="CX93" s="59">
        <f t="shared" si="68"/>
        <v>620.14040217402362</v>
      </c>
      <c r="CY93" s="59">
        <f ca="1">AVERAGE(OFFSET($CX$3,0,0,'Données projet'!$E$13+1,1))-AVERAGE(OFFSET($H$3,0,0,'Données projet'!$E$13+1,1))</f>
        <v>287.73449456153207</v>
      </c>
      <c r="CZ93" s="59">
        <f t="shared" si="96"/>
        <v>296.74833899433281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151.28</v>
      </c>
      <c r="DC93" s="16">
        <f>IF(ISNA(VLOOKUP(A93,'Données projet'!$A$139:$I$159,5,0)),0%,VLOOKUP(A93,'Données projet'!$A$139:$I$159,5,0)*VLOOKUP('Données projet'!$B$13,Paramètres!$A$1:$I$89,7,0))</f>
        <v>0.34400000000000003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80.204612297771263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80.204612297771263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6.7444444444444436</v>
      </c>
      <c r="DO93" s="12">
        <f>IF('Données projet'!$A$166&gt;35,DO92+DN93-DW92,IF(A93&lt;'Données projet'!$A$166,$DL$205^A93,IF(A93='Données projet'!$A$166,'Données projet'!$B$166,DO92+DN93-DW92)))</f>
        <v>249.28666666666672</v>
      </c>
      <c r="DP93" s="17">
        <f>DO93*VLOOKUP('Données projet'!$B$14,Paramètres!$A$1:$I$89,3,0)*VLOOKUP('Données projet'!$B$14,Paramètres!$A$1:$I$89,5,0)</f>
        <v>252.77668000000008</v>
      </c>
      <c r="DQ93" s="13">
        <f t="shared" si="97"/>
        <v>61.180142316952214</v>
      </c>
      <c r="DR93" s="20">
        <f t="shared" si="70"/>
        <v>546.80813220202526</v>
      </c>
      <c r="DS93" s="59">
        <f t="shared" si="71"/>
        <v>821.16577320625288</v>
      </c>
      <c r="DT93" s="59">
        <f ca="1">AVERAGE(OFFSET($DS$3,0,0,'Données projet'!$E$14+1,1))-AVERAGE(OFFSET($H$3,0,0,'Données projet'!$E$14+1,1))</f>
        <v>532.34688562681413</v>
      </c>
      <c r="DU93" s="59">
        <f t="shared" si="98"/>
        <v>345.42627129678556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35.876690317157205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35.876690317157205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-5.6843418860808015E-14</v>
      </c>
      <c r="EK93" s="17">
        <f>EJ93*VLOOKUP('Données projet'!$B$15,Paramètres!$A$1:$I$89,3,0)*VLOOKUP('Données projet'!$B$15,Paramètres!$A$1:$I$89,5,0)</f>
        <v>-5.1431925385259088E-14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256.20286603823035</v>
      </c>
      <c r="EP93" s="59">
        <f t="shared" si="100"/>
        <v>364.83827155069434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20.650359142617365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20.650359142617365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6.7444444444444436</v>
      </c>
      <c r="FE93" s="12">
        <f>IF('Données projet'!$A$218&gt;35,FE92+FD93-FM92,IF(A93&lt;'Données projet'!$A$218,$FB$205^A93,IF(A93='Données projet'!$A$218,'Données projet'!$B$218,FE92+FD93-FM92)))</f>
        <v>249.28666666666672</v>
      </c>
      <c r="FF93" s="17">
        <f>FE93*VLOOKUP('Données projet'!$B$16,Paramètres!$A$1:$I$89,3,0)*VLOOKUP('Données projet'!$B$16,Paramètres!$A$1:$I$89,5,0)</f>
        <v>167.22149600000003</v>
      </c>
      <c r="FG93" s="13">
        <f t="shared" si="101"/>
        <v>42.467135543625652</v>
      </c>
      <c r="FH93" s="20">
        <f t="shared" si="76"/>
        <v>365.20769993848143</v>
      </c>
      <c r="FI93" s="59">
        <f t="shared" si="77"/>
        <v>639.5653409427091</v>
      </c>
      <c r="FJ93" s="59">
        <f ca="1">AVERAGE(OFFSET($FI$3,0,0,'Données projet'!$E$16+1,1))-AVERAGE(OFFSET($H$3,0,0,'Données projet'!$E$16+1,1))</f>
        <v>380.73695370216979</v>
      </c>
      <c r="FK93" s="59">
        <f t="shared" si="102"/>
        <v>249.34467160415713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29.253301335528192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29.253301335528192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6.7444444444444436</v>
      </c>
      <c r="FZ93" s="12">
        <f>IF('Données projet'!$A$244&gt;35,FZ92+FY93-GH92,IF(A93&lt;'Données projet'!$A$244,$FW$205^A93,IF(A93='Données projet'!$A$244,'Données projet'!$B$244,FZ92+FY93-GH92)))</f>
        <v>249.28666666666672</v>
      </c>
      <c r="GA93" s="17">
        <f>FZ93*VLOOKUP('Données projet'!$B$17,Paramètres!$A$1:$I$89,3,0)*VLOOKUP('Données projet'!$B$17,Paramètres!$A$1:$I$89,5,0)</f>
        <v>241.11006400000008</v>
      </c>
      <c r="GB93" s="13">
        <f t="shared" si="103"/>
        <v>58.678301977462219</v>
      </c>
      <c r="GC93" s="20">
        <f t="shared" si="79"/>
        <v>522.13140407741355</v>
      </c>
      <c r="GD93" s="59">
        <f t="shared" si="80"/>
        <v>796.48904508164128</v>
      </c>
      <c r="GE93" s="59">
        <f ca="1">AVERAGE(OFFSET($GD$3,0,0,'Données projet'!$E$17+1,1))-AVERAGE(OFFSET($H$3,0,0,'Données projet'!$E$17+1,1))</f>
        <v>511.7458522930001</v>
      </c>
      <c r="GF93" s="59">
        <f t="shared" si="104"/>
        <v>332.37317679966122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34.220843071749968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34.220843071749968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-1.7053025658242404E-13</v>
      </c>
      <c r="GV93" s="17">
        <f>GU93*VLOOKUP('Données projet'!$B$18,Paramètres!$A$1:$I$89,3,0)*VLOOKUP('Données projet'!$B$18,Paramètres!$A$1:$I$89,5,0)</f>
        <v>-1.4897523215040567E-13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348.77506423101278</v>
      </c>
      <c r="HA93" s="59">
        <f t="shared" si="106"/>
        <v>336.13747591329548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109.59548264841935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109.59548264841935</v>
      </c>
    </row>
    <row r="94" spans="1:218" x14ac:dyDescent="0.2">
      <c r="A94" s="10">
        <f t="shared" si="85"/>
        <v>91</v>
      </c>
      <c r="B94" s="71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5">
        <f t="shared" si="56"/>
        <v>183.33333333333334</v>
      </c>
      <c r="I94" s="6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13.159999999999997</v>
      </c>
      <c r="N94" s="13">
        <f>IF('Données projet'!$A$36&gt;35,N93+M94-V93,IF(A94&lt;'Données projet'!$A$36,$K$205^A94,IF(A94='Données projet'!$A$36,'Données projet'!$B$36,N93+M94-V93)))</f>
        <v>485.63999999999965</v>
      </c>
      <c r="O94" s="13">
        <f>N94*VLOOKUP('Données projet'!$B$9,Paramètres!$A$1:$I$89,3,0)*VLOOKUP('Données projet'!$B$9,Paramètres!$A$1:$I$89,5,0)</f>
        <v>227.27951999999982</v>
      </c>
      <c r="P94" s="13">
        <f t="shared" si="87"/>
        <v>55.694043418351256</v>
      </c>
      <c r="Q94" s="20">
        <f t="shared" si="54"/>
        <v>492.84562295362815</v>
      </c>
      <c r="R94" s="59">
        <f t="shared" si="55"/>
        <v>767.5324497964732</v>
      </c>
      <c r="S94" s="59">
        <f ca="1">AVERAGE(OFFSET($R$3,0,0,'Données projet'!$E$9+1,1))-AVERAGE(OFFSET($H$3,0,0,'Données projet'!$E$9+1,1))</f>
        <v>387.50901594883317</v>
      </c>
      <c r="T94" s="59">
        <f t="shared" si="88"/>
        <v>361.3623790401972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85.040258980427211</v>
      </c>
      <c r="AA94" s="21">
        <f>EXP(-LN(2)/25)*AA93+(1-EXP(-LN(2)/25))/(LN(2)/25)*Calculateur!V94*Calculateur!X94*VLOOKUP('Données projet'!$B$9,Paramètres!$A$1:$I$89,3,0)*0.475*44/12</f>
        <v>23.763949362461929</v>
      </c>
      <c r="AB94" s="21">
        <f>EXP(-LN(2)/2)*AB93+(1-EXP(-LN(2)/2))/(LN(2)/2)*V94*Y94*VLOOKUP('Données projet'!$B$9,Paramètres!$A$1:$I$89,3,0)*0.475*44/12</f>
        <v>1.1287558235887365</v>
      </c>
      <c r="AC94" s="22">
        <f t="shared" si="57"/>
        <v>109.93296416647787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373.47758082856359</v>
      </c>
      <c r="AO94" s="59">
        <f t="shared" si="90"/>
        <v>277.24895424120166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154.5573781007551</v>
      </c>
      <c r="AV94" s="21">
        <f>EXP(-LN(2)/25)*AV93+(1-EXP(-LN(2)/25))/(LN(2)/25)*Calculateur!AQ94*Calculateur!AS94*VLOOKUP('Données projet'!$B$10,Paramètres!$A$1:$I$89,3,0)*0.475*44/12</f>
        <v>26.503563975385781</v>
      </c>
      <c r="AW94" s="21">
        <f>EXP(-LN(2)/2)*AW93+(1-EXP(-LN(2)/2))/(LN(2)/2)*AQ94*AT94*VLOOKUP('Données projet'!$B$10,Paramètres!$A$1:$I$89,3,0)*0.475*44/12</f>
        <v>0.70450833224297127</v>
      </c>
      <c r="AX94" s="21">
        <f t="shared" si="60"/>
        <v>181.76545040838386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-6.8212102632969618E-13</v>
      </c>
      <c r="BE94" s="13">
        <f>BD94*VLOOKUP('Données projet'!$B$11,Paramètres!$A$1:$I$89,3,0)*VLOOKUP('Données projet'!$B$11,Paramètres!$A$1:$I$89,5,0)</f>
        <v>-4.0790837374515837E-13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460.88622650237176</v>
      </c>
      <c r="BJ94" s="59">
        <f t="shared" si="92"/>
        <v>396.05161661639647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180.61756153476566</v>
      </c>
      <c r="BQ94" s="21">
        <f>EXP(-LN(2)/25)*BQ93+(1-EXP(-LN(2)/25))/(LN(2)/25)*Calculateur!BL94*Calculateur!BN94*VLOOKUP('Données projet'!$B$11,Paramètres!$A$1:$I$89,3,0)*0.475*44/12</f>
        <v>29.056349751818452</v>
      </c>
      <c r="BR94" s="21">
        <f>EXP(-LN(2)/2)*BR93+(1-EXP(-LN(2)/2))/(LN(2)/2)*BL94*BO94*VLOOKUP('Données projet'!$B$11,Paramètres!$A$1:$I$89,3,0)*0.475*44/12</f>
        <v>0.22745895753058107</v>
      </c>
      <c r="BS94" s="22">
        <f t="shared" si="63"/>
        <v>209.9013702441147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-1.1368683772161603E-13</v>
      </c>
      <c r="BZ94" s="13">
        <f>BY94*VLOOKUP('Données projet'!$B$12,Paramètres!$A$1:$I$89,3,0)*VLOOKUP('Données projet'!$B$12,Paramètres!$A$1:$I$89,5,0)</f>
        <v>-5.1727511163335289E-14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341.60063595566282</v>
      </c>
      <c r="CE94" s="59">
        <f t="shared" si="94"/>
        <v>317.05609766344219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148.23860159524995</v>
      </c>
      <c r="CL94" s="21">
        <f>EXP(-LN(2)/25)*CL93+(1-EXP(-LN(2)/25))/(LN(2)/25)*Calculateur!CG94*Calculateur!CI94*VLOOKUP('Données projet'!$B$12,Paramètres!$A$1:$I$89,3,0)*0.475*44/12</f>
        <v>26.987205091758167</v>
      </c>
      <c r="CM94" s="21">
        <f>EXP(-LN(2)/2)*CM93+(1-EXP(-LN(2)/2))/(LN(2)/2)*CG94*CJ94*VLOOKUP('Données projet'!$B$12,Paramètres!$A$1:$I$89,3,0)*0.475*44/12</f>
        <v>1.9223108132423946E-2</v>
      </c>
      <c r="CN94" s="22">
        <f t="shared" si="66"/>
        <v>175.24502979514054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8.5265128291212022E-14</v>
      </c>
      <c r="CU94" s="17">
        <f>CT94*VLOOKUP('Données projet'!$B$13,Paramètres!$A$1:$I$89,3,0)*VLOOKUP('Données projet'!$B$13,Paramètres!$A$1:$I$89,5,0)</f>
        <v>8.9119112089974823E-14</v>
      </c>
      <c r="CV94" s="13">
        <f t="shared" si="95"/>
        <v>1.3568952080113142E-12</v>
      </c>
      <c r="CW94" s="20">
        <f t="shared" si="67"/>
        <v>2.5184749408430782E-12</v>
      </c>
      <c r="CX94" s="59">
        <f t="shared" si="68"/>
        <v>274.68682684284755</v>
      </c>
      <c r="CY94" s="59">
        <f ca="1">AVERAGE(OFFSET($CX$3,0,0,'Données projet'!$E$13+1,1))-AVERAGE(OFFSET($H$3,0,0,'Données projet'!$E$13+1,1))</f>
        <v>287.73449456153207</v>
      </c>
      <c r="CZ94" s="59">
        <f t="shared" si="96"/>
        <v>296.74833899433281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78.631848770595028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78.631848770595028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6.7444444444444436</v>
      </c>
      <c r="DO94" s="12">
        <f>IF('Données projet'!$A$166&gt;35,DO93+DN94-DW93,IF(A94&lt;'Données projet'!$A$166,$DL$205^A94,IF(A94='Données projet'!$A$166,'Données projet'!$B$166,DO93+DN94-DW93)))</f>
        <v>256.03111111111116</v>
      </c>
      <c r="DP94" s="17">
        <f>DO94*VLOOKUP('Données projet'!$B$14,Paramètres!$A$1:$I$89,3,0)*VLOOKUP('Données projet'!$B$14,Paramètres!$A$1:$I$89,5,0)</f>
        <v>259.61554666666672</v>
      </c>
      <c r="DQ94" s="13">
        <f t="shared" si="97"/>
        <v>62.640420985244788</v>
      </c>
      <c r="DR94" s="20">
        <f t="shared" si="70"/>
        <v>561.26247699374585</v>
      </c>
      <c r="DS94" s="59">
        <f t="shared" si="71"/>
        <v>835.94930383659084</v>
      </c>
      <c r="DT94" s="59">
        <f ca="1">AVERAGE(OFFSET($DS$3,0,0,'Données projet'!$E$14+1,1))-AVERAGE(OFFSET($H$3,0,0,'Données projet'!$E$14+1,1))</f>
        <v>532.34688562681413</v>
      </c>
      <c r="DU94" s="59">
        <f t="shared" si="98"/>
        <v>345.42627129678556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35.173170302658114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35.173170302658114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-5.6843418860808015E-14</v>
      </c>
      <c r="EK94" s="17">
        <f>EJ94*VLOOKUP('Données projet'!$B$15,Paramètres!$A$1:$I$89,3,0)*VLOOKUP('Données projet'!$B$15,Paramètres!$A$1:$I$89,5,0)</f>
        <v>-5.1431925385259088E-14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256.20286603823035</v>
      </c>
      <c r="EP94" s="59">
        <f t="shared" si="100"/>
        <v>364.83827155069434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20.245418195306016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20.245418195306016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6.7444444444444436</v>
      </c>
      <c r="FE94" s="12">
        <f>IF('Données projet'!$A$218&gt;35,FE93+FD94-FM93,IF(A94&lt;'Données projet'!$A$218,$FB$205^A94,IF(A94='Données projet'!$A$218,'Données projet'!$B$218,FE93+FD94-FM93)))</f>
        <v>256.03111111111116</v>
      </c>
      <c r="FF94" s="17">
        <f>FE94*VLOOKUP('Données projet'!$B$16,Paramètres!$A$1:$I$89,3,0)*VLOOKUP('Données projet'!$B$16,Paramètres!$A$1:$I$89,5,0)</f>
        <v>171.74566933333338</v>
      </c>
      <c r="FG94" s="13">
        <f t="shared" si="101"/>
        <v>43.480762674739118</v>
      </c>
      <c r="FH94" s="20">
        <f t="shared" si="76"/>
        <v>374.85270241405959</v>
      </c>
      <c r="FI94" s="59">
        <f t="shared" si="77"/>
        <v>649.53952925690464</v>
      </c>
      <c r="FJ94" s="59">
        <f ca="1">AVERAGE(OFFSET($FI$3,0,0,'Données projet'!$E$16+1,1))-AVERAGE(OFFSET($H$3,0,0,'Données projet'!$E$16+1,1))</f>
        <v>380.73695370216979</v>
      </c>
      <c r="FK94" s="59">
        <f t="shared" si="102"/>
        <v>249.34467160415713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28.679661939090472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28.679661939090472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6.7444444444444436</v>
      </c>
      <c r="FZ94" s="12">
        <f>IF('Données projet'!$A$244&gt;35,FZ93+FY94-GH93,IF(A94&lt;'Données projet'!$A$244,$FW$205^A94,IF(A94='Données projet'!$A$244,'Données projet'!$B$244,FZ93+FY94-GH93)))</f>
        <v>256.03111111111116</v>
      </c>
      <c r="GA94" s="17">
        <f>FZ94*VLOOKUP('Données projet'!$B$17,Paramètres!$A$1:$I$89,3,0)*VLOOKUP('Données projet'!$B$17,Paramètres!$A$1:$I$89,5,0)</f>
        <v>247.63329066666674</v>
      </c>
      <c r="GB94" s="13">
        <f t="shared" si="103"/>
        <v>60.078865451561484</v>
      </c>
      <c r="GC94" s="20">
        <f t="shared" si="79"/>
        <v>535.93200523924747</v>
      </c>
      <c r="GD94" s="59">
        <f t="shared" si="80"/>
        <v>810.61883208209247</v>
      </c>
      <c r="GE94" s="59">
        <f ca="1">AVERAGE(OFFSET($GD$3,0,0,'Données projet'!$E$17+1,1))-AVERAGE(OFFSET($H$3,0,0,'Données projet'!$E$17+1,1))</f>
        <v>511.7458522930001</v>
      </c>
      <c r="GF94" s="59">
        <f t="shared" si="104"/>
        <v>332.37317679966122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33.549793211766222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33.549793211766222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-1.7053025658242404E-13</v>
      </c>
      <c r="GV94" s="17">
        <f>GU94*VLOOKUP('Données projet'!$B$18,Paramètres!$A$1:$I$89,3,0)*VLOOKUP('Données projet'!$B$18,Paramètres!$A$1:$I$89,5,0)</f>
        <v>-1.4897523215040567E-13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348.77506423101278</v>
      </c>
      <c r="HA94" s="59">
        <f t="shared" si="106"/>
        <v>336.13747591329548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107.44638208032771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107.44638208032771</v>
      </c>
    </row>
    <row r="95" spans="1:218" x14ac:dyDescent="0.2">
      <c r="A95" s="10">
        <f t="shared" si="85"/>
        <v>92</v>
      </c>
      <c r="B95" s="71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5">
        <f t="shared" si="56"/>
        <v>183.33333333333334</v>
      </c>
      <c r="I95" s="6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13.159999999999997</v>
      </c>
      <c r="N95" s="13">
        <f>IF('Données projet'!$A$36&gt;35,N94+M95-V94,IF(A95&lt;'Données projet'!$A$36,$K$205^A95,IF(A95='Données projet'!$A$36,'Données projet'!$B$36,N94+M95-V94)))</f>
        <v>498.79999999999961</v>
      </c>
      <c r="O95" s="13">
        <f>N95*VLOOKUP('Données projet'!$B$9,Paramètres!$A$1:$I$89,3,0)*VLOOKUP('Données projet'!$B$9,Paramètres!$A$1:$I$89,5,0)</f>
        <v>233.4383999999998</v>
      </c>
      <c r="P95" s="13">
        <f t="shared" si="87"/>
        <v>57.025500710931574</v>
      </c>
      <c r="Q95" s="20">
        <f t="shared" si="54"/>
        <v>505.89129373820555</v>
      </c>
      <c r="R95" s="59">
        <f t="shared" si="55"/>
        <v>780.90159578131727</v>
      </c>
      <c r="S95" s="59">
        <f ca="1">AVERAGE(OFFSET($R$3,0,0,'Données projet'!$E$9+1,1))-AVERAGE(OFFSET($H$3,0,0,'Données projet'!$E$9+1,1))</f>
        <v>387.50901594883317</v>
      </c>
      <c r="T95" s="59">
        <f t="shared" si="88"/>
        <v>361.3623790401972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83.372671371257326</v>
      </c>
      <c r="AA95" s="21">
        <f>EXP(-LN(2)/25)*AA94+(1-EXP(-LN(2)/25))/(LN(2)/25)*Calculateur!V95*Calculateur!X95*VLOOKUP('Données projet'!$B$9,Paramètres!$A$1:$I$89,3,0)*0.475*44/12</f>
        <v>23.114122917453624</v>
      </c>
      <c r="AB95" s="21">
        <f>EXP(-LN(2)/2)*AB94+(1-EXP(-LN(2)/2))/(LN(2)/2)*V95*Y95*VLOOKUP('Données projet'!$B$9,Paramètres!$A$1:$I$89,3,0)*0.475*44/12</f>
        <v>0.79815089716340204</v>
      </c>
      <c r="AC95" s="22">
        <f t="shared" si="57"/>
        <v>107.28494518587435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373.47758082856359</v>
      </c>
      <c r="AO95" s="59">
        <f t="shared" si="90"/>
        <v>277.24895424120166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151.52660218689147</v>
      </c>
      <c r="AV95" s="21">
        <f>EXP(-LN(2)/25)*AV94+(1-EXP(-LN(2)/25))/(LN(2)/25)*Calculateur!AQ95*Calculateur!AS95*VLOOKUP('Données projet'!$B$10,Paramètres!$A$1:$I$89,3,0)*0.475*44/12</f>
        <v>25.778822624717002</v>
      </c>
      <c r="AW95" s="21">
        <f>EXP(-LN(2)/2)*AW94+(1-EXP(-LN(2)/2))/(LN(2)/2)*AQ95*AT95*VLOOKUP('Données projet'!$B$10,Paramètres!$A$1:$I$89,3,0)*0.475*44/12</f>
        <v>0.49816261913143023</v>
      </c>
      <c r="AX95" s="21">
        <f t="shared" si="60"/>
        <v>177.8035874307399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-6.8212102632969618E-13</v>
      </c>
      <c r="BE95" s="13">
        <f>BD95*VLOOKUP('Données projet'!$B$11,Paramètres!$A$1:$I$89,3,0)*VLOOKUP('Données projet'!$B$11,Paramètres!$A$1:$I$89,5,0)</f>
        <v>-4.0790837374515837E-13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460.88622650237176</v>
      </c>
      <c r="BJ95" s="59">
        <f t="shared" si="92"/>
        <v>396.05161661639647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177.07576131890346</v>
      </c>
      <c r="BQ95" s="21">
        <f>EXP(-LN(2)/25)*BQ94+(1-EXP(-LN(2)/25))/(LN(2)/25)*Calculateur!BL95*Calculateur!BN95*VLOOKUP('Données projet'!$B$11,Paramètres!$A$1:$I$89,3,0)*0.475*44/12</f>
        <v>28.261802339847954</v>
      </c>
      <c r="BR95" s="21">
        <f>EXP(-LN(2)/2)*BR94+(1-EXP(-LN(2)/2))/(LN(2)/2)*BL95*BO95*VLOOKUP('Données projet'!$B$11,Paramètres!$A$1:$I$89,3,0)*0.475*44/12</f>
        <v>0.16083777131149679</v>
      </c>
      <c r="BS95" s="22">
        <f t="shared" si="63"/>
        <v>205.4984014300629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-1.1368683772161603E-13</v>
      </c>
      <c r="BZ95" s="13">
        <f>BY95*VLOOKUP('Données projet'!$B$12,Paramètres!$A$1:$I$89,3,0)*VLOOKUP('Données projet'!$B$12,Paramètres!$A$1:$I$89,5,0)</f>
        <v>-5.1727511163335289E-14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341.60063595566282</v>
      </c>
      <c r="CE95" s="59">
        <f t="shared" si="94"/>
        <v>317.05609766344219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145.33173303458616</v>
      </c>
      <c r="CL95" s="21">
        <f>EXP(-LN(2)/25)*CL94+(1-EXP(-LN(2)/25))/(LN(2)/25)*Calculateur!CG95*Calculateur!CI95*VLOOKUP('Données projet'!$B$12,Paramètres!$A$1:$I$89,3,0)*0.475*44/12</f>
        <v>26.249238549328602</v>
      </c>
      <c r="CM95" s="21">
        <f>EXP(-LN(2)/2)*CM94+(1-EXP(-LN(2)/2))/(LN(2)/2)*CG95*CJ95*VLOOKUP('Données projet'!$B$12,Paramètres!$A$1:$I$89,3,0)*0.475*44/12</f>
        <v>1.3592790115919242E-2</v>
      </c>
      <c r="CN95" s="22">
        <f t="shared" si="66"/>
        <v>171.59456437403068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8.5265128291212022E-14</v>
      </c>
      <c r="CU95" s="17">
        <f>CT95*VLOOKUP('Données projet'!$B$13,Paramètres!$A$1:$I$89,3,0)*VLOOKUP('Données projet'!$B$13,Paramètres!$A$1:$I$89,5,0)</f>
        <v>8.9119112089974823E-14</v>
      </c>
      <c r="CV95" s="13">
        <f t="shared" si="95"/>
        <v>1.3568952080113142E-12</v>
      </c>
      <c r="CW95" s="20">
        <f t="shared" si="67"/>
        <v>2.5184749408430782E-12</v>
      </c>
      <c r="CX95" s="59">
        <f t="shared" si="68"/>
        <v>275.01030204311422</v>
      </c>
      <c r="CY95" s="59">
        <f ca="1">AVERAGE(OFFSET($CX$3,0,0,'Données projet'!$E$13+1,1))-AVERAGE(OFFSET($H$3,0,0,'Données projet'!$E$13+1,1))</f>
        <v>287.73449456153207</v>
      </c>
      <c r="CZ95" s="59">
        <f t="shared" si="96"/>
        <v>296.74833899433281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77.089926176895688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77.089926176895688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6.7444444444444436</v>
      </c>
      <c r="DO95" s="12">
        <f>IF('Données projet'!$A$166&gt;35,DO94+DN95-DW94,IF(A95&lt;'Données projet'!$A$166,$DL$205^A95,IF(A95='Données projet'!$A$166,'Données projet'!$B$166,DO94+DN95-DW94)))</f>
        <v>262.77555555555563</v>
      </c>
      <c r="DP95" s="17">
        <f>DO95*VLOOKUP('Données projet'!$B$14,Paramètres!$A$1:$I$89,3,0)*VLOOKUP('Données projet'!$B$14,Paramètres!$A$1:$I$89,5,0)</f>
        <v>266.45441333333343</v>
      </c>
      <c r="DQ95" s="13">
        <f t="shared" si="97"/>
        <v>64.0962283970063</v>
      </c>
      <c r="DR95" s="20">
        <f t="shared" si="70"/>
        <v>575.70903434700836</v>
      </c>
      <c r="DS95" s="59">
        <f t="shared" si="71"/>
        <v>850.71933639012013</v>
      </c>
      <c r="DT95" s="59">
        <f ca="1">AVERAGE(OFFSET($DS$3,0,0,'Données projet'!$E$14+1,1))-AVERAGE(OFFSET($H$3,0,0,'Données projet'!$E$14+1,1))</f>
        <v>532.34688562681413</v>
      </c>
      <c r="DU95" s="59">
        <f t="shared" si="98"/>
        <v>345.42627129678556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34.483445886538512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34.483445886538512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-5.6843418860808015E-14</v>
      </c>
      <c r="EK95" s="17">
        <f>EJ95*VLOOKUP('Données projet'!$B$15,Paramètres!$A$1:$I$89,3,0)*VLOOKUP('Données projet'!$B$15,Paramètres!$A$1:$I$89,5,0)</f>
        <v>-5.1431925385259088E-14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256.20286603823035</v>
      </c>
      <c r="EP95" s="59">
        <f t="shared" si="100"/>
        <v>364.83827155069434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19.848417892981853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19.848417892981853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6.7444444444444436</v>
      </c>
      <c r="FE95" s="12">
        <f>IF('Données projet'!$A$218&gt;35,FE94+FD95-FM94,IF(A95&lt;'Données projet'!$A$218,$FB$205^A95,IF(A95='Données projet'!$A$218,'Données projet'!$B$218,FE94+FD95-FM94)))</f>
        <v>262.77555555555563</v>
      </c>
      <c r="FF95" s="17">
        <f>FE95*VLOOKUP('Données projet'!$B$16,Paramètres!$A$1:$I$89,3,0)*VLOOKUP('Données projet'!$B$16,Paramètres!$A$1:$I$89,5,0)</f>
        <v>176.26984266666673</v>
      </c>
      <c r="FG95" s="13">
        <f t="shared" si="101"/>
        <v>44.49128616061801</v>
      </c>
      <c r="FH95" s="20">
        <f t="shared" si="76"/>
        <v>384.49229937418767</v>
      </c>
      <c r="FI95" s="59">
        <f t="shared" si="77"/>
        <v>659.50260141729939</v>
      </c>
      <c r="FJ95" s="59">
        <f ca="1">AVERAGE(OFFSET($FI$3,0,0,'Données projet'!$E$16+1,1))-AVERAGE(OFFSET($H$3,0,0,'Données projet'!$E$16+1,1))</f>
        <v>380.73695370216979</v>
      </c>
      <c r="FK95" s="59">
        <f t="shared" si="102"/>
        <v>249.34467160415713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28.117271261331414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28.117271261331414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6.7444444444444436</v>
      </c>
      <c r="FZ95" s="12">
        <f>IF('Données projet'!$A$244&gt;35,FZ94+FY95-GH94,IF(A95&lt;'Données projet'!$A$244,$FW$205^A95,IF(A95='Données projet'!$A$244,'Données projet'!$B$244,FZ94+FY95-GH94)))</f>
        <v>262.77555555555563</v>
      </c>
      <c r="GA95" s="17">
        <f>FZ95*VLOOKUP('Données projet'!$B$17,Paramètres!$A$1:$I$89,3,0)*VLOOKUP('Données projet'!$B$17,Paramètres!$A$1:$I$89,5,0)</f>
        <v>254.15651733333343</v>
      </c>
      <c r="GB95" s="13">
        <f t="shared" si="103"/>
        <v>61.475140512280042</v>
      </c>
      <c r="GC95" s="20">
        <f t="shared" si="79"/>
        <v>549.72513741444334</v>
      </c>
      <c r="GD95" s="59">
        <f t="shared" si="80"/>
        <v>824.735439457555</v>
      </c>
      <c r="GE95" s="59">
        <f ca="1">AVERAGE(OFFSET($GD$3,0,0,'Données projet'!$E$17+1,1))-AVERAGE(OFFSET($H$3,0,0,'Données projet'!$E$17+1,1))</f>
        <v>511.7458522930001</v>
      </c>
      <c r="GF95" s="59">
        <f t="shared" si="104"/>
        <v>332.37317679966122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32.891902230236759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32.891902230236759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-1.7053025658242404E-13</v>
      </c>
      <c r="GV95" s="17">
        <f>GU95*VLOOKUP('Données projet'!$B$18,Paramètres!$A$1:$I$89,3,0)*VLOOKUP('Données projet'!$B$18,Paramètres!$A$1:$I$89,5,0)</f>
        <v>-1.4897523215040567E-13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348.77506423101278</v>
      </c>
      <c r="HA95" s="59">
        <f t="shared" si="106"/>
        <v>336.13747591329548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105.33942406355443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105.33942406355443</v>
      </c>
    </row>
    <row r="96" spans="1:218" x14ac:dyDescent="0.2">
      <c r="A96" s="10">
        <f t="shared" si="85"/>
        <v>93</v>
      </c>
      <c r="B96" s="71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5">
        <f t="shared" si="56"/>
        <v>183.33333333333334</v>
      </c>
      <c r="I96" s="6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13.159999999999997</v>
      </c>
      <c r="N96" s="13">
        <f>IF('Données projet'!$A$36&gt;35,N95+M96-V95,IF(A96&lt;'Données projet'!$A$36,$K$205^A96,IF(A96='Données projet'!$A$36,'Données projet'!$B$36,N95+M96-V95)))</f>
        <v>511.95999999999958</v>
      </c>
      <c r="O96" s="13">
        <f>N96*VLOOKUP('Données projet'!$B$9,Paramètres!$A$1:$I$89,3,0)*VLOOKUP('Données projet'!$B$9,Paramètres!$A$1:$I$89,5,0)</f>
        <v>239.59727999999981</v>
      </c>
      <c r="P96" s="13">
        <f t="shared" si="87"/>
        <v>58.352874845190904</v>
      </c>
      <c r="Q96" s="20">
        <f t="shared" si="54"/>
        <v>518.92985302204045</v>
      </c>
      <c r="R96" s="59">
        <f t="shared" si="55"/>
        <v>794.25801869387647</v>
      </c>
      <c r="S96" s="59">
        <f ca="1">AVERAGE(OFFSET($R$3,0,0,'Données projet'!$E$9+1,1))-AVERAGE(OFFSET($H$3,0,0,'Données projet'!$E$9+1,1))</f>
        <v>387.50901594883317</v>
      </c>
      <c r="T96" s="59">
        <f t="shared" si="88"/>
        <v>361.3623790401972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81.737784137975254</v>
      </c>
      <c r="AA96" s="21">
        <f>EXP(-LN(2)/25)*AA95+(1-EXP(-LN(2)/25))/(LN(2)/25)*Calculateur!V96*Calculateur!X96*VLOOKUP('Données projet'!$B$9,Paramètres!$A$1:$I$89,3,0)*0.475*44/12</f>
        <v>22.482066010756959</v>
      </c>
      <c r="AB96" s="21">
        <f>EXP(-LN(2)/2)*AB95+(1-EXP(-LN(2)/2))/(LN(2)/2)*V96*Y96*VLOOKUP('Données projet'!$B$9,Paramètres!$A$1:$I$89,3,0)*0.475*44/12</f>
        <v>0.56437791179436836</v>
      </c>
      <c r="AC96" s="22">
        <f t="shared" si="57"/>
        <v>104.78422806052657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373.47758082856359</v>
      </c>
      <c r="AO96" s="59">
        <f t="shared" si="90"/>
        <v>277.24895424120166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148.55525794010794</v>
      </c>
      <c r="AV96" s="21">
        <f>EXP(-LN(2)/25)*AV95+(1-EXP(-LN(2)/25))/(LN(2)/25)*Calculateur!AQ96*Calculateur!AS96*VLOOKUP('Données projet'!$B$10,Paramètres!$A$1:$I$89,3,0)*0.475*44/12</f>
        <v>25.073899364394752</v>
      </c>
      <c r="AW96" s="21">
        <f>EXP(-LN(2)/2)*AW95+(1-EXP(-LN(2)/2))/(LN(2)/2)*AQ96*AT96*VLOOKUP('Données projet'!$B$10,Paramètres!$A$1:$I$89,3,0)*0.475*44/12</f>
        <v>0.35225416612148569</v>
      </c>
      <c r="AX96" s="21">
        <f t="shared" si="60"/>
        <v>173.98141147062418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-6.8212102632969618E-13</v>
      </c>
      <c r="BE96" s="13">
        <f>BD96*VLOOKUP('Données projet'!$B$11,Paramètres!$A$1:$I$89,3,0)*VLOOKUP('Données projet'!$B$11,Paramètres!$A$1:$I$89,5,0)</f>
        <v>-4.0790837374515837E-13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460.88622650237176</v>
      </c>
      <c r="BJ96" s="59">
        <f t="shared" si="92"/>
        <v>396.05161661639647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173.6034136449895</v>
      </c>
      <c r="BQ96" s="21">
        <f>EXP(-LN(2)/25)*BQ95+(1-EXP(-LN(2)/25))/(LN(2)/25)*Calculateur!BL96*Calculateur!BN96*VLOOKUP('Données projet'!$B$11,Paramètres!$A$1:$I$89,3,0)*0.475*44/12</f>
        <v>27.488981868641218</v>
      </c>
      <c r="BR96" s="21">
        <f>EXP(-LN(2)/2)*BR95+(1-EXP(-LN(2)/2))/(LN(2)/2)*BL96*BO96*VLOOKUP('Données projet'!$B$11,Paramètres!$A$1:$I$89,3,0)*0.475*44/12</f>
        <v>0.11372947876529053</v>
      </c>
      <c r="BS96" s="22">
        <f t="shared" si="63"/>
        <v>201.20612499239601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-1.1368683772161603E-13</v>
      </c>
      <c r="BZ96" s="13">
        <f>BY96*VLOOKUP('Données projet'!$B$12,Paramètres!$A$1:$I$89,3,0)*VLOOKUP('Données projet'!$B$12,Paramètres!$A$1:$I$89,5,0)</f>
        <v>-5.1727511163335289E-14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341.60063595566282</v>
      </c>
      <c r="CE96" s="59">
        <f t="shared" si="94"/>
        <v>317.05609766344219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142.48186639338226</v>
      </c>
      <c r="CL96" s="21">
        <f>EXP(-LN(2)/25)*CL95+(1-EXP(-LN(2)/25))/(LN(2)/25)*Calculateur!CG96*Calculateur!CI96*VLOOKUP('Données projet'!$B$12,Paramètres!$A$1:$I$89,3,0)*0.475*44/12</f>
        <v>25.53145174080975</v>
      </c>
      <c r="CM96" s="21">
        <f>EXP(-LN(2)/2)*CM95+(1-EXP(-LN(2)/2))/(LN(2)/2)*CG96*CJ96*VLOOKUP('Données projet'!$B$12,Paramètres!$A$1:$I$89,3,0)*0.475*44/12</f>
        <v>9.611554066211973E-3</v>
      </c>
      <c r="CN96" s="22">
        <f t="shared" si="66"/>
        <v>168.02292968825824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8.5265128291212022E-14</v>
      </c>
      <c r="CU96" s="17">
        <f>CT96*VLOOKUP('Données projet'!$B$13,Paramètres!$A$1:$I$89,3,0)*VLOOKUP('Données projet'!$B$13,Paramètres!$A$1:$I$89,5,0)</f>
        <v>8.9119112089974823E-14</v>
      </c>
      <c r="CV96" s="13">
        <f t="shared" si="95"/>
        <v>1.3568952080113142E-12</v>
      </c>
      <c r="CW96" s="20">
        <f t="shared" si="67"/>
        <v>2.5184749408430782E-12</v>
      </c>
      <c r="CX96" s="59">
        <f t="shared" si="68"/>
        <v>275.32816567183846</v>
      </c>
      <c r="CY96" s="59">
        <f ca="1">AVERAGE(OFFSET($CX$3,0,0,'Données projet'!$E$13+1,1))-AVERAGE(OFFSET($H$3,0,0,'Données projet'!$E$13+1,1))</f>
        <v>287.73449456153207</v>
      </c>
      <c r="CZ96" s="59">
        <f t="shared" si="96"/>
        <v>296.74833899433281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75.57823974477887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75.57823974477887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269.52</v>
      </c>
      <c r="DM96" s="12">
        <f>VLOOKUP(A96,'Données projet'!$A$165:$I$185,9,0)</f>
        <v>6.7444444444444436</v>
      </c>
      <c r="DN96" s="12">
        <f t="array" ref="DN96">INDEX(DM:DM,MIN(IF(ISNUMBER(DM96:DM292),ROW(DM96:DM292),"")))</f>
        <v>6.7444444444444436</v>
      </c>
      <c r="DO96" s="12">
        <f>IF('Données projet'!$A$166&gt;35,DO95+DN96-DW95,IF(A96&lt;'Données projet'!$A$166,$DL$205^A96,IF(A96='Données projet'!$A$166,'Données projet'!$B$166,DO95+DN96-DW95)))</f>
        <v>269.5200000000001</v>
      </c>
      <c r="DP96" s="17">
        <f>DO96*VLOOKUP('Données projet'!$B$14,Paramètres!$A$1:$I$89,3,0)*VLOOKUP('Données projet'!$B$14,Paramètres!$A$1:$I$89,5,0)</f>
        <v>273.29328000000015</v>
      </c>
      <c r="DQ96" s="13">
        <f t="shared" si="97"/>
        <v>65.547692507620056</v>
      </c>
      <c r="DR96" s="20">
        <f t="shared" si="70"/>
        <v>590.14802711743857</v>
      </c>
      <c r="DS96" s="59">
        <f t="shared" si="71"/>
        <v>865.47619278927459</v>
      </c>
      <c r="DT96" s="59">
        <f ca="1">AVERAGE(OFFSET($DS$3,0,0,'Données projet'!$E$14+1,1))-AVERAGE(OFFSET($H$3,0,0,'Données projet'!$E$14+1,1))</f>
        <v>532.34688562681413</v>
      </c>
      <c r="DU96" s="59">
        <f t="shared" si="98"/>
        <v>345.42627129678556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38.57</v>
      </c>
      <c r="DX96" s="16">
        <f>IF(ISNA(VLOOKUP(A96,'Données projet'!$A$165:$I$185,5,0)),0%,VLOOKUP(A96,'Données projet'!$A$165:$I$185,5,0)*VLOOKUP('Données projet'!$B$14,Paramètres!$A$1:$I$89,7,0))</f>
        <v>0.25800000000000001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44.961857049533194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44.961857049533194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-5.6843418860808015E-14</v>
      </c>
      <c r="EK96" s="17">
        <f>EJ96*VLOOKUP('Données projet'!$B$15,Paramètres!$A$1:$I$89,3,0)*VLOOKUP('Données projet'!$B$15,Paramètres!$A$1:$I$89,5,0)</f>
        <v>-5.1431925385259088E-14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256.20286603823035</v>
      </c>
      <c r="EP96" s="59">
        <f t="shared" si="100"/>
        <v>364.83827155069434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19.459202524439991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19.459202524439991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projet'!$A$217:$I$237,2,0)</f>
        <v>269.52</v>
      </c>
      <c r="FC96" s="12">
        <f>VLOOKUP(A96,'Données projet'!$A$217:$I$237,9,0)</f>
        <v>6.7444444444444436</v>
      </c>
      <c r="FD96" s="12">
        <f t="array" ref="FD96">INDEX(FC:FC,MIN(IF(ISNUMBER(FC96:FC292),ROW(FC96:FC292),"")))</f>
        <v>6.7444444444444436</v>
      </c>
      <c r="FE96" s="12">
        <f>IF('Données projet'!$A$218&gt;35,FE95+FD96-FM95,IF(A96&lt;'Données projet'!$A$218,$FB$205^A96,IF(A96='Données projet'!$A$218,'Données projet'!$B$218,FE95+FD96-FM95)))</f>
        <v>269.5200000000001</v>
      </c>
      <c r="FF96" s="17">
        <f>FE96*VLOOKUP('Données projet'!$B$16,Paramètres!$A$1:$I$89,3,0)*VLOOKUP('Données projet'!$B$16,Paramètres!$A$1:$I$89,5,0)</f>
        <v>180.79401600000006</v>
      </c>
      <c r="FG96" s="13">
        <f t="shared" si="101"/>
        <v>45.498794819274082</v>
      </c>
      <c r="FH96" s="20">
        <f t="shared" si="76"/>
        <v>394.12664551023573</v>
      </c>
      <c r="FI96" s="59">
        <f t="shared" si="77"/>
        <v>669.45481118207169</v>
      </c>
      <c r="FJ96" s="59">
        <f ca="1">AVERAGE(OFFSET($FI$3,0,0,'Données projet'!$E$16+1,1))-AVERAGE(OFFSET($H$3,0,0,'Données projet'!$E$16+1,1))</f>
        <v>380.73695370216979</v>
      </c>
      <c r="FK96" s="59">
        <f t="shared" si="102"/>
        <v>249.34467160415713</v>
      </c>
      <c r="FL96" s="15">
        <f>IF(ISNA(VLOOKUP(A96,'Données projet'!$A$217:$I$237,3,0)),0,VLOOKUP(A96,'Données projet'!$A$217:$I$237,3,0))</f>
        <v>7</v>
      </c>
      <c r="FM96" s="15">
        <f>IF(ISNA(VLOOKUP(A96,'Données projet'!$A$217:$I$237,4,0)),0,VLOOKUP(A96,'Données projet'!$A$217:$I$237,4,0))</f>
        <v>38.57</v>
      </c>
      <c r="FN96" s="16">
        <f>IF(ISNA(VLOOKUP(A96,'Données projet'!$A$217:$I$237,5,0)),0%,VLOOKUP(A96,'Données projet'!$A$217:$I$237,5,0)*VLOOKUP('Données projet'!$B$16,Paramètres!$A$1:$I$89,7,0))</f>
        <v>0.318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36.661206517311697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36.661206517311697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269.52</v>
      </c>
      <c r="FX96" s="12">
        <f>VLOOKUP(A96,'Données projet'!$A$243:$I$263,9,0)</f>
        <v>6.7444444444444436</v>
      </c>
      <c r="FY96" s="12">
        <f t="array" ref="FY96">INDEX(FX:FX,MIN(IF(ISNUMBER(FX96:FX292),ROW(FX96:FX292),"")))</f>
        <v>6.7444444444444436</v>
      </c>
      <c r="FZ96" s="12">
        <f>IF('Données projet'!$A$244&gt;35,FZ95+FY96-GH95,IF(A96&lt;'Données projet'!$A$244,$FW$205^A96,IF(A96='Données projet'!$A$244,'Données projet'!$B$244,FZ95+FY96-GH95)))</f>
        <v>269.5200000000001</v>
      </c>
      <c r="GA96" s="17">
        <f>FZ96*VLOOKUP('Données projet'!$B$17,Paramètres!$A$1:$I$89,3,0)*VLOOKUP('Données projet'!$B$17,Paramètres!$A$1:$I$89,5,0)</f>
        <v>260.67974400000008</v>
      </c>
      <c r="GB96" s="13">
        <f t="shared" si="103"/>
        <v>62.867249882519879</v>
      </c>
      <c r="GC96" s="20">
        <f t="shared" si="79"/>
        <v>563.51101434538896</v>
      </c>
      <c r="GD96" s="59">
        <f t="shared" si="80"/>
        <v>838.83918001722486</v>
      </c>
      <c r="GE96" s="59">
        <f ca="1">AVERAGE(OFFSET($GD$3,0,0,'Données projet'!$E$17+1,1))-AVERAGE(OFFSET($H$3,0,0,'Données projet'!$E$17+1,1))</f>
        <v>511.7458522930001</v>
      </c>
      <c r="GF96" s="59">
        <f t="shared" si="104"/>
        <v>332.37317679966122</v>
      </c>
      <c r="GG96" s="15">
        <f>IF(ISNA(VLOOKUP(A96,'Données projet'!$A$243:$I$263,3,0)),0,VLOOKUP(A96,'Données projet'!$A$243:$I$263,3,0))</f>
        <v>7</v>
      </c>
      <c r="GH96" s="15">
        <f>IF(ISNA(VLOOKUP(A96,'Données projet'!$A$243:$I$263,4,0)),0,VLOOKUP(A96,'Données projet'!$A$243:$I$263,4,0))</f>
        <v>38.57</v>
      </c>
      <c r="GI96" s="16">
        <f>IF(ISNA(VLOOKUP(A96,'Données projet'!$A$243:$I$263,5,0)),0%,VLOOKUP(A96,'Données projet'!$A$243:$I$263,5,0)*VLOOKUP('Données projet'!$B$17,Paramètres!$A$1:$I$89,7,0))</f>
        <v>0.25800000000000001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42.886694416477837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42.886694416477837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-1.7053025658242404E-13</v>
      </c>
      <c r="GV96" s="17">
        <f>GU96*VLOOKUP('Données projet'!$B$18,Paramètres!$A$1:$I$89,3,0)*VLOOKUP('Données projet'!$B$18,Paramètres!$A$1:$I$89,5,0)</f>
        <v>-1.4897523215040567E-13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348.77506423101278</v>
      </c>
      <c r="HA96" s="59">
        <f t="shared" si="106"/>
        <v>336.13747591329548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103.27378220837258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103.27378220837258</v>
      </c>
    </row>
    <row r="97" spans="1:218" x14ac:dyDescent="0.2">
      <c r="A97" s="10">
        <f t="shared" si="85"/>
        <v>94</v>
      </c>
      <c r="B97" s="71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5">
        <f t="shared" si="56"/>
        <v>183.33333333333334</v>
      </c>
      <c r="I97" s="6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13.159999999999997</v>
      </c>
      <c r="N97" s="13">
        <f>IF('Données projet'!$A$36&gt;35,N96+M97-V96,IF(A97&lt;'Données projet'!$A$36,$K$205^A97,IF(A97='Données projet'!$A$36,'Données projet'!$B$36,N96+M97-V96)))</f>
        <v>525.11999999999955</v>
      </c>
      <c r="O97" s="13">
        <f>N97*VLOOKUP('Données projet'!$B$9,Paramètres!$A$1:$I$89,3,0)*VLOOKUP('Données projet'!$B$9,Paramètres!$A$1:$I$89,5,0)</f>
        <v>245.7561599999998</v>
      </c>
      <c r="P97" s="13">
        <f t="shared" si="87"/>
        <v>59.67628284734046</v>
      </c>
      <c r="Q97" s="20">
        <f t="shared" si="54"/>
        <v>531.96150462578419</v>
      </c>
      <c r="R97" s="59">
        <f t="shared" si="55"/>
        <v>807.60201970302273</v>
      </c>
      <c r="S97" s="59">
        <f ca="1">AVERAGE(OFFSET($R$3,0,0,'Données projet'!$E$9+1,1))-AVERAGE(OFFSET($H$3,0,0,'Données projet'!$E$9+1,1))</f>
        <v>387.50901594883317</v>
      </c>
      <c r="T97" s="59">
        <f t="shared" si="88"/>
        <v>361.3623790401972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80.134956046155096</v>
      </c>
      <c r="AA97" s="21">
        <f>EXP(-LN(2)/25)*AA96+(1-EXP(-LN(2)/25))/(LN(2)/25)*Calculateur!V97*Calculateur!X97*VLOOKUP('Données projet'!$B$9,Paramètres!$A$1:$I$89,3,0)*0.475*44/12</f>
        <v>21.867292733412341</v>
      </c>
      <c r="AB97" s="21">
        <f>EXP(-LN(2)/2)*AB96+(1-EXP(-LN(2)/2))/(LN(2)/2)*V97*Y97*VLOOKUP('Données projet'!$B$9,Paramètres!$A$1:$I$89,3,0)*0.475*44/12</f>
        <v>0.39907544858170108</v>
      </c>
      <c r="AC97" s="22">
        <f t="shared" si="57"/>
        <v>102.40132422814914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373.47758082856359</v>
      </c>
      <c r="AO97" s="59">
        <f t="shared" si="90"/>
        <v>277.24895424120166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145.64217994166279</v>
      </c>
      <c r="AV97" s="21">
        <f>EXP(-LN(2)/25)*AV96+(1-EXP(-LN(2)/25))/(LN(2)/25)*Calculateur!AQ97*Calculateur!AS97*VLOOKUP('Données projet'!$B$10,Paramètres!$A$1:$I$89,3,0)*0.475*44/12</f>
        <v>24.388252267696316</v>
      </c>
      <c r="AW97" s="21">
        <f>EXP(-LN(2)/2)*AW96+(1-EXP(-LN(2)/2))/(LN(2)/2)*AQ97*AT97*VLOOKUP('Données projet'!$B$10,Paramètres!$A$1:$I$89,3,0)*0.475*44/12</f>
        <v>0.24908130956571517</v>
      </c>
      <c r="AX97" s="21">
        <f t="shared" si="60"/>
        <v>170.27951351892483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-6.8212102632969618E-13</v>
      </c>
      <c r="BE97" s="13">
        <f>BD97*VLOOKUP('Données projet'!$B$11,Paramètres!$A$1:$I$89,3,0)*VLOOKUP('Données projet'!$B$11,Paramètres!$A$1:$I$89,5,0)</f>
        <v>-4.0790837374515837E-13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460.88622650237176</v>
      </c>
      <c r="BJ97" s="59">
        <f t="shared" si="92"/>
        <v>396.05161661639647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170.19915659103805</v>
      </c>
      <c r="BQ97" s="21">
        <f>EXP(-LN(2)/25)*BQ96+(1-EXP(-LN(2)/25))/(LN(2)/25)*Calculateur!BL97*Calculateur!BN97*VLOOKUP('Données projet'!$B$11,Paramètres!$A$1:$I$89,3,0)*0.475*44/12</f>
        <v>26.737294213860494</v>
      </c>
      <c r="BR97" s="21">
        <f>EXP(-LN(2)/2)*BR96+(1-EXP(-LN(2)/2))/(LN(2)/2)*BL97*BO97*VLOOKUP('Données projet'!$B$11,Paramètres!$A$1:$I$89,3,0)*0.475*44/12</f>
        <v>8.0418885655748396E-2</v>
      </c>
      <c r="BS97" s="22">
        <f t="shared" si="63"/>
        <v>197.01686969055427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-1.1368683772161603E-13</v>
      </c>
      <c r="BZ97" s="13">
        <f>BY97*VLOOKUP('Données projet'!$B$12,Paramètres!$A$1:$I$89,3,0)*VLOOKUP('Données projet'!$B$12,Paramètres!$A$1:$I$89,5,0)</f>
        <v>-5.1727511163335289E-14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341.60063595566282</v>
      </c>
      <c r="CE97" s="59">
        <f t="shared" si="94"/>
        <v>317.05609766344219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139.68788389876534</v>
      </c>
      <c r="CL97" s="21">
        <f>EXP(-LN(2)/25)*CL96+(1-EXP(-LN(2)/25))/(LN(2)/25)*Calculateur!CG97*Calculateur!CI97*VLOOKUP('Données projet'!$B$12,Paramètres!$A$1:$I$89,3,0)*0.475*44/12</f>
        <v>24.833292850316614</v>
      </c>
      <c r="CM97" s="21">
        <f>EXP(-LN(2)/2)*CM96+(1-EXP(-LN(2)/2))/(LN(2)/2)*CG97*CJ97*VLOOKUP('Données projet'!$B$12,Paramètres!$A$1:$I$89,3,0)*0.475*44/12</f>
        <v>6.7963950579596208E-3</v>
      </c>
      <c r="CN97" s="22">
        <f t="shared" si="66"/>
        <v>164.52797314413991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8.5265128291212022E-14</v>
      </c>
      <c r="CU97" s="17">
        <f>CT97*VLOOKUP('Données projet'!$B$13,Paramètres!$A$1:$I$89,3,0)*VLOOKUP('Données projet'!$B$13,Paramètres!$A$1:$I$89,5,0)</f>
        <v>8.9119112089974823E-14</v>
      </c>
      <c r="CV97" s="13">
        <f t="shared" si="95"/>
        <v>1.3568952080113142E-12</v>
      </c>
      <c r="CW97" s="20">
        <f t="shared" si="67"/>
        <v>2.5184749408430782E-12</v>
      </c>
      <c r="CX97" s="59">
        <f t="shared" si="68"/>
        <v>275.64051507724099</v>
      </c>
      <c r="CY97" s="59">
        <f ca="1">AVERAGE(OFFSET($CX$3,0,0,'Données projet'!$E$13+1,1))-AVERAGE(OFFSET($H$3,0,0,'Données projet'!$E$13+1,1))</f>
        <v>287.73449456153207</v>
      </c>
      <c r="CZ97" s="59">
        <f t="shared" si="96"/>
        <v>296.74833899433281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74.096196561558187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74.096196561558187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6.7350000000000021</v>
      </c>
      <c r="DO97" s="12">
        <f>IF('Données projet'!$A$166&gt;35,DO96+DN97-DW96,IF(A97&lt;'Données projet'!$A$166,$DL$205^A97,IF(A97='Données projet'!$A$166,'Données projet'!$B$166,DO96+DN97-DW96)))</f>
        <v>237.68500000000012</v>
      </c>
      <c r="DP97" s="17">
        <f>DO97*VLOOKUP('Données projet'!$B$14,Paramètres!$A$1:$I$89,3,0)*VLOOKUP('Données projet'!$B$14,Paramètres!$A$1:$I$89,5,0)</f>
        <v>241.01259000000013</v>
      </c>
      <c r="DQ97" s="13">
        <f t="shared" si="97"/>
        <v>58.657340740150538</v>
      </c>
      <c r="DR97" s="20">
        <f t="shared" si="70"/>
        <v>521.92512937242907</v>
      </c>
      <c r="DS97" s="59">
        <f t="shared" si="71"/>
        <v>797.56564444966762</v>
      </c>
      <c r="DT97" s="59">
        <f ca="1">AVERAGE(OFFSET($DS$3,0,0,'Données projet'!$E$14+1,1))-AVERAGE(OFFSET($H$3,0,0,'Données projet'!$E$14+1,1))</f>
        <v>532.34688562681413</v>
      </c>
      <c r="DU97" s="59">
        <f t="shared" si="98"/>
        <v>345.42627129678556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44.08018245681675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44.08018245681675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-5.6843418860808015E-14</v>
      </c>
      <c r="EK97" s="17">
        <f>EJ97*VLOOKUP('Données projet'!$B$15,Paramètres!$A$1:$I$89,3,0)*VLOOKUP('Données projet'!$B$15,Paramètres!$A$1:$I$89,5,0)</f>
        <v>-5.1431925385259088E-14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256.20286603823035</v>
      </c>
      <c r="EP97" s="59">
        <f t="shared" si="100"/>
        <v>364.83827155069434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19.077619431877302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19.077619431877302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6.7350000000000021</v>
      </c>
      <c r="FE97" s="12">
        <f>IF('Données projet'!$A$218&gt;35,FE96+FD97-FM96,IF(A97&lt;'Données projet'!$A$218,$FB$205^A97,IF(A97='Données projet'!$A$218,'Données projet'!$B$218,FE96+FD97-FM96)))</f>
        <v>237.68500000000012</v>
      </c>
      <c r="FF97" s="17">
        <f>FE97*VLOOKUP('Données projet'!$B$16,Paramètres!$A$1:$I$89,3,0)*VLOOKUP('Données projet'!$B$16,Paramètres!$A$1:$I$89,5,0)</f>
        <v>159.43909800000009</v>
      </c>
      <c r="FG97" s="13">
        <f t="shared" si="101"/>
        <v>40.71597654898531</v>
      </c>
      <c r="FH97" s="20">
        <f t="shared" si="76"/>
        <v>348.60342150614952</v>
      </c>
      <c r="FI97" s="59">
        <f t="shared" si="77"/>
        <v>624.24393658338795</v>
      </c>
      <c r="FJ97" s="59">
        <f ca="1">AVERAGE(OFFSET($FI$3,0,0,'Données projet'!$E$16+1,1))-AVERAGE(OFFSET($H$3,0,0,'Données projet'!$E$16+1,1))</f>
        <v>380.73695370216979</v>
      </c>
      <c r="FK97" s="59">
        <f t="shared" si="102"/>
        <v>249.34467160415713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35.94230261863521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35.94230261863521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6.7350000000000021</v>
      </c>
      <c r="FZ97" s="12">
        <f>IF('Données projet'!$A$244&gt;35,FZ96+FY97-GH96,IF(A97&lt;'Données projet'!$A$244,$FW$205^A97,IF(A97='Données projet'!$A$244,'Données projet'!$B$244,FZ96+FY97-GH96)))</f>
        <v>237.68500000000012</v>
      </c>
      <c r="GA97" s="17">
        <f>FZ97*VLOOKUP('Données projet'!$B$17,Paramètres!$A$1:$I$89,3,0)*VLOOKUP('Données projet'!$B$17,Paramètres!$A$1:$I$89,5,0)</f>
        <v>229.88893200000015</v>
      </c>
      <c r="GB97" s="13">
        <f t="shared" si="103"/>
        <v>56.258665357693104</v>
      </c>
      <c r="GC97" s="20">
        <f t="shared" si="79"/>
        <v>498.37373206464912</v>
      </c>
      <c r="GD97" s="59">
        <f t="shared" si="80"/>
        <v>774.01424714188761</v>
      </c>
      <c r="GE97" s="59">
        <f ca="1">AVERAGE(OFFSET($GD$3,0,0,'Données projet'!$E$17+1,1))-AVERAGE(OFFSET($H$3,0,0,'Données projet'!$E$17+1,1))</f>
        <v>511.7458522930001</v>
      </c>
      <c r="GF97" s="59">
        <f t="shared" si="104"/>
        <v>332.37317679966122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42.045712497271381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42.045712497271381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-1.7053025658242404E-13</v>
      </c>
      <c r="GV97" s="17">
        <f>GU97*VLOOKUP('Données projet'!$B$18,Paramètres!$A$1:$I$89,3,0)*VLOOKUP('Données projet'!$B$18,Paramètres!$A$1:$I$89,5,0)</f>
        <v>-1.4897523215040567E-13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348.77506423101278</v>
      </c>
      <c r="HA97" s="59">
        <f t="shared" si="106"/>
        <v>336.13747591329548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101.24864633005372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101.24864633005372</v>
      </c>
    </row>
    <row r="98" spans="1:218" x14ac:dyDescent="0.2">
      <c r="A98" s="10">
        <f t="shared" si="85"/>
        <v>95</v>
      </c>
      <c r="B98" s="71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5">
        <f t="shared" si="56"/>
        <v>183.33333333333334</v>
      </c>
      <c r="I98" s="6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538.28</v>
      </c>
      <c r="L98" s="12">
        <f>VLOOKUP(A98,'Données projet'!$A$35:$I$55,9,0)</f>
        <v>13.159999999999997</v>
      </c>
      <c r="M98" s="12">
        <f t="array" ref="M98">INDEX(L:L,MIN(IF(ISNUMBER(L98:L294),ROW(L98:L294),"")))</f>
        <v>13.159999999999997</v>
      </c>
      <c r="N98" s="13">
        <f>IF('Données projet'!$A$36&gt;35,N97+M98-V97,IF(A98&lt;'Données projet'!$A$36,$K$205^A98,IF(A98='Données projet'!$A$36,'Données projet'!$B$36,N97+M98-V97)))</f>
        <v>538.27999999999952</v>
      </c>
      <c r="O98" s="13">
        <f>N98*VLOOKUP('Données projet'!$B$9,Paramètres!$A$1:$I$89,3,0)*VLOOKUP('Données projet'!$B$9,Paramètres!$A$1:$I$89,5,0)</f>
        <v>251.91503999999978</v>
      </c>
      <c r="P98" s="13">
        <f t="shared" si="87"/>
        <v>60.995835543729605</v>
      </c>
      <c r="Q98" s="20">
        <f t="shared" si="54"/>
        <v>544.98644157199533</v>
      </c>
      <c r="R98" s="59">
        <f t="shared" si="55"/>
        <v>820.93388749076121</v>
      </c>
      <c r="S98" s="59">
        <f ca="1">AVERAGE(OFFSET($R$3,0,0,'Données projet'!$E$9+1,1))-AVERAGE(OFFSET($H$3,0,0,'Données projet'!$E$9+1,1))</f>
        <v>387.50901594883317</v>
      </c>
      <c r="T98" s="59">
        <f t="shared" si="88"/>
        <v>361.3623790401972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268.81</v>
      </c>
      <c r="W98" s="16">
        <f>IF(ISNA(VLOOKUP(A98,'Données projet'!$A$35:$I$55,5,0)),0%,VLOOKUP(A98,'Données projet'!$A$35:$I$55,5,0)*VLOOKUP('Données projet'!$B$9,Paramètres!$A$1:$I$89,7,0))</f>
        <v>0.44000000000000006</v>
      </c>
      <c r="X98" s="16">
        <f>IF(ISNA(VLOOKUP(A98,'Données projet'!$A$35:$I$55,6,0)),0%,VLOOKUP(A98,'Données projet'!$A$35:$I$55,6,0)*VLOOKUP('Données projet'!$B$9,Paramètres!$A$1:$I$89,7,0))</f>
        <v>6.0500000000000005E-2</v>
      </c>
      <c r="Y98" s="16">
        <f>IF(ISNA(VLOOKUP(A98,'Données projet'!$A$35:$I$55,7,0)),0%,VLOOKUP(A98,'Données projet'!$A$35:$I$55,7,0))</f>
        <v>0.09</v>
      </c>
      <c r="Z98" s="21">
        <f>EXP(-LN(2)/35)*Z97+(1-EXP(-LN(2)/35))/(LN(2)/35)*V98*W98*VLOOKUP('Données projet'!$B$9,Paramètres!$A$1:$I$89,3,0)*0.475*44/12</f>
        <v>151.99335193322636</v>
      </c>
      <c r="AA98" s="21">
        <f>EXP(-LN(2)/25)*AA97+(1-EXP(-LN(2)/25))/(LN(2)/25)*Calculateur!V98*Calculateur!X98*VLOOKUP('Données projet'!$B$9,Paramètres!$A$1:$I$89,3,0)*0.475*44/12</f>
        <v>31.326172921649217</v>
      </c>
      <c r="AB98" s="21">
        <f>EXP(-LN(2)/2)*AB97+(1-EXP(-LN(2)/2))/(LN(2)/2)*V98*Y98*VLOOKUP('Données projet'!$B$9,Paramètres!$A$1:$I$89,3,0)*0.475*44/12</f>
        <v>13.101636883284705</v>
      </c>
      <c r="AC98" s="22">
        <f t="shared" si="57"/>
        <v>196.42116173816027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373.47758082856359</v>
      </c>
      <c r="AO98" s="59">
        <f t="shared" si="90"/>
        <v>277.24895424120166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142.78622562596502</v>
      </c>
      <c r="AV98" s="21">
        <f>EXP(-LN(2)/25)*AV97+(1-EXP(-LN(2)/25))/(LN(2)/25)*Calculateur!AQ98*Calculateur!AS98*VLOOKUP('Données projet'!$B$10,Paramètres!$A$1:$I$89,3,0)*0.475*44/12</f>
        <v>23.721354226913714</v>
      </c>
      <c r="AW98" s="21">
        <f>EXP(-LN(2)/2)*AW97+(1-EXP(-LN(2)/2))/(LN(2)/2)*AQ98*AT98*VLOOKUP('Données projet'!$B$10,Paramètres!$A$1:$I$89,3,0)*0.475*44/12</f>
        <v>0.17612708306074287</v>
      </c>
      <c r="AX98" s="21">
        <f t="shared" si="60"/>
        <v>166.68370693593948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-6.8212102632969618E-13</v>
      </c>
      <c r="BE98" s="13">
        <f>BD98*VLOOKUP('Données projet'!$B$11,Paramètres!$A$1:$I$89,3,0)*VLOOKUP('Données projet'!$B$11,Paramètres!$A$1:$I$89,5,0)</f>
        <v>-4.0790837374515837E-13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460.88622650237176</v>
      </c>
      <c r="BJ98" s="59">
        <f t="shared" si="92"/>
        <v>396.05161661639647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166.8616549415228</v>
      </c>
      <c r="BQ98" s="21">
        <f>EXP(-LN(2)/25)*BQ97+(1-EXP(-LN(2)/25))/(LN(2)/25)*Calculateur!BL98*Calculateur!BN98*VLOOKUP('Données projet'!$B$11,Paramètres!$A$1:$I$89,3,0)*0.475*44/12</f>
        <v>26.006161497529284</v>
      </c>
      <c r="BR98" s="21">
        <f>EXP(-LN(2)/2)*BR97+(1-EXP(-LN(2)/2))/(LN(2)/2)*BL98*BO98*VLOOKUP('Données projet'!$B$11,Paramètres!$A$1:$I$89,3,0)*0.475*44/12</f>
        <v>5.6864739382645267E-2</v>
      </c>
      <c r="BS98" s="22">
        <f t="shared" si="63"/>
        <v>192.92468117843472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-1.1368683772161603E-13</v>
      </c>
      <c r="BZ98" s="13">
        <f>BY98*VLOOKUP('Données projet'!$B$12,Paramètres!$A$1:$I$89,3,0)*VLOOKUP('Données projet'!$B$12,Paramètres!$A$1:$I$89,5,0)</f>
        <v>-5.1727511163335289E-14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341.60063595566282</v>
      </c>
      <c r="CE98" s="59">
        <f t="shared" si="94"/>
        <v>317.05609766344219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136.94868969670679</v>
      </c>
      <c r="CL98" s="21">
        <f>EXP(-LN(2)/25)*CL97+(1-EXP(-LN(2)/25))/(LN(2)/25)*Calculateur!CG98*Calculateur!CI98*VLOOKUP('Données projet'!$B$12,Paramètres!$A$1:$I$89,3,0)*0.475*44/12</f>
        <v>24.154225151398592</v>
      </c>
      <c r="CM98" s="21">
        <f>EXP(-LN(2)/2)*CM97+(1-EXP(-LN(2)/2))/(LN(2)/2)*CG98*CJ98*VLOOKUP('Données projet'!$B$12,Paramètres!$A$1:$I$89,3,0)*0.475*44/12</f>
        <v>4.8057770331059865E-3</v>
      </c>
      <c r="CN98" s="22">
        <f t="shared" si="66"/>
        <v>161.10772062513851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8.5265128291212022E-14</v>
      </c>
      <c r="CU98" s="17">
        <f>CT98*VLOOKUP('Données projet'!$B$13,Paramètres!$A$1:$I$89,3,0)*VLOOKUP('Données projet'!$B$13,Paramètres!$A$1:$I$89,5,0)</f>
        <v>8.9119112089974823E-14</v>
      </c>
      <c r="CV98" s="13">
        <f t="shared" si="95"/>
        <v>1.3568952080113142E-12</v>
      </c>
      <c r="CW98" s="20">
        <f t="shared" si="67"/>
        <v>2.5184749408430782E-12</v>
      </c>
      <c r="CX98" s="59">
        <f t="shared" si="68"/>
        <v>275.94744591876844</v>
      </c>
      <c r="CY98" s="59">
        <f ca="1">AVERAGE(OFFSET($CX$3,0,0,'Données projet'!$E$13+1,1))-AVERAGE(OFFSET($H$3,0,0,'Données projet'!$E$13+1,1))</f>
        <v>287.73449456153207</v>
      </c>
      <c r="CZ98" s="59">
        <f t="shared" si="96"/>
        <v>296.74833899433281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72.643215341203373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72.643215341203373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6.7350000000000021</v>
      </c>
      <c r="DO98" s="12">
        <f>IF('Données projet'!$A$166&gt;35,DO97+DN98-DW97,IF(A98&lt;'Données projet'!$A$166,$DL$205^A98,IF(A98='Données projet'!$A$166,'Données projet'!$B$166,DO97+DN98-DW97)))</f>
        <v>244.42000000000013</v>
      </c>
      <c r="DP98" s="17">
        <f>DO98*VLOOKUP('Données projet'!$B$14,Paramètres!$A$1:$I$89,3,0)*VLOOKUP('Données projet'!$B$14,Paramètres!$A$1:$I$89,5,0)</f>
        <v>247.84188000000012</v>
      </c>
      <c r="DQ98" s="13">
        <f t="shared" si="97"/>
        <v>60.123579007829761</v>
      </c>
      <c r="DR98" s="20">
        <f t="shared" si="70"/>
        <v>536.37317443863697</v>
      </c>
      <c r="DS98" s="59">
        <f t="shared" si="71"/>
        <v>812.32062035740296</v>
      </c>
      <c r="DT98" s="59">
        <f ca="1">AVERAGE(OFFSET($DS$3,0,0,'Données projet'!$E$14+1,1))-AVERAGE(OFFSET($H$3,0,0,'Données projet'!$E$14+1,1))</f>
        <v>532.34688562681413</v>
      </c>
      <c r="DU98" s="59">
        <f t="shared" si="98"/>
        <v>345.42627129678556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43.215796965095073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43.215796965095073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-5.6843418860808015E-14</v>
      </c>
      <c r="EK98" s="17">
        <f>EJ98*VLOOKUP('Données projet'!$B$15,Paramètres!$A$1:$I$89,3,0)*VLOOKUP('Données projet'!$B$15,Paramètres!$A$1:$I$89,5,0)</f>
        <v>-5.1431925385259088E-14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256.20286603823035</v>
      </c>
      <c r="EP98" s="59">
        <f t="shared" si="100"/>
        <v>364.83827155069434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18.703518951017063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18.703518951017063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6.7350000000000021</v>
      </c>
      <c r="FE98" s="12">
        <f>IF('Données projet'!$A$218&gt;35,FE97+FD98-FM97,IF(A98&lt;'Données projet'!$A$218,$FB$205^A98,IF(A98='Données projet'!$A$218,'Données projet'!$B$218,FE97+FD98-FM97)))</f>
        <v>244.42000000000013</v>
      </c>
      <c r="FF98" s="17">
        <f>FE98*VLOOKUP('Données projet'!$B$16,Paramètres!$A$1:$I$89,3,0)*VLOOKUP('Données projet'!$B$16,Paramètres!$A$1:$I$89,5,0)</f>
        <v>163.9569360000001</v>
      </c>
      <c r="FG98" s="13">
        <f t="shared" si="101"/>
        <v>41.733740432733732</v>
      </c>
      <c r="FH98" s="20">
        <f t="shared" si="76"/>
        <v>358.24459478701141</v>
      </c>
      <c r="FI98" s="59">
        <f t="shared" si="77"/>
        <v>634.19204070577734</v>
      </c>
      <c r="FJ98" s="59">
        <f ca="1">AVERAGE(OFFSET($FI$3,0,0,'Données projet'!$E$16+1,1))-AVERAGE(OFFSET($H$3,0,0,'Données projet'!$E$16+1,1))</f>
        <v>380.73695370216979</v>
      </c>
      <c r="FK98" s="59">
        <f t="shared" si="102"/>
        <v>249.34467160415713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35.23749598692369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35.23749598692369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6.7350000000000021</v>
      </c>
      <c r="FZ98" s="12">
        <f>IF('Données projet'!$A$244&gt;35,FZ97+FY98-GH97,IF(A98&lt;'Données projet'!$A$244,$FW$205^A98,IF(A98='Données projet'!$A$244,'Données projet'!$B$244,FZ97+FY98-GH97)))</f>
        <v>244.42000000000013</v>
      </c>
      <c r="GA98" s="17">
        <f>FZ98*VLOOKUP('Données projet'!$B$17,Paramètres!$A$1:$I$89,3,0)*VLOOKUP('Données projet'!$B$17,Paramètres!$A$1:$I$89,5,0)</f>
        <v>236.40302400000016</v>
      </c>
      <c r="GB98" s="13">
        <f t="shared" si="103"/>
        <v>57.664944725205245</v>
      </c>
      <c r="GC98" s="20">
        <f t="shared" si="79"/>
        <v>512.1683788630661</v>
      </c>
      <c r="GD98" s="59">
        <f t="shared" si="80"/>
        <v>788.11582478183209</v>
      </c>
      <c r="GE98" s="59">
        <f ca="1">AVERAGE(OFFSET($GD$3,0,0,'Données projet'!$E$17+1,1))-AVERAGE(OFFSET($H$3,0,0,'Données projet'!$E$17+1,1))</f>
        <v>511.7458522930001</v>
      </c>
      <c r="GF98" s="59">
        <f t="shared" si="104"/>
        <v>332.37317679966122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41.221221720552244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41.221221720552244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-1.7053025658242404E-13</v>
      </c>
      <c r="GV98" s="17">
        <f>GU98*VLOOKUP('Données projet'!$B$18,Paramètres!$A$1:$I$89,3,0)*VLOOKUP('Données projet'!$B$18,Paramètres!$A$1:$I$89,5,0)</f>
        <v>-1.4897523215040567E-13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348.77506423101278</v>
      </c>
      <c r="HA98" s="59">
        <f t="shared" si="106"/>
        <v>336.13747591329548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99.263222131097763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99.263222131097763</v>
      </c>
    </row>
    <row r="99" spans="1:218" x14ac:dyDescent="0.2">
      <c r="A99" s="10">
        <f t="shared" si="85"/>
        <v>96</v>
      </c>
      <c r="B99" s="71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5">
        <f t="shared" si="56"/>
        <v>183.33333333333334</v>
      </c>
      <c r="I99" s="6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8.7210000000000036</v>
      </c>
      <c r="N99" s="13">
        <f>IF('Données projet'!$A$36&gt;35,N98+M99-V98,IF(A99&lt;'Données projet'!$A$36,$K$205^A99,IF(A99='Données projet'!$A$36,'Données projet'!$B$36,N98+M99-V98)))</f>
        <v>278.19099999999952</v>
      </c>
      <c r="O99" s="13">
        <f>N99*VLOOKUP('Données projet'!$B$9,Paramètres!$A$1:$I$89,3,0)*VLOOKUP('Données projet'!$B$9,Paramètres!$A$1:$I$89,5,0)</f>
        <v>130.19338799999977</v>
      </c>
      <c r="P99" s="13">
        <f t="shared" si="87"/>
        <v>34.041041754414536</v>
      </c>
      <c r="Q99" s="20">
        <f t="shared" ref="Q99:Q130" si="107">(O99+P99)*0.475*44/12</f>
        <v>286.04163182227154</v>
      </c>
      <c r="R99" s="59">
        <f t="shared" si="55"/>
        <v>562.29068401865902</v>
      </c>
      <c r="S99" s="59">
        <f ca="1">AVERAGE(OFFSET($R$3,0,0,'Données projet'!$E$9+1,1))-AVERAGE(OFFSET($H$3,0,0,'Données projet'!$E$9+1,1))</f>
        <v>387.50901594883317</v>
      </c>
      <c r="T99" s="59">
        <f t="shared" si="88"/>
        <v>361.3623790401972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149.01285500860644</v>
      </c>
      <c r="AA99" s="21">
        <f>EXP(-LN(2)/25)*AA98+(1-EXP(-LN(2)/25))/(LN(2)/25)*Calculateur!V99*Calculateur!X99*VLOOKUP('Données projet'!$B$9,Paramètres!$A$1:$I$89,3,0)*0.475*44/12</f>
        <v>30.469557075734883</v>
      </c>
      <c r="AB99" s="21">
        <f>EXP(-LN(2)/2)*AB98+(1-EXP(-LN(2)/2))/(LN(2)/2)*V99*Y99*VLOOKUP('Données projet'!$B$9,Paramètres!$A$1:$I$89,3,0)*0.475*44/12</f>
        <v>9.2642562848143992</v>
      </c>
      <c r="AC99" s="22">
        <f t="shared" si="57"/>
        <v>188.74666836915571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373.47758082856359</v>
      </c>
      <c r="AO99" s="59">
        <f t="shared" si="90"/>
        <v>277.24895424120166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139.98627483243794</v>
      </c>
      <c r="AV99" s="21">
        <f>EXP(-LN(2)/25)*AV98+(1-EXP(-LN(2)/25))/(LN(2)/25)*Calculateur!AQ99*Calculateur!AS99*VLOOKUP('Données projet'!$B$10,Paramètres!$A$1:$I$89,3,0)*0.475*44/12</f>
        <v>23.072692548126955</v>
      </c>
      <c r="AW99" s="21">
        <f>EXP(-LN(2)/2)*AW98+(1-EXP(-LN(2)/2))/(LN(2)/2)*AQ99*AT99*VLOOKUP('Données projet'!$B$10,Paramètres!$A$1:$I$89,3,0)*0.475*44/12</f>
        <v>0.1245406547828576</v>
      </c>
      <c r="AX99" s="21">
        <f t="shared" si="60"/>
        <v>163.18350803534776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-6.8212102632969618E-13</v>
      </c>
      <c r="BE99" s="13">
        <f>BD99*VLOOKUP('Données projet'!$B$11,Paramètres!$A$1:$I$89,3,0)*VLOOKUP('Données projet'!$B$11,Paramètres!$A$1:$I$89,5,0)</f>
        <v>-4.0790837374515837E-13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460.88622650237176</v>
      </c>
      <c r="BJ99" s="59">
        <f t="shared" si="92"/>
        <v>396.05161661639647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163.58959966367956</v>
      </c>
      <c r="BQ99" s="21">
        <f>EXP(-LN(2)/25)*BQ98+(1-EXP(-LN(2)/25))/(LN(2)/25)*Calculateur!BL99*Calculateur!BN99*VLOOKUP('Données projet'!$B$11,Paramètres!$A$1:$I$89,3,0)*0.475*44/12</f>
        <v>25.295021643774749</v>
      </c>
      <c r="BR99" s="21">
        <f>EXP(-LN(2)/2)*BR98+(1-EXP(-LN(2)/2))/(LN(2)/2)*BL99*BO99*VLOOKUP('Données projet'!$B$11,Paramètres!$A$1:$I$89,3,0)*0.475*44/12</f>
        <v>4.0209442827874198E-2</v>
      </c>
      <c r="BS99" s="22">
        <f t="shared" si="63"/>
        <v>188.92483075028221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-1.1368683772161603E-13</v>
      </c>
      <c r="BZ99" s="13">
        <f>BY99*VLOOKUP('Données projet'!$B$12,Paramètres!$A$1:$I$89,3,0)*VLOOKUP('Données projet'!$B$12,Paramètres!$A$1:$I$89,5,0)</f>
        <v>-5.1727511163335289E-14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341.60063595566282</v>
      </c>
      <c r="CE99" s="59">
        <f t="shared" si="94"/>
        <v>317.05609766344219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134.26320942220715</v>
      </c>
      <c r="CL99" s="21">
        <f>EXP(-LN(2)/25)*CL98+(1-EXP(-LN(2)/25))/(LN(2)/25)*Calculateur!CG99*Calculateur!CI99*VLOOKUP('Données projet'!$B$12,Paramètres!$A$1:$I$89,3,0)*0.475*44/12</f>
        <v>23.493726594418103</v>
      </c>
      <c r="CM99" s="21">
        <f>EXP(-LN(2)/2)*CM98+(1-EXP(-LN(2)/2))/(LN(2)/2)*CG99*CJ99*VLOOKUP('Données projet'!$B$12,Paramètres!$A$1:$I$89,3,0)*0.475*44/12</f>
        <v>3.3981975289798104E-3</v>
      </c>
      <c r="CN99" s="22">
        <f t="shared" si="66"/>
        <v>157.76033421415423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8.5265128291212022E-14</v>
      </c>
      <c r="CU99" s="17">
        <f>CT99*VLOOKUP('Données projet'!$B$13,Paramètres!$A$1:$I$89,3,0)*VLOOKUP('Données projet'!$B$13,Paramètres!$A$1:$I$89,5,0)</f>
        <v>8.9119112089974823E-14</v>
      </c>
      <c r="CV99" s="13">
        <f t="shared" si="95"/>
        <v>1.3568952080113142E-12</v>
      </c>
      <c r="CW99" s="20">
        <f t="shared" si="67"/>
        <v>2.5184749408430782E-12</v>
      </c>
      <c r="CX99" s="59">
        <f t="shared" si="68"/>
        <v>276.24905219638993</v>
      </c>
      <c r="CY99" s="59">
        <f ca="1">AVERAGE(OFFSET($CX$3,0,0,'Données projet'!$E$13+1,1))-AVERAGE(OFFSET($H$3,0,0,'Données projet'!$E$13+1,1))</f>
        <v>287.73449456153207</v>
      </c>
      <c r="CZ99" s="59">
        <f t="shared" si="96"/>
        <v>296.74833899433281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71.218726196348683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71.218726196348683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6.7350000000000021</v>
      </c>
      <c r="DO99" s="12">
        <f>IF('Données projet'!$A$166&gt;35,DO98+DN99-DW98,IF(A99&lt;'Données projet'!$A$166,$DL$205^A99,IF(A99='Données projet'!$A$166,'Données projet'!$B$166,DO98+DN99-DW98)))</f>
        <v>251.15500000000014</v>
      </c>
      <c r="DP99" s="17">
        <f>DO99*VLOOKUP('Données projet'!$B$14,Paramètres!$A$1:$I$89,3,0)*VLOOKUP('Données projet'!$B$14,Paramètres!$A$1:$I$89,5,0)</f>
        <v>254.67117000000016</v>
      </c>
      <c r="DQ99" s="13">
        <f t="shared" si="97"/>
        <v>61.585121361062143</v>
      </c>
      <c r="DR99" s="20">
        <f t="shared" si="70"/>
        <v>550.81304078718358</v>
      </c>
      <c r="DS99" s="59">
        <f t="shared" si="71"/>
        <v>827.06209298357101</v>
      </c>
      <c r="DT99" s="59">
        <f ca="1">AVERAGE(OFFSET($DS$3,0,0,'Données projet'!$E$14+1,1))-AVERAGE(OFFSET($H$3,0,0,'Données projet'!$E$14+1,1))</f>
        <v>532.34688562681413</v>
      </c>
      <c r="DU99" s="59">
        <f t="shared" si="98"/>
        <v>345.42627129678556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42.368361545642969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42.368361545642969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-5.6843418860808015E-14</v>
      </c>
      <c r="EK99" s="17">
        <f>EJ99*VLOOKUP('Données projet'!$B$15,Paramètres!$A$1:$I$89,3,0)*VLOOKUP('Données projet'!$B$15,Paramètres!$A$1:$I$89,5,0)</f>
        <v>-5.1431925385259088E-14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256.20286603823035</v>
      </c>
      <c r="EP99" s="59">
        <f t="shared" si="100"/>
        <v>364.83827155069434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18.336754352407731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18.336754352407731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6.7350000000000021</v>
      </c>
      <c r="FE99" s="12">
        <f>IF('Données projet'!$A$218&gt;35,FE98+FD99-FM98,IF(A99&lt;'Données projet'!$A$218,$FB$205^A99,IF(A99='Données projet'!$A$218,'Données projet'!$B$218,FE98+FD99-FM98)))</f>
        <v>251.15500000000014</v>
      </c>
      <c r="FF99" s="17">
        <f>FE99*VLOOKUP('Données projet'!$B$16,Paramètres!$A$1:$I$89,3,0)*VLOOKUP('Données projet'!$B$16,Paramètres!$A$1:$I$89,5,0)</f>
        <v>168.47477400000011</v>
      </c>
      <c r="FG99" s="13">
        <f t="shared" si="101"/>
        <v>42.748244728848633</v>
      </c>
      <c r="FH99" s="20">
        <f t="shared" si="76"/>
        <v>367.88009095274487</v>
      </c>
      <c r="FI99" s="59">
        <f t="shared" si="77"/>
        <v>644.12914314913223</v>
      </c>
      <c r="FJ99" s="59">
        <f ca="1">AVERAGE(OFFSET($FI$3,0,0,'Données projet'!$E$16+1,1))-AVERAGE(OFFSET($H$3,0,0,'Données projet'!$E$16+1,1))</f>
        <v>380.73695370216979</v>
      </c>
      <c r="FK99" s="59">
        <f t="shared" si="102"/>
        <v>249.34467160415713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34.546510183370437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34.546510183370437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6.7350000000000021</v>
      </c>
      <c r="FZ99" s="12">
        <f>IF('Données projet'!$A$244&gt;35,FZ98+FY99-GH98,IF(A99&lt;'Données projet'!$A$244,$FW$205^A99,IF(A99='Données projet'!$A$244,'Données projet'!$B$244,FZ98+FY99-GH98)))</f>
        <v>251.15500000000014</v>
      </c>
      <c r="GA99" s="17">
        <f>FZ99*VLOOKUP('Données projet'!$B$17,Paramètres!$A$1:$I$89,3,0)*VLOOKUP('Données projet'!$B$17,Paramètres!$A$1:$I$89,5,0)</f>
        <v>242.91711600000016</v>
      </c>
      <c r="GB99" s="13">
        <f t="shared" si="103"/>
        <v>59.066720208359968</v>
      </c>
      <c r="GC99" s="20">
        <f t="shared" si="79"/>
        <v>525.9551813962272</v>
      </c>
      <c r="GD99" s="59">
        <f t="shared" si="80"/>
        <v>802.20423359261463</v>
      </c>
      <c r="GE99" s="59">
        <f ca="1">AVERAGE(OFFSET($GD$3,0,0,'Données projet'!$E$17+1,1))-AVERAGE(OFFSET($H$3,0,0,'Données projet'!$E$17+1,1))</f>
        <v>511.7458522930001</v>
      </c>
      <c r="GF99" s="59">
        <f t="shared" si="104"/>
        <v>332.37317679966122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40.412898705074852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40.412898705074852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-1.7053025658242404E-13</v>
      </c>
      <c r="GV99" s="17">
        <f>GU99*VLOOKUP('Données projet'!$B$18,Paramètres!$A$1:$I$89,3,0)*VLOOKUP('Données projet'!$B$18,Paramètres!$A$1:$I$89,5,0)</f>
        <v>-1.4897523215040567E-13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348.77506423101278</v>
      </c>
      <c r="HA99" s="59">
        <f t="shared" si="106"/>
        <v>336.13747591329548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97.316730889694156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97.316730889694156</v>
      </c>
    </row>
    <row r="100" spans="1:218" x14ac:dyDescent="0.2">
      <c r="A100" s="10">
        <f t="shared" si="85"/>
        <v>97</v>
      </c>
      <c r="B100" s="71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5">
        <f t="shared" si="56"/>
        <v>183.33333333333334</v>
      </c>
      <c r="I100" s="6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8.7210000000000036</v>
      </c>
      <c r="N100" s="13">
        <f>IF('Données projet'!$A$36&gt;35,N99+M100-V99,IF(A100&lt;'Données projet'!$A$36,$K$205^A100,IF(A100='Données projet'!$A$36,'Données projet'!$B$36,N99+M100-V99)))</f>
        <v>286.91199999999952</v>
      </c>
      <c r="O100" s="13">
        <f>N100*VLOOKUP('Données projet'!$B$9,Paramètres!$A$1:$I$89,3,0)*VLOOKUP('Données projet'!$B$9,Paramètres!$A$1:$I$89,5,0)</f>
        <v>134.27481599999979</v>
      </c>
      <c r="P100" s="13">
        <f t="shared" si="87"/>
        <v>34.982276112724144</v>
      </c>
      <c r="Q100" s="20">
        <f t="shared" si="107"/>
        <v>294.78943542966084</v>
      </c>
      <c r="R100" s="59">
        <f t="shared" si="55"/>
        <v>571.33486170904371</v>
      </c>
      <c r="S100" s="59">
        <f ca="1">AVERAGE(OFFSET($R$3,0,0,'Données projet'!$E$9+1,1))-AVERAGE(OFFSET($H$3,0,0,'Données projet'!$E$9+1,1))</f>
        <v>387.50901594883317</v>
      </c>
      <c r="T100" s="59">
        <f t="shared" si="88"/>
        <v>361.3623790401972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146.09080381075469</v>
      </c>
      <c r="AA100" s="21">
        <f>EXP(-LN(2)/25)*AA99+(1-EXP(-LN(2)/25))/(LN(2)/25)*Calculateur!V100*Calculateur!X100*VLOOKUP('Données projet'!$B$9,Paramètres!$A$1:$I$89,3,0)*0.475*44/12</f>
        <v>29.636365435174547</v>
      </c>
      <c r="AB100" s="21">
        <f>EXP(-LN(2)/2)*AB99+(1-EXP(-LN(2)/2))/(LN(2)/2)*V100*Y100*VLOOKUP('Données projet'!$B$9,Paramètres!$A$1:$I$89,3,0)*0.475*44/12</f>
        <v>6.5508184416423534</v>
      </c>
      <c r="AC100" s="22">
        <f t="shared" si="57"/>
        <v>182.2779876875716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373.47758082856359</v>
      </c>
      <c r="AO100" s="59">
        <f t="shared" si="90"/>
        <v>277.24895424120166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137.24122936617059</v>
      </c>
      <c r="AV100" s="21">
        <f>EXP(-LN(2)/25)*AV99+(1-EXP(-LN(2)/25))/(LN(2)/25)*Calculateur!AQ100*Calculateur!AS100*VLOOKUP('Données projet'!$B$10,Paramètres!$A$1:$I$89,3,0)*0.475*44/12</f>
        <v>22.441768557058257</v>
      </c>
      <c r="AW100" s="21">
        <f>EXP(-LN(2)/2)*AW99+(1-EXP(-LN(2)/2))/(LN(2)/2)*AQ100*AT100*VLOOKUP('Données projet'!$B$10,Paramètres!$A$1:$I$89,3,0)*0.475*44/12</f>
        <v>8.806354153037145E-2</v>
      </c>
      <c r="AX100" s="21">
        <f t="shared" si="60"/>
        <v>159.77106146475921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-6.8212102632969618E-13</v>
      </c>
      <c r="BE100" s="13">
        <f>BD100*VLOOKUP('Données projet'!$B$11,Paramètres!$A$1:$I$89,3,0)*VLOOKUP('Données projet'!$B$11,Paramètres!$A$1:$I$89,5,0)</f>
        <v>-4.0790837374515837E-13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460.88622650237176</v>
      </c>
      <c r="BJ100" s="59">
        <f t="shared" si="92"/>
        <v>396.05161661639647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160.38170739407818</v>
      </c>
      <c r="BQ100" s="21">
        <f>EXP(-LN(2)/25)*BQ99+(1-EXP(-LN(2)/25))/(LN(2)/25)*Calculateur!BL100*Calculateur!BN100*VLOOKUP('Données projet'!$B$11,Paramètres!$A$1:$I$89,3,0)*0.475*44/12</f>
        <v>24.603327946718352</v>
      </c>
      <c r="BR100" s="21">
        <f>EXP(-LN(2)/2)*BR99+(1-EXP(-LN(2)/2))/(LN(2)/2)*BL100*BO100*VLOOKUP('Données projet'!$B$11,Paramètres!$A$1:$I$89,3,0)*0.475*44/12</f>
        <v>2.8432369691322634E-2</v>
      </c>
      <c r="BS100" s="22">
        <f t="shared" si="63"/>
        <v>185.01346771048784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-1.1368683772161603E-13</v>
      </c>
      <c r="BZ100" s="13">
        <f>BY100*VLOOKUP('Données projet'!$B$12,Paramètres!$A$1:$I$89,3,0)*VLOOKUP('Données projet'!$B$12,Paramètres!$A$1:$I$89,5,0)</f>
        <v>-5.1727511163335289E-14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341.60063595566282</v>
      </c>
      <c r="CE100" s="59">
        <f t="shared" si="94"/>
        <v>317.05609766344219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131.63038977790922</v>
      </c>
      <c r="CL100" s="21">
        <f>EXP(-LN(2)/25)*CL99+(1-EXP(-LN(2)/25))/(LN(2)/25)*Calculateur!CG100*Calculateur!CI100*VLOOKUP('Données projet'!$B$12,Paramètres!$A$1:$I$89,3,0)*0.475*44/12</f>
        <v>22.851289405212356</v>
      </c>
      <c r="CM100" s="21">
        <f>EXP(-LN(2)/2)*CM99+(1-EXP(-LN(2)/2))/(LN(2)/2)*CG100*CJ100*VLOOKUP('Données projet'!$B$12,Paramètres!$A$1:$I$89,3,0)*0.475*44/12</f>
        <v>2.4028885165529932E-3</v>
      </c>
      <c r="CN100" s="22">
        <f t="shared" si="66"/>
        <v>154.48408207163811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8.5265128291212022E-14</v>
      </c>
      <c r="CU100" s="17">
        <f>CT100*VLOOKUP('Données projet'!$B$13,Paramètres!$A$1:$I$89,3,0)*VLOOKUP('Données projet'!$B$13,Paramètres!$A$1:$I$89,5,0)</f>
        <v>8.9119112089974823E-14</v>
      </c>
      <c r="CV100" s="13">
        <f t="shared" si="95"/>
        <v>1.3568952080113142E-12</v>
      </c>
      <c r="CW100" s="20">
        <f t="shared" si="67"/>
        <v>2.5184749408430782E-12</v>
      </c>
      <c r="CX100" s="59">
        <f t="shared" si="68"/>
        <v>276.54542627938531</v>
      </c>
      <c r="CY100" s="59">
        <f ca="1">AVERAGE(OFFSET($CX$3,0,0,'Données projet'!$E$13+1,1))-AVERAGE(OFFSET($H$3,0,0,'Données projet'!$E$13+1,1))</f>
        <v>287.73449456153207</v>
      </c>
      <c r="CZ100" s="59">
        <f t="shared" si="96"/>
        <v>296.74833899433281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69.822170414772003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69.822170414772003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6.7350000000000021</v>
      </c>
      <c r="DO100" s="12">
        <f>IF('Données projet'!$A$166&gt;35,DO99+DN100-DW99,IF(A100&lt;'Données projet'!$A$166,$DL$205^A100,IF(A100='Données projet'!$A$166,'Données projet'!$B$166,DO99+DN100-DW99)))</f>
        <v>257.89000000000016</v>
      </c>
      <c r="DP100" s="17">
        <f>DO100*VLOOKUP('Données projet'!$B$14,Paramètres!$A$1:$I$89,3,0)*VLOOKUP('Données projet'!$B$14,Paramètres!$A$1:$I$89,5,0)</f>
        <v>261.5004600000002</v>
      </c>
      <c r="DQ100" s="13">
        <f t="shared" si="97"/>
        <v>63.042108198698358</v>
      </c>
      <c r="DR100" s="20">
        <f t="shared" si="70"/>
        <v>565.2449729460667</v>
      </c>
      <c r="DS100" s="59">
        <f t="shared" si="71"/>
        <v>841.79039922544951</v>
      </c>
      <c r="DT100" s="59">
        <f ca="1">AVERAGE(OFFSET($DS$3,0,0,'Données projet'!$E$14+1,1))-AVERAGE(OFFSET($H$3,0,0,'Données projet'!$E$14+1,1))</f>
        <v>532.34688562681413</v>
      </c>
      <c r="DU100" s="59">
        <f t="shared" si="98"/>
        <v>345.42627129678556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41.537543817881755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41.537543817881755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-5.6843418860808015E-14</v>
      </c>
      <c r="EK100" s="17">
        <f>EJ100*VLOOKUP('Données projet'!$B$15,Paramètres!$A$1:$I$89,3,0)*VLOOKUP('Données projet'!$B$15,Paramètres!$A$1:$I$89,5,0)</f>
        <v>-5.1431925385259088E-14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256.20286603823035</v>
      </c>
      <c r="EP100" s="59">
        <f t="shared" si="100"/>
        <v>364.83827155069434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17.977181783872812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17.977181783872812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6.7350000000000021</v>
      </c>
      <c r="FE100" s="12">
        <f>IF('Données projet'!$A$218&gt;35,FE99+FD100-FM99,IF(A100&lt;'Données projet'!$A$218,$FB$205^A100,IF(A100='Données projet'!$A$218,'Données projet'!$B$218,FE99+FD100-FM99)))</f>
        <v>257.89000000000016</v>
      </c>
      <c r="FF100" s="17">
        <f>FE100*VLOOKUP('Données projet'!$B$16,Paramètres!$A$1:$I$89,3,0)*VLOOKUP('Données projet'!$B$16,Paramètres!$A$1:$I$89,5,0)</f>
        <v>172.99261200000009</v>
      </c>
      <c r="FG100" s="13">
        <f t="shared" si="101"/>
        <v>43.759586892759081</v>
      </c>
      <c r="FH100" s="20">
        <f t="shared" si="76"/>
        <v>377.5100797382222</v>
      </c>
      <c r="FI100" s="59">
        <f t="shared" si="77"/>
        <v>654.05550601760501</v>
      </c>
      <c r="FJ100" s="59">
        <f ca="1">AVERAGE(OFFSET($FI$3,0,0,'Données projet'!$E$16+1,1))-AVERAGE(OFFSET($H$3,0,0,'Données projet'!$E$16+1,1))</f>
        <v>380.73695370216979</v>
      </c>
      <c r="FK100" s="59">
        <f t="shared" si="102"/>
        <v>249.34467160415713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33.86907418996514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33.86907418996514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6.7350000000000021</v>
      </c>
      <c r="FZ100" s="12">
        <f>IF('Données projet'!$A$244&gt;35,FZ99+FY100-GH99,IF(A100&lt;'Données projet'!$A$244,$FW$205^A100,IF(A100='Données projet'!$A$244,'Données projet'!$B$244,FZ99+FY100-GH99)))</f>
        <v>257.89000000000016</v>
      </c>
      <c r="GA100" s="17">
        <f>FZ100*VLOOKUP('Données projet'!$B$17,Paramètres!$A$1:$I$89,3,0)*VLOOKUP('Données projet'!$B$17,Paramètres!$A$1:$I$89,5,0)</f>
        <v>249.43120800000017</v>
      </c>
      <c r="GB100" s="13">
        <f t="shared" si="103"/>
        <v>60.464126464675857</v>
      </c>
      <c r="GC100" s="20">
        <f t="shared" si="79"/>
        <v>539.73437419264405</v>
      </c>
      <c r="GD100" s="59">
        <f t="shared" si="80"/>
        <v>816.27980047202686</v>
      </c>
      <c r="GE100" s="59">
        <f ca="1">AVERAGE(OFFSET($GD$3,0,0,'Données projet'!$E$17+1,1))-AVERAGE(OFFSET($H$3,0,0,'Données projet'!$E$17+1,1))</f>
        <v>511.7458522930001</v>
      </c>
      <c r="GF100" s="59">
        <f t="shared" si="104"/>
        <v>332.37317679966122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39.620426410902617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39.620426410902617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-1.7053025658242404E-13</v>
      </c>
      <c r="GV100" s="17">
        <f>GU100*VLOOKUP('Données projet'!$B$18,Paramètres!$A$1:$I$89,3,0)*VLOOKUP('Données projet'!$B$18,Paramètres!$A$1:$I$89,5,0)</f>
        <v>-1.4897523215040567E-13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348.77506423101278</v>
      </c>
      <c r="HA100" s="59">
        <f t="shared" si="106"/>
        <v>336.13747591329548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95.408409154292045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95.408409154292045</v>
      </c>
    </row>
    <row r="101" spans="1:218" x14ac:dyDescent="0.2">
      <c r="A101" s="10">
        <f t="shared" si="85"/>
        <v>98</v>
      </c>
      <c r="B101" s="71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5">
        <f t="shared" si="56"/>
        <v>183.33333333333334</v>
      </c>
      <c r="I101" s="6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8.7210000000000036</v>
      </c>
      <c r="N101" s="13">
        <f>IF('Données projet'!$A$36&gt;35,N100+M101-V100,IF(A101&lt;'Données projet'!$A$36,$K$205^A101,IF(A101='Données projet'!$A$36,'Données projet'!$B$36,N100+M101-V100)))</f>
        <v>295.63299999999953</v>
      </c>
      <c r="O101" s="13">
        <f>N101*VLOOKUP('Données projet'!$B$9,Paramètres!$A$1:$I$89,3,0)*VLOOKUP('Données projet'!$B$9,Paramètres!$A$1:$I$89,5,0)</f>
        <v>138.35624399999978</v>
      </c>
      <c r="P101" s="13">
        <f t="shared" si="87"/>
        <v>35.920185629681562</v>
      </c>
      <c r="Q101" s="20">
        <f t="shared" si="107"/>
        <v>303.53144827169496</v>
      </c>
      <c r="R101" s="59">
        <f t="shared" si="55"/>
        <v>580.36810720632639</v>
      </c>
      <c r="S101" s="59">
        <f ca="1">AVERAGE(OFFSET($R$3,0,0,'Données projet'!$E$9+1,1))-AVERAGE(OFFSET($H$3,0,0,'Données projet'!$E$9+1,1))</f>
        <v>387.50901594883317</v>
      </c>
      <c r="T101" s="59">
        <f t="shared" si="88"/>
        <v>361.3623790401972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143.22605225461757</v>
      </c>
      <c r="AA101" s="21">
        <f>EXP(-LN(2)/25)*AA100+(1-EXP(-LN(2)/25))/(LN(2)/25)*Calculateur!V101*Calculateur!X101*VLOOKUP('Données projet'!$B$9,Paramètres!$A$1:$I$89,3,0)*0.475*44/12</f>
        <v>28.825957463840975</v>
      </c>
      <c r="AB101" s="21">
        <f>EXP(-LN(2)/2)*AB100+(1-EXP(-LN(2)/2))/(LN(2)/2)*V101*Y101*VLOOKUP('Données projet'!$B$9,Paramètres!$A$1:$I$89,3,0)*0.475*44/12</f>
        <v>4.6321281424072005</v>
      </c>
      <c r="AC101" s="22">
        <f t="shared" si="57"/>
        <v>176.68413786086575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373.47758082856359</v>
      </c>
      <c r="AO101" s="59">
        <f t="shared" si="90"/>
        <v>277.24895424120166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134.55001256718433</v>
      </c>
      <c r="AV101" s="21">
        <f>EXP(-LN(2)/25)*AV100+(1-EXP(-LN(2)/25))/(LN(2)/25)*Calculateur!AQ101*Calculateur!AS101*VLOOKUP('Données projet'!$B$10,Paramètres!$A$1:$I$89,3,0)*0.475*44/12</f>
        <v>21.828097215704183</v>
      </c>
      <c r="AW101" s="21">
        <f>EXP(-LN(2)/2)*AW100+(1-EXP(-LN(2)/2))/(LN(2)/2)*AQ101*AT101*VLOOKUP('Données projet'!$B$10,Paramètres!$A$1:$I$89,3,0)*0.475*44/12</f>
        <v>6.2270327391428813E-2</v>
      </c>
      <c r="AX101" s="21">
        <f t="shared" si="60"/>
        <v>156.44038011027993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-6.8212102632969618E-13</v>
      </c>
      <c r="BE101" s="13">
        <f>BD101*VLOOKUP('Données projet'!$B$11,Paramètres!$A$1:$I$89,3,0)*VLOOKUP('Données projet'!$B$11,Paramètres!$A$1:$I$89,5,0)</f>
        <v>-4.0790837374515837E-13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460.88622650237176</v>
      </c>
      <c r="BJ101" s="59">
        <f t="shared" si="92"/>
        <v>396.05161661639647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157.23671993526258</v>
      </c>
      <c r="BQ101" s="21">
        <f>EXP(-LN(2)/25)*BQ100+(1-EXP(-LN(2)/25))/(LN(2)/25)*Calculateur!BL101*Calculateur!BN101*VLOOKUP('Données projet'!$B$11,Paramètres!$A$1:$I$89,3,0)*0.475*44/12</f>
        <v>23.930548650182555</v>
      </c>
      <c r="BR101" s="21">
        <f>EXP(-LN(2)/2)*BR100+(1-EXP(-LN(2)/2))/(LN(2)/2)*BL101*BO101*VLOOKUP('Données projet'!$B$11,Paramètres!$A$1:$I$89,3,0)*0.475*44/12</f>
        <v>2.0104721413937099E-2</v>
      </c>
      <c r="BS101" s="22">
        <f t="shared" si="63"/>
        <v>181.18737330685906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-1.1368683772161603E-13</v>
      </c>
      <c r="BZ101" s="13">
        <f>BY101*VLOOKUP('Données projet'!$B$12,Paramètres!$A$1:$I$89,3,0)*VLOOKUP('Données projet'!$B$12,Paramètres!$A$1:$I$89,5,0)</f>
        <v>-5.1727511163335289E-14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341.60063595566282</v>
      </c>
      <c r="CE101" s="59">
        <f t="shared" si="94"/>
        <v>317.05609766344219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129.04919812097452</v>
      </c>
      <c r="CL101" s="21">
        <f>EXP(-LN(2)/25)*CL100+(1-EXP(-LN(2)/25))/(LN(2)/25)*Calculateur!CG101*Calculateur!CI101*VLOOKUP('Données projet'!$B$12,Paramètres!$A$1:$I$89,3,0)*0.475*44/12</f>
        <v>22.226419694729742</v>
      </c>
      <c r="CM101" s="21">
        <f>EXP(-LN(2)/2)*CM100+(1-EXP(-LN(2)/2))/(LN(2)/2)*CG101*CJ101*VLOOKUP('Données projet'!$B$12,Paramètres!$A$1:$I$89,3,0)*0.475*44/12</f>
        <v>1.6990987644899052E-3</v>
      </c>
      <c r="CN101" s="22">
        <f t="shared" si="66"/>
        <v>151.27731691446874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8.5265128291212022E-14</v>
      </c>
      <c r="CU101" s="17">
        <f>CT101*VLOOKUP('Données projet'!$B$13,Paramètres!$A$1:$I$89,3,0)*VLOOKUP('Données projet'!$B$13,Paramètres!$A$1:$I$89,5,0)</f>
        <v>8.9119112089974823E-14</v>
      </c>
      <c r="CV101" s="13">
        <f t="shared" si="95"/>
        <v>1.3568952080113142E-12</v>
      </c>
      <c r="CW101" s="20">
        <f t="shared" si="67"/>
        <v>2.5184749408430782E-12</v>
      </c>
      <c r="CX101" s="59">
        <f t="shared" si="68"/>
        <v>276.83665893463387</v>
      </c>
      <c r="CY101" s="59">
        <f ca="1">AVERAGE(OFFSET($CX$3,0,0,'Données projet'!$E$13+1,1))-AVERAGE(OFFSET($H$3,0,0,'Données projet'!$E$13+1,1))</f>
        <v>287.73449456153207</v>
      </c>
      <c r="CZ101" s="59">
        <f t="shared" si="96"/>
        <v>296.74833899433281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68.453000240257126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68.453000240257126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6.7350000000000021</v>
      </c>
      <c r="DO101" s="12">
        <f>IF('Données projet'!$A$166&gt;35,DO100+DN101-DW100,IF(A101&lt;'Données projet'!$A$166,$DL$205^A101,IF(A101='Données projet'!$A$166,'Données projet'!$B$166,DO100+DN101-DW100)))</f>
        <v>264.62500000000017</v>
      </c>
      <c r="DP101" s="17">
        <f>DO101*VLOOKUP('Données projet'!$B$14,Paramètres!$A$1:$I$89,3,0)*VLOOKUP('Données projet'!$B$14,Paramètres!$A$1:$I$89,5,0)</f>
        <v>268.32975000000016</v>
      </c>
      <c r="DQ101" s="13">
        <f t="shared" si="97"/>
        <v>64.494672168664735</v>
      </c>
      <c r="DR101" s="20">
        <f t="shared" si="70"/>
        <v>579.66920194375791</v>
      </c>
      <c r="DS101" s="59">
        <f t="shared" si="71"/>
        <v>856.50586087838929</v>
      </c>
      <c r="DT101" s="59">
        <f ca="1">AVERAGE(OFFSET($DS$3,0,0,'Données projet'!$E$14+1,1))-AVERAGE(OFFSET($H$3,0,0,'Données projet'!$E$14+1,1))</f>
        <v>532.34688562681413</v>
      </c>
      <c r="DU101" s="59">
        <f t="shared" si="98"/>
        <v>345.42627129678556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40.723017919013159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40.723017919013159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-5.6843418860808015E-14</v>
      </c>
      <c r="EK101" s="17">
        <f>EJ101*VLOOKUP('Données projet'!$B$15,Paramètres!$A$1:$I$89,3,0)*VLOOKUP('Données projet'!$B$15,Paramètres!$A$1:$I$89,5,0)</f>
        <v>-5.1431925385259088E-14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256.20286603823035</v>
      </c>
      <c r="EP101" s="59">
        <f t="shared" si="100"/>
        <v>364.83827155069434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17.62466021408925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17.62466021408925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6.7350000000000021</v>
      </c>
      <c r="FE101" s="12">
        <f>IF('Données projet'!$A$218&gt;35,FE100+FD101-FM100,IF(A101&lt;'Données projet'!$A$218,$FB$205^A101,IF(A101='Données projet'!$A$218,'Données projet'!$B$218,FE100+FD101-FM100)))</f>
        <v>264.62500000000017</v>
      </c>
      <c r="FF101" s="17">
        <f>FE101*VLOOKUP('Données projet'!$B$16,Paramètres!$A$1:$I$89,3,0)*VLOOKUP('Données projet'!$B$16,Paramètres!$A$1:$I$89,5,0)</f>
        <v>177.51045000000013</v>
      </c>
      <c r="FG101" s="13">
        <f t="shared" si="101"/>
        <v>44.767858999724396</v>
      </c>
      <c r="FH101" s="20">
        <f t="shared" si="76"/>
        <v>387.13472150785356</v>
      </c>
      <c r="FI101" s="59">
        <f t="shared" si="77"/>
        <v>663.97138044248493</v>
      </c>
      <c r="FJ101" s="59">
        <f ca="1">AVERAGE(OFFSET($FI$3,0,0,'Données projet'!$E$16+1,1))-AVERAGE(OFFSET($H$3,0,0,'Données projet'!$E$16+1,1))</f>
        <v>380.73695370216979</v>
      </c>
      <c r="FK101" s="59">
        <f t="shared" si="102"/>
        <v>249.34467160415713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33.20492230319536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33.20492230319536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6.7350000000000021</v>
      </c>
      <c r="FZ101" s="12">
        <f>IF('Données projet'!$A$244&gt;35,FZ100+FY101-GH100,IF(A101&lt;'Données projet'!$A$244,$FW$205^A101,IF(A101='Données projet'!$A$244,'Données projet'!$B$244,FZ100+FY101-GH100)))</f>
        <v>264.62500000000017</v>
      </c>
      <c r="GA101" s="17">
        <f>FZ101*VLOOKUP('Données projet'!$B$17,Paramètres!$A$1:$I$89,3,0)*VLOOKUP('Données projet'!$B$17,Paramètres!$A$1:$I$89,5,0)</f>
        <v>255.94530000000017</v>
      </c>
      <c r="GB101" s="13">
        <f t="shared" si="103"/>
        <v>61.857290717705951</v>
      </c>
      <c r="GC101" s="20">
        <f t="shared" si="79"/>
        <v>553.50617883333825</v>
      </c>
      <c r="GD101" s="59">
        <f t="shared" si="80"/>
        <v>830.34283776796963</v>
      </c>
      <c r="GE101" s="59">
        <f ca="1">AVERAGE(OFFSET($GD$3,0,0,'Données projet'!$E$17+1,1))-AVERAGE(OFFSET($H$3,0,0,'Données projet'!$E$17+1,1))</f>
        <v>511.7458522930001</v>
      </c>
      <c r="GF101" s="59">
        <f t="shared" si="104"/>
        <v>332.37317679966122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38.843494015058724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38.843494015058724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-1.7053025658242404E-13</v>
      </c>
      <c r="GV101" s="17">
        <f>GU101*VLOOKUP('Données projet'!$B$18,Paramètres!$A$1:$I$89,3,0)*VLOOKUP('Données projet'!$B$18,Paramètres!$A$1:$I$89,5,0)</f>
        <v>-1.4897523215040567E-13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348.77506423101278</v>
      </c>
      <c r="HA101" s="59">
        <f t="shared" si="106"/>
        <v>336.13747591329548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93.53750844415984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93.53750844415984</v>
      </c>
    </row>
    <row r="102" spans="1:218" x14ac:dyDescent="0.2">
      <c r="A102" s="10">
        <f t="shared" si="85"/>
        <v>99</v>
      </c>
      <c r="B102" s="71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5">
        <f t="shared" si="56"/>
        <v>183.33333333333334</v>
      </c>
      <c r="I102" s="6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8.7210000000000036</v>
      </c>
      <c r="N102" s="13">
        <f>IF('Données projet'!$A$36&gt;35,N101+M102-V101,IF(A102&lt;'Données projet'!$A$36,$K$205^A102,IF(A102='Données projet'!$A$36,'Données projet'!$B$36,N101+M102-V101)))</f>
        <v>304.35399999999953</v>
      </c>
      <c r="O102" s="13">
        <f>N102*VLOOKUP('Données projet'!$B$9,Paramètres!$A$1:$I$89,3,0)*VLOOKUP('Données projet'!$B$9,Paramètres!$A$1:$I$89,5,0)</f>
        <v>142.43767199999976</v>
      </c>
      <c r="P102" s="13">
        <f t="shared" si="87"/>
        <v>36.854879647142347</v>
      </c>
      <c r="Q102" s="20">
        <f t="shared" si="107"/>
        <v>312.26786078543915</v>
      </c>
      <c r="R102" s="59">
        <f t="shared" si="55"/>
        <v>589.39070013984929</v>
      </c>
      <c r="S102" s="59">
        <f ca="1">AVERAGE(OFFSET($R$3,0,0,'Données projet'!$E$9+1,1))-AVERAGE(OFFSET($H$3,0,0,'Données projet'!$E$9+1,1))</f>
        <v>387.50901594883317</v>
      </c>
      <c r="T102" s="59">
        <f t="shared" si="88"/>
        <v>361.3623790401972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140.41747672917037</v>
      </c>
      <c r="AA102" s="21">
        <f>EXP(-LN(2)/25)*AA101+(1-EXP(-LN(2)/25))/(LN(2)/25)*Calculateur!V102*Calculateur!X102*VLOOKUP('Données projet'!$B$9,Paramètres!$A$1:$I$89,3,0)*0.475*44/12</f>
        <v>28.037710141101023</v>
      </c>
      <c r="AB102" s="21">
        <f>EXP(-LN(2)/2)*AB101+(1-EXP(-LN(2)/2))/(LN(2)/2)*V102*Y102*VLOOKUP('Données projet'!$B$9,Paramètres!$A$1:$I$89,3,0)*0.475*44/12</f>
        <v>3.2754092208211776</v>
      </c>
      <c r="AC102" s="22">
        <f t="shared" si="57"/>
        <v>171.73059609109259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373.47758082856359</v>
      </c>
      <c r="AO102" s="59">
        <f t="shared" si="90"/>
        <v>277.24895424120166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131.91156888814604</v>
      </c>
      <c r="AV102" s="21">
        <f>EXP(-LN(2)/25)*AV101+(1-EXP(-LN(2)/25))/(LN(2)/25)*Calculateur!AQ102*Calculateur!AS102*VLOOKUP('Données projet'!$B$10,Paramètres!$A$1:$I$89,3,0)*0.475*44/12</f>
        <v>21.231206749451008</v>
      </c>
      <c r="AW102" s="21">
        <f>EXP(-LN(2)/2)*AW101+(1-EXP(-LN(2)/2))/(LN(2)/2)*AQ102*AT102*VLOOKUP('Données projet'!$B$10,Paramètres!$A$1:$I$89,3,0)*0.475*44/12</f>
        <v>4.4031770765185732E-2</v>
      </c>
      <c r="AX102" s="21">
        <f t="shared" si="60"/>
        <v>153.18680740836223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-6.8212102632969618E-13</v>
      </c>
      <c r="BE102" s="13">
        <f>BD102*VLOOKUP('Données projet'!$B$11,Paramètres!$A$1:$I$89,3,0)*VLOOKUP('Données projet'!$B$11,Paramètres!$A$1:$I$89,5,0)</f>
        <v>-4.0790837374515837E-13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460.88622650237176</v>
      </c>
      <c r="BJ102" s="59">
        <f t="shared" si="92"/>
        <v>396.05161661639647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154.15340376226143</v>
      </c>
      <c r="BQ102" s="21">
        <f>EXP(-LN(2)/25)*BQ101+(1-EXP(-LN(2)/25))/(LN(2)/25)*Calculateur!BL102*Calculateur!BN102*VLOOKUP('Données projet'!$B$11,Paramètres!$A$1:$I$89,3,0)*0.475*44/12</f>
        <v>23.276166538890454</v>
      </c>
      <c r="BR102" s="21">
        <f>EXP(-LN(2)/2)*BR101+(1-EXP(-LN(2)/2))/(LN(2)/2)*BL102*BO102*VLOOKUP('Données projet'!$B$11,Paramètres!$A$1:$I$89,3,0)*0.475*44/12</f>
        <v>1.4216184845661317E-2</v>
      </c>
      <c r="BS102" s="22">
        <f t="shared" si="63"/>
        <v>177.44378648599755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-1.1368683772161603E-13</v>
      </c>
      <c r="BZ102" s="13">
        <f>BY102*VLOOKUP('Données projet'!$B$12,Paramètres!$A$1:$I$89,3,0)*VLOOKUP('Données projet'!$B$12,Paramètres!$A$1:$I$89,5,0)</f>
        <v>-5.1727511163335289E-14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341.60063595566282</v>
      </c>
      <c r="CE102" s="59">
        <f t="shared" si="94"/>
        <v>317.05609766344219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126.51862205806088</v>
      </c>
      <c r="CL102" s="21">
        <f>EXP(-LN(2)/25)*CL101+(1-EXP(-LN(2)/25))/(LN(2)/25)*Calculateur!CG102*Calculateur!CI102*VLOOKUP('Données projet'!$B$12,Paramètres!$A$1:$I$89,3,0)*0.475*44/12</f>
        <v>21.618637079340743</v>
      </c>
      <c r="CM102" s="21">
        <f>EXP(-LN(2)/2)*CM101+(1-EXP(-LN(2)/2))/(LN(2)/2)*CG102*CJ102*VLOOKUP('Données projet'!$B$12,Paramètres!$A$1:$I$89,3,0)*0.475*44/12</f>
        <v>1.2014442582764966E-3</v>
      </c>
      <c r="CN102" s="22">
        <f t="shared" si="66"/>
        <v>148.1384605816599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8.5265128291212022E-14</v>
      </c>
      <c r="CU102" s="17">
        <f>CT102*VLOOKUP('Données projet'!$B$13,Paramètres!$A$1:$I$89,3,0)*VLOOKUP('Données projet'!$B$13,Paramètres!$A$1:$I$89,5,0)</f>
        <v>8.9119112089974823E-14</v>
      </c>
      <c r="CV102" s="13">
        <f t="shared" si="95"/>
        <v>1.3568952080113142E-12</v>
      </c>
      <c r="CW102" s="20">
        <f t="shared" si="67"/>
        <v>2.5184749408430782E-12</v>
      </c>
      <c r="CX102" s="59">
        <f t="shared" si="68"/>
        <v>277.12283935441263</v>
      </c>
      <c r="CY102" s="59">
        <f ca="1">AVERAGE(OFFSET($CX$3,0,0,'Données projet'!$E$13+1,1))-AVERAGE(OFFSET($H$3,0,0,'Données projet'!$E$13+1,1))</f>
        <v>287.73449456153207</v>
      </c>
      <c r="CZ102" s="59">
        <f t="shared" si="96"/>
        <v>296.74833899433281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67.110678657753141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67.110678657753141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6.7350000000000021</v>
      </c>
      <c r="DO102" s="12">
        <f>IF('Données projet'!$A$166&gt;35,DO101+DN102-DW101,IF(A102&lt;'Données projet'!$A$166,$DL$205^A102,IF(A102='Données projet'!$A$166,'Données projet'!$B$166,DO101+DN102-DW101)))</f>
        <v>271.36000000000018</v>
      </c>
      <c r="DP102" s="17">
        <f>DO102*VLOOKUP('Données projet'!$B$14,Paramètres!$A$1:$I$89,3,0)*VLOOKUP('Données projet'!$B$14,Paramètres!$A$1:$I$89,5,0)</f>
        <v>275.15904000000023</v>
      </c>
      <c r="DQ102" s="13">
        <f t="shared" si="97"/>
        <v>65.942938782092412</v>
      </c>
      <c r="DR102" s="20">
        <f t="shared" si="70"/>
        <v>594.0859463788114</v>
      </c>
      <c r="DS102" s="59">
        <f t="shared" si="71"/>
        <v>871.20878573322148</v>
      </c>
      <c r="DT102" s="59">
        <f ca="1">AVERAGE(OFFSET($DS$3,0,0,'Données projet'!$E$14+1,1))-AVERAGE(OFFSET($H$3,0,0,'Données projet'!$E$14+1,1))</f>
        <v>532.34688562681413</v>
      </c>
      <c r="DU102" s="59">
        <f t="shared" si="98"/>
        <v>345.42627129678556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39.924464376209635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39.924464376209635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-5.6843418860808015E-14</v>
      </c>
      <c r="EK102" s="17">
        <f>EJ102*VLOOKUP('Données projet'!$B$15,Paramètres!$A$1:$I$89,3,0)*VLOOKUP('Données projet'!$B$15,Paramètres!$A$1:$I$89,5,0)</f>
        <v>-5.1431925385259088E-14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256.20286603823035</v>
      </c>
      <c r="EP102" s="59">
        <f t="shared" si="100"/>
        <v>364.83827155069434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17.279051377272218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17.279051377272218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6.7350000000000021</v>
      </c>
      <c r="FE102" s="12">
        <f>IF('Données projet'!$A$218&gt;35,FE101+FD102-FM101,IF(A102&lt;'Données projet'!$A$218,$FB$205^A102,IF(A102='Données projet'!$A$218,'Données projet'!$B$218,FE101+FD102-FM101)))</f>
        <v>271.36000000000018</v>
      </c>
      <c r="FF102" s="17">
        <f>FE102*VLOOKUP('Données projet'!$B$16,Paramètres!$A$1:$I$89,3,0)*VLOOKUP('Données projet'!$B$16,Paramètres!$A$1:$I$89,5,0)</f>
        <v>182.02828800000015</v>
      </c>
      <c r="FG102" s="13">
        <f t="shared" si="101"/>
        <v>45.7731481711211</v>
      </c>
      <c r="FH102" s="20">
        <f t="shared" si="76"/>
        <v>396.75416799803611</v>
      </c>
      <c r="FI102" s="59">
        <f t="shared" si="77"/>
        <v>673.8770073524463</v>
      </c>
      <c r="FJ102" s="59">
        <f ca="1">AVERAGE(OFFSET($FI$3,0,0,'Données projet'!$E$16+1,1))-AVERAGE(OFFSET($H$3,0,0,'Données projet'!$E$16+1,1))</f>
        <v>380.73695370216979</v>
      </c>
      <c r="FK102" s="59">
        <f t="shared" si="102"/>
        <v>249.34467160415713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32.553794029832488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32.553794029832488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6.7350000000000021</v>
      </c>
      <c r="FZ102" s="12">
        <f>IF('Données projet'!$A$244&gt;35,FZ101+FY102-GH101,IF(A102&lt;'Données projet'!$A$244,$FW$205^A102,IF(A102='Données projet'!$A$244,'Données projet'!$B$244,FZ101+FY102-GH101)))</f>
        <v>271.36000000000018</v>
      </c>
      <c r="GA102" s="17">
        <f>FZ102*VLOOKUP('Données projet'!$B$17,Paramètres!$A$1:$I$89,3,0)*VLOOKUP('Données projet'!$B$17,Paramètres!$A$1:$I$89,5,0)</f>
        <v>262.45939200000021</v>
      </c>
      <c r="GB102" s="13">
        <f t="shared" si="103"/>
        <v>63.246333346053007</v>
      </c>
      <c r="GC102" s="20">
        <f t="shared" si="79"/>
        <v>567.2708049777093</v>
      </c>
      <c r="GD102" s="59">
        <f t="shared" si="80"/>
        <v>844.39364433211949</v>
      </c>
      <c r="GE102" s="59">
        <f ca="1">AVERAGE(OFFSET($GD$3,0,0,'Données projet'!$E$17+1,1))-AVERAGE(OFFSET($H$3,0,0,'Données projet'!$E$17+1,1))</f>
        <v>511.7458522930001</v>
      </c>
      <c r="GF102" s="59">
        <f t="shared" si="104"/>
        <v>332.37317679966122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38.08179678961536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38.08179678961536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-1.7053025658242404E-13</v>
      </c>
      <c r="GV102" s="17">
        <f>GU102*VLOOKUP('Données projet'!$B$18,Paramètres!$A$1:$I$89,3,0)*VLOOKUP('Données projet'!$B$18,Paramètres!$A$1:$I$89,5,0)</f>
        <v>-1.4897523215040567E-13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348.77506423101278</v>
      </c>
      <c r="HA102" s="59">
        <f t="shared" si="106"/>
        <v>336.13747591329548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91.703294955816574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91.703294955816574</v>
      </c>
    </row>
    <row r="103" spans="1:218" x14ac:dyDescent="0.2">
      <c r="A103" s="10">
        <f t="shared" si="85"/>
        <v>100</v>
      </c>
      <c r="B103" s="71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5">
        <f t="shared" si="56"/>
        <v>183.33333333333334</v>
      </c>
      <c r="I103" s="6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8.7210000000000036</v>
      </c>
      <c r="N103" s="13">
        <f>IF('Données projet'!$A$36&gt;35,N102+M103-V102,IF(A103&lt;'Données projet'!$A$36,$K$205^A103,IF(A103='Données projet'!$A$36,'Données projet'!$B$36,N102+M103-V102)))</f>
        <v>313.07499999999953</v>
      </c>
      <c r="O103" s="13">
        <f>N103*VLOOKUP('Données projet'!$B$9,Paramètres!$A$1:$I$89,3,0)*VLOOKUP('Données projet'!$B$9,Paramètres!$A$1:$I$89,5,0)</f>
        <v>146.51909999999978</v>
      </c>
      <c r="P103" s="13">
        <f t="shared" si="87"/>
        <v>37.786460884380837</v>
      </c>
      <c r="Q103" s="20">
        <f t="shared" si="107"/>
        <v>320.99885187362952</v>
      </c>
      <c r="R103" s="59">
        <f t="shared" si="55"/>
        <v>598.40290705733878</v>
      </c>
      <c r="S103" s="59">
        <f ca="1">AVERAGE(OFFSET($R$3,0,0,'Données projet'!$E$9+1,1))-AVERAGE(OFFSET($H$3,0,0,'Données projet'!$E$9+1,1))</f>
        <v>387.50901594883317</v>
      </c>
      <c r="T103" s="59">
        <f t="shared" si="88"/>
        <v>361.3623790401972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137.66397565671528</v>
      </c>
      <c r="AA103" s="21">
        <f>EXP(-LN(2)/25)*AA102+(1-EXP(-LN(2)/25))/(LN(2)/25)*Calculateur!V103*Calculateur!X103*VLOOKUP('Données projet'!$B$9,Paramètres!$A$1:$I$89,3,0)*0.475*44/12</f>
        <v>27.271017482853519</v>
      </c>
      <c r="AB103" s="21">
        <f>EXP(-LN(2)/2)*AB102+(1-EXP(-LN(2)/2))/(LN(2)/2)*V103*Y103*VLOOKUP('Données projet'!$B$9,Paramètres!$A$1:$I$89,3,0)*0.475*44/12</f>
        <v>2.3160640712036007</v>
      </c>
      <c r="AC103" s="22">
        <f t="shared" si="57"/>
        <v>167.25105721077242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373.47758082856359</v>
      </c>
      <c r="AO103" s="59">
        <f t="shared" si="90"/>
        <v>277.24895424120166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129.32486348036193</v>
      </c>
      <c r="AV103" s="21">
        <f>EXP(-LN(2)/25)*AV102+(1-EXP(-LN(2)/25))/(LN(2)/25)*Calculateur!AQ103*Calculateur!AS103*VLOOKUP('Données projet'!$B$10,Paramètres!$A$1:$I$89,3,0)*0.475*44/12</f>
        <v>20.650638284386631</v>
      </c>
      <c r="AW103" s="21">
        <f>EXP(-LN(2)/2)*AW102+(1-EXP(-LN(2)/2))/(LN(2)/2)*AQ103*AT103*VLOOKUP('Données projet'!$B$10,Paramètres!$A$1:$I$89,3,0)*0.475*44/12</f>
        <v>3.113516369571441E-2</v>
      </c>
      <c r="AX103" s="21">
        <f t="shared" si="60"/>
        <v>150.00663692844429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-6.8212102632969618E-13</v>
      </c>
      <c r="BE103" s="13">
        <f>BD103*VLOOKUP('Données projet'!$B$11,Paramètres!$A$1:$I$89,3,0)*VLOOKUP('Données projet'!$B$11,Paramètres!$A$1:$I$89,5,0)</f>
        <v>-4.0790837374515837E-13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460.88622650237176</v>
      </c>
      <c r="BJ103" s="59">
        <f t="shared" si="92"/>
        <v>396.05161661639647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151.13054953877565</v>
      </c>
      <c r="BQ103" s="21">
        <f>EXP(-LN(2)/25)*BQ102+(1-EXP(-LN(2)/25))/(LN(2)/25)*Calculateur!BL103*Calculateur!BN103*VLOOKUP('Données projet'!$B$11,Paramètres!$A$1:$I$89,3,0)*0.475*44/12</f>
        <v>22.639678540844095</v>
      </c>
      <c r="BR103" s="21">
        <f>EXP(-LN(2)/2)*BR102+(1-EXP(-LN(2)/2))/(LN(2)/2)*BL103*BO103*VLOOKUP('Données projet'!$B$11,Paramètres!$A$1:$I$89,3,0)*0.475*44/12</f>
        <v>1.0052360706968549E-2</v>
      </c>
      <c r="BS103" s="22">
        <f t="shared" si="63"/>
        <v>173.78028044032672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-1.1368683772161603E-13</v>
      </c>
      <c r="BZ103" s="13">
        <f>BY103*VLOOKUP('Données projet'!$B$12,Paramètres!$A$1:$I$89,3,0)*VLOOKUP('Données projet'!$B$12,Paramètres!$A$1:$I$89,5,0)</f>
        <v>-5.1727511163335289E-14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341.60063595566282</v>
      </c>
      <c r="CE103" s="59">
        <f t="shared" si="94"/>
        <v>317.05609766344219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124.03766904824198</v>
      </c>
      <c r="CL103" s="21">
        <f>EXP(-LN(2)/25)*CL102+(1-EXP(-LN(2)/25))/(LN(2)/25)*Calculateur!CG103*Calculateur!CI103*VLOOKUP('Données projet'!$B$12,Paramètres!$A$1:$I$89,3,0)*0.475*44/12</f>
        <v>21.027474311531456</v>
      </c>
      <c r="CM103" s="21">
        <f>EXP(-LN(2)/2)*CM102+(1-EXP(-LN(2)/2))/(LN(2)/2)*CG103*CJ103*VLOOKUP('Données projet'!$B$12,Paramètres!$A$1:$I$89,3,0)*0.475*44/12</f>
        <v>8.495493822449526E-4</v>
      </c>
      <c r="CN103" s="22">
        <f t="shared" si="66"/>
        <v>145.06599290915568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8.5265128291212022E-14</v>
      </c>
      <c r="CU103" s="17">
        <f>CT103*VLOOKUP('Données projet'!$B$13,Paramètres!$A$1:$I$89,3,0)*VLOOKUP('Données projet'!$B$13,Paramètres!$A$1:$I$89,5,0)</f>
        <v>8.9119112089974823E-14</v>
      </c>
      <c r="CV103" s="13">
        <f t="shared" si="95"/>
        <v>1.3568952080113142E-12</v>
      </c>
      <c r="CW103" s="20">
        <f t="shared" si="67"/>
        <v>2.5184749408430782E-12</v>
      </c>
      <c r="CX103" s="59">
        <f t="shared" si="68"/>
        <v>277.40405518371171</v>
      </c>
      <c r="CY103" s="59">
        <f ca="1">AVERAGE(OFFSET($CX$3,0,0,'Données projet'!$E$13+1,1))-AVERAGE(OFFSET($H$3,0,0,'Données projet'!$E$13+1,1))</f>
        <v>287.73449456153207</v>
      </c>
      <c r="CZ103" s="59">
        <f t="shared" si="96"/>
        <v>296.74833899433281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65.794679182746734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65.794679182746734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6.7350000000000021</v>
      </c>
      <c r="DO103" s="12">
        <f>IF('Données projet'!$A$166&gt;35,DO102+DN103-DW102,IF(A103&lt;'Données projet'!$A$166,$DL$205^A103,IF(A103='Données projet'!$A$166,'Données projet'!$B$166,DO102+DN103-DW102)))</f>
        <v>278.0950000000002</v>
      </c>
      <c r="DP103" s="17">
        <f>DO103*VLOOKUP('Données projet'!$B$14,Paramètres!$A$1:$I$89,3,0)*VLOOKUP('Données projet'!$B$14,Paramètres!$A$1:$I$89,5,0)</f>
        <v>281.98833000000025</v>
      </c>
      <c r="DQ103" s="13">
        <f t="shared" si="97"/>
        <v>67.387026964760395</v>
      </c>
      <c r="DR103" s="20">
        <f t="shared" si="70"/>
        <v>608.49541338029132</v>
      </c>
      <c r="DS103" s="59">
        <f t="shared" si="71"/>
        <v>885.89946856400047</v>
      </c>
      <c r="DT103" s="59">
        <f ca="1">AVERAGE(OFFSET($DS$3,0,0,'Données projet'!$E$14+1,1))-AVERAGE(OFFSET($H$3,0,0,'Données projet'!$E$14+1,1))</f>
        <v>532.34688562681413</v>
      </c>
      <c r="DU103" s="59">
        <f t="shared" si="98"/>
        <v>345.42627129678556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39.141569981310923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39.141569981310923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-5.6843418860808015E-14</v>
      </c>
      <c r="EK103" s="17">
        <f>EJ103*VLOOKUP('Données projet'!$B$15,Paramètres!$A$1:$I$89,3,0)*VLOOKUP('Données projet'!$B$15,Paramètres!$A$1:$I$89,5,0)</f>
        <v>-5.1431925385259088E-14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256.20286603823035</v>
      </c>
      <c r="EP103" s="59">
        <f t="shared" si="100"/>
        <v>364.83827155069434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16.940219718944594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16.940219718944594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6.7350000000000021</v>
      </c>
      <c r="FE103" s="12">
        <f>IF('Données projet'!$A$218&gt;35,FE102+FD103-FM102,IF(A103&lt;'Données projet'!$A$218,$FB$205^A103,IF(A103='Données projet'!$A$218,'Données projet'!$B$218,FE102+FD103-FM102)))</f>
        <v>278.0950000000002</v>
      </c>
      <c r="FF103" s="17">
        <f>FE103*VLOOKUP('Données projet'!$B$16,Paramètres!$A$1:$I$89,3,0)*VLOOKUP('Données projet'!$B$16,Paramètres!$A$1:$I$89,5,0)</f>
        <v>186.54612600000013</v>
      </c>
      <c r="FG103" s="13">
        <f t="shared" si="101"/>
        <v>46.775536957217689</v>
      </c>
      <c r="FH103" s="20">
        <f t="shared" si="76"/>
        <v>406.36856298382105</v>
      </c>
      <c r="FI103" s="59">
        <f t="shared" si="77"/>
        <v>683.77261816753025</v>
      </c>
      <c r="FJ103" s="59">
        <f ca="1">AVERAGE(OFFSET($FI$3,0,0,'Données projet'!$E$16+1,1))-AVERAGE(OFFSET($H$3,0,0,'Données projet'!$E$16+1,1))</f>
        <v>380.73695370216979</v>
      </c>
      <c r="FK103" s="59">
        <f t="shared" si="102"/>
        <v>249.34467160415713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31.915433984761229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31.915433984761229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6.7350000000000021</v>
      </c>
      <c r="FZ103" s="12">
        <f>IF('Données projet'!$A$244&gt;35,FZ102+FY103-GH102,IF(A103&lt;'Données projet'!$A$244,$FW$205^A103,IF(A103='Données projet'!$A$244,'Données projet'!$B$244,FZ102+FY103-GH102)))</f>
        <v>278.0950000000002</v>
      </c>
      <c r="GA103" s="17">
        <f>FZ103*VLOOKUP('Données projet'!$B$17,Paramètres!$A$1:$I$89,3,0)*VLOOKUP('Données projet'!$B$17,Paramètres!$A$1:$I$89,5,0)</f>
        <v>268.97348400000021</v>
      </c>
      <c r="GB103" s="13">
        <f t="shared" si="103"/>
        <v>64.63136841226266</v>
      </c>
      <c r="GC103" s="20">
        <f t="shared" si="79"/>
        <v>581.02845128469107</v>
      </c>
      <c r="GD103" s="59">
        <f t="shared" si="80"/>
        <v>858.43250646840033</v>
      </c>
      <c r="GE103" s="59">
        <f ca="1">AVERAGE(OFFSET($GD$3,0,0,'Données projet'!$E$17+1,1))-AVERAGE(OFFSET($H$3,0,0,'Données projet'!$E$17+1,1))</f>
        <v>511.7458522930001</v>
      </c>
      <c r="GF103" s="59">
        <f t="shared" si="104"/>
        <v>332.37317679966122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37.335035982173508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37.335035982173508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-1.7053025658242404E-13</v>
      </c>
      <c r="GV103" s="17">
        <f>GU103*VLOOKUP('Données projet'!$B$18,Paramètres!$A$1:$I$89,3,0)*VLOOKUP('Données projet'!$B$18,Paramètres!$A$1:$I$89,5,0)</f>
        <v>-1.4897523215040567E-13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348.77506423101278</v>
      </c>
      <c r="HA103" s="59">
        <f t="shared" si="106"/>
        <v>336.13747591329548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89.905049275219966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89.905049275219966</v>
      </c>
    </row>
    <row r="104" spans="1:218" x14ac:dyDescent="0.2">
      <c r="A104" s="10">
        <f t="shared" si="85"/>
        <v>101</v>
      </c>
      <c r="B104" s="71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5">
        <f t="shared" si="56"/>
        <v>183.33333333333334</v>
      </c>
      <c r="I104" s="6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8.7210000000000036</v>
      </c>
      <c r="N104" s="13">
        <f>IF('Données projet'!$A$36&gt;35,N103+M104-V103,IF(A104&lt;'Données projet'!$A$36,$K$205^A104,IF(A104='Données projet'!$A$36,'Données projet'!$B$36,N103+M104-V103)))</f>
        <v>321.79599999999954</v>
      </c>
      <c r="O104" s="13">
        <f>N104*VLOOKUP('Données projet'!$B$9,Paramètres!$A$1:$I$89,3,0)*VLOOKUP('Données projet'!$B$9,Paramètres!$A$1:$I$89,5,0)</f>
        <v>150.60052799999977</v>
      </c>
      <c r="P104" s="13">
        <f t="shared" si="87"/>
        <v>38.715026012368448</v>
      </c>
      <c r="Q104" s="20">
        <f t="shared" si="107"/>
        <v>329.72458990487462</v>
      </c>
      <c r="R104" s="59">
        <f t="shared" si="55"/>
        <v>607.40498245194908</v>
      </c>
      <c r="S104" s="59">
        <f ca="1">AVERAGE(OFFSET($R$3,0,0,'Données projet'!$E$9+1,1))-AVERAGE(OFFSET($H$3,0,0,'Données projet'!$E$9+1,1))</f>
        <v>387.50901594883317</v>
      </c>
      <c r="T104" s="59">
        <f t="shared" si="88"/>
        <v>361.3623790401972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134.96446906082122</v>
      </c>
      <c r="AA104" s="21">
        <f>EXP(-LN(2)/25)*AA103+(1-EXP(-LN(2)/25))/(LN(2)/25)*Calculateur!V104*Calculateur!X104*VLOOKUP('Données projet'!$B$9,Paramètres!$A$1:$I$89,3,0)*0.475*44/12</f>
        <v>26.525290075664408</v>
      </c>
      <c r="AB104" s="21">
        <f>EXP(-LN(2)/2)*AB103+(1-EXP(-LN(2)/2))/(LN(2)/2)*V104*Y104*VLOOKUP('Données projet'!$B$9,Paramètres!$A$1:$I$89,3,0)*0.475*44/12</f>
        <v>1.637704610410589</v>
      </c>
      <c r="AC104" s="22">
        <f t="shared" si="57"/>
        <v>163.12746374689621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373.47758082856359</v>
      </c>
      <c r="AO104" s="59">
        <f t="shared" si="90"/>
        <v>277.24895424120166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126.78888178788996</v>
      </c>
      <c r="AV104" s="21">
        <f>EXP(-LN(2)/25)*AV103+(1-EXP(-LN(2)/25))/(LN(2)/25)*Calculateur!AQ104*Calculateur!AS104*VLOOKUP('Données projet'!$B$10,Paramètres!$A$1:$I$89,3,0)*0.475*44/12</f>
        <v>20.085945494530208</v>
      </c>
      <c r="AW104" s="21">
        <f>EXP(-LN(2)/2)*AW103+(1-EXP(-LN(2)/2))/(LN(2)/2)*AQ104*AT104*VLOOKUP('Données projet'!$B$10,Paramètres!$A$1:$I$89,3,0)*0.475*44/12</f>
        <v>2.201588538259287E-2</v>
      </c>
      <c r="AX104" s="21">
        <f t="shared" si="60"/>
        <v>146.89684316780276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-6.8212102632969618E-13</v>
      </c>
      <c r="BE104" s="13">
        <f>BD104*VLOOKUP('Données projet'!$B$11,Paramètres!$A$1:$I$89,3,0)*VLOOKUP('Données projet'!$B$11,Paramètres!$A$1:$I$89,5,0)</f>
        <v>-4.0790837374515837E-13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460.88622650237176</v>
      </c>
      <c r="BJ104" s="59">
        <f t="shared" si="92"/>
        <v>396.05161661639647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148.16697164285341</v>
      </c>
      <c r="BQ104" s="21">
        <f>EXP(-LN(2)/25)*BQ103+(1-EXP(-LN(2)/25))/(LN(2)/25)*Calculateur!BL104*Calculateur!BN104*VLOOKUP('Données projet'!$B$11,Paramètres!$A$1:$I$89,3,0)*0.475*44/12</f>
        <v>22.020595340575763</v>
      </c>
      <c r="BR104" s="21">
        <f>EXP(-LN(2)/2)*BR103+(1-EXP(-LN(2)/2))/(LN(2)/2)*BL104*BO104*VLOOKUP('Données projet'!$B$11,Paramètres!$A$1:$I$89,3,0)*0.475*44/12</f>
        <v>7.1080924228306584E-3</v>
      </c>
      <c r="BS104" s="22">
        <f t="shared" si="63"/>
        <v>170.19467507585202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-5.1727511163335289E-14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341.60063595566282</v>
      </c>
      <c r="CE104" s="59">
        <f t="shared" si="94"/>
        <v>317.05609766344219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121.60536601371372</v>
      </c>
      <c r="CL104" s="21">
        <f>EXP(-LN(2)/25)*CL103+(1-EXP(-LN(2)/25))/(LN(2)/25)*Calculateur!CG104*Calculateur!CI104*VLOOKUP('Données projet'!$B$12,Paramètres!$A$1:$I$89,3,0)*0.475*44/12</f>
        <v>20.452476920695812</v>
      </c>
      <c r="CM104" s="21">
        <f>EXP(-LN(2)/2)*CM103+(1-EXP(-LN(2)/2))/(LN(2)/2)*CG104*CJ104*VLOOKUP('Données projet'!$B$12,Paramètres!$A$1:$I$89,3,0)*0.475*44/12</f>
        <v>6.0072212913824831E-4</v>
      </c>
      <c r="CN104" s="22">
        <f t="shared" si="66"/>
        <v>142.05844365653869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8.5265128291212022E-14</v>
      </c>
      <c r="CU104" s="17">
        <f>CT104*VLOOKUP('Données projet'!$B$13,Paramètres!$A$1:$I$89,3,0)*VLOOKUP('Données projet'!$B$13,Paramètres!$A$1:$I$89,5,0)</f>
        <v>8.9119112089974823E-14</v>
      </c>
      <c r="CV104" s="13">
        <f t="shared" si="95"/>
        <v>1.3568952080113142E-12</v>
      </c>
      <c r="CW104" s="20">
        <f t="shared" si="67"/>
        <v>2.5184749408430782E-12</v>
      </c>
      <c r="CX104" s="59">
        <f t="shared" si="68"/>
        <v>277.68039254707691</v>
      </c>
      <c r="CY104" s="59">
        <f ca="1">AVERAGE(OFFSET($CX$3,0,0,'Données projet'!$E$13+1,1))-AVERAGE(OFFSET($H$3,0,0,'Données projet'!$E$13+1,1))</f>
        <v>287.73449456153207</v>
      </c>
      <c r="CZ104" s="59">
        <f t="shared" si="96"/>
        <v>296.74833899433281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64.504485654764778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64.504485654764778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6.7350000000000021</v>
      </c>
      <c r="DO104" s="12">
        <f>IF('Données projet'!$A$166&gt;35,DO103+DN104-DW103,IF(A104&lt;'Données projet'!$A$166,$DL$205^A104,IF(A104='Données projet'!$A$166,'Données projet'!$B$166,DO103+DN104-DW103)))</f>
        <v>284.83000000000021</v>
      </c>
      <c r="DP104" s="17">
        <f>DO104*VLOOKUP('Données projet'!$B$14,Paramètres!$A$1:$I$89,3,0)*VLOOKUP('Données projet'!$B$14,Paramètres!$A$1:$I$89,5,0)</f>
        <v>288.8176200000002</v>
      </c>
      <c r="DQ104" s="13">
        <f t="shared" si="97"/>
        <v>68.82704955361433</v>
      </c>
      <c r="DR104" s="20">
        <f t="shared" si="70"/>
        <v>622.89779947254533</v>
      </c>
      <c r="DS104" s="59">
        <f t="shared" si="71"/>
        <v>900.57819201961979</v>
      </c>
      <c r="DT104" s="59">
        <f ca="1">AVERAGE(OFFSET($DS$3,0,0,'Données projet'!$E$14+1,1))-AVERAGE(OFFSET($H$3,0,0,'Données projet'!$E$14+1,1))</f>
        <v>532.34688562681413</v>
      </c>
      <c r="DU104" s="59">
        <f t="shared" si="98"/>
        <v>345.42627129678556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38.374027667977742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38.374027667977742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-5.6843418860808015E-14</v>
      </c>
      <c r="EK104" s="17">
        <f>EJ104*VLOOKUP('Données projet'!$B$15,Paramètres!$A$1:$I$89,3,0)*VLOOKUP('Données projet'!$B$15,Paramètres!$A$1:$I$89,5,0)</f>
        <v>-5.1431925385259088E-14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256.20286603823035</v>
      </c>
      <c r="EP104" s="59">
        <f t="shared" si="100"/>
        <v>364.83827155069434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16.608032342769867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16.608032342769867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6.7350000000000021</v>
      </c>
      <c r="FE104" s="12">
        <f>IF('Données projet'!$A$218&gt;35,FE103+FD104-FM103,IF(A104&lt;'Données projet'!$A$218,$FB$205^A104,IF(A104='Données projet'!$A$218,'Données projet'!$B$218,FE103+FD104-FM103)))</f>
        <v>284.83000000000021</v>
      </c>
      <c r="FF104" s="17">
        <f>FE104*VLOOKUP('Données projet'!$B$16,Paramètres!$A$1:$I$89,3,0)*VLOOKUP('Données projet'!$B$16,Paramètres!$A$1:$I$89,5,0)</f>
        <v>191.06396400000014</v>
      </c>
      <c r="FG104" s="13">
        <f t="shared" si="101"/>
        <v>47.775103681824646</v>
      </c>
      <c r="FH104" s="20">
        <f t="shared" si="76"/>
        <v>415.97804287917819</v>
      </c>
      <c r="FI104" s="59">
        <f t="shared" si="77"/>
        <v>693.65843542625259</v>
      </c>
      <c r="FJ104" s="59">
        <f ca="1">AVERAGE(OFFSET($FI$3,0,0,'Données projet'!$E$16+1,1))-AVERAGE(OFFSET($H$3,0,0,'Données projet'!$E$16+1,1))</f>
        <v>380.73695370216979</v>
      </c>
      <c r="FK104" s="59">
        <f t="shared" si="102"/>
        <v>249.34467160415713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31.289591790812636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31.289591790812636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6.7350000000000021</v>
      </c>
      <c r="FZ104" s="12">
        <f>IF('Données projet'!$A$244&gt;35,FZ103+FY104-GH103,IF(A104&lt;'Données projet'!$A$244,$FW$205^A104,IF(A104='Données projet'!$A$244,'Données projet'!$B$244,FZ103+FY104-GH103)))</f>
        <v>284.83000000000021</v>
      </c>
      <c r="GA104" s="17">
        <f>FZ104*VLOOKUP('Données projet'!$B$17,Paramètres!$A$1:$I$89,3,0)*VLOOKUP('Données projet'!$B$17,Paramètres!$A$1:$I$89,5,0)</f>
        <v>275.48757600000022</v>
      </c>
      <c r="GB104" s="13">
        <f t="shared" si="103"/>
        <v>66.012504139037944</v>
      </c>
      <c r="GC104" s="20">
        <f t="shared" si="79"/>
        <v>594.7793062421581</v>
      </c>
      <c r="GD104" s="59">
        <f t="shared" si="80"/>
        <v>872.45969878923256</v>
      </c>
      <c r="GE104" s="59">
        <f ca="1">AVERAGE(OFFSET($GD$3,0,0,'Données projet'!$E$17+1,1))-AVERAGE(OFFSET($H$3,0,0,'Données projet'!$E$17+1,1))</f>
        <v>511.7458522930001</v>
      </c>
      <c r="GF104" s="59">
        <f t="shared" si="104"/>
        <v>332.37317679966122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36.602918698686473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36.602918698686473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-1.7053025658242404E-13</v>
      </c>
      <c r="GV104" s="17">
        <f>GU104*VLOOKUP('Données projet'!$B$18,Paramètres!$A$1:$I$89,3,0)*VLOOKUP('Données projet'!$B$18,Paramètres!$A$1:$I$89,5,0)</f>
        <v>-1.4897523215040567E-13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348.77506423101278</v>
      </c>
      <c r="HA104" s="59">
        <f t="shared" si="106"/>
        <v>336.13747591329548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88.142066095598295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88.142066095598295</v>
      </c>
    </row>
    <row r="105" spans="1:218" x14ac:dyDescent="0.2">
      <c r="A105" s="10">
        <f t="shared" si="85"/>
        <v>102</v>
      </c>
      <c r="B105" s="71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5">
        <f t="shared" si="56"/>
        <v>183.33333333333334</v>
      </c>
      <c r="I105" s="6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8.7210000000000036</v>
      </c>
      <c r="N105" s="13">
        <f>IF('Données projet'!$A$36&gt;35,N104+M105-V104,IF(A105&lt;'Données projet'!$A$36,$K$205^A105,IF(A105='Données projet'!$A$36,'Données projet'!$B$36,N104+M105-V104)))</f>
        <v>330.51699999999954</v>
      </c>
      <c r="O105" s="13">
        <f>N105*VLOOKUP('Données projet'!$B$9,Paramètres!$A$1:$I$89,3,0)*VLOOKUP('Données projet'!$B$9,Paramètres!$A$1:$I$89,5,0)</f>
        <v>154.68195599999979</v>
      </c>
      <c r="P105" s="13">
        <f t="shared" si="87"/>
        <v>39.640666164046536</v>
      </c>
      <c r="Q105" s="20">
        <f t="shared" si="107"/>
        <v>338.44523360238071</v>
      </c>
      <c r="R105" s="59">
        <f t="shared" si="55"/>
        <v>616.39716967736365</v>
      </c>
      <c r="S105" s="59">
        <f ca="1">AVERAGE(OFFSET($R$3,0,0,'Données projet'!$E$9+1,1))-AVERAGE(OFFSET($H$3,0,0,'Données projet'!$E$9+1,1))</f>
        <v>387.50901594883317</v>
      </c>
      <c r="T105" s="59">
        <f t="shared" si="88"/>
        <v>361.3623790401972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132.3178981427362</v>
      </c>
      <c r="AA105" s="21">
        <f>EXP(-LN(2)/25)*AA104+(1-EXP(-LN(2)/25))/(LN(2)/25)*Calculateur!V105*Calculateur!X105*VLOOKUP('Données projet'!$B$9,Paramètres!$A$1:$I$89,3,0)*0.475*44/12</f>
        <v>25.799954623640986</v>
      </c>
      <c r="AB105" s="21">
        <f>EXP(-LN(2)/2)*AB104+(1-EXP(-LN(2)/2))/(LN(2)/2)*V105*Y105*VLOOKUP('Données projet'!$B$9,Paramètres!$A$1:$I$89,3,0)*0.475*44/12</f>
        <v>1.1580320356018006</v>
      </c>
      <c r="AC105" s="22">
        <f t="shared" si="57"/>
        <v>159.27588480197898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373.47758082856359</v>
      </c>
      <c r="AO105" s="59">
        <f t="shared" si="90"/>
        <v>277.24895424120166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124.30262914961128</v>
      </c>
      <c r="AV105" s="21">
        <f>EXP(-LN(2)/25)*AV104+(1-EXP(-LN(2)/25))/(LN(2)/25)*Calculateur!AQ105*Calculateur!AS105*VLOOKUP('Données projet'!$B$10,Paramètres!$A$1:$I$89,3,0)*0.475*44/12</f>
        <v>19.536694258708312</v>
      </c>
      <c r="AW105" s="21">
        <f>EXP(-LN(2)/2)*AW104+(1-EXP(-LN(2)/2))/(LN(2)/2)*AQ105*AT105*VLOOKUP('Données projet'!$B$10,Paramètres!$A$1:$I$89,3,0)*0.475*44/12</f>
        <v>1.5567581847857207E-2</v>
      </c>
      <c r="AX105" s="21">
        <f t="shared" si="60"/>
        <v>143.85489099016743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-6.8212102632969618E-13</v>
      </c>
      <c r="BE105" s="13">
        <f>BD105*VLOOKUP('Données projet'!$B$11,Paramètres!$A$1:$I$89,3,0)*VLOOKUP('Données projet'!$B$11,Paramètres!$A$1:$I$89,5,0)</f>
        <v>-4.0790837374515837E-13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460.88622650237176</v>
      </c>
      <c r="BJ105" s="59">
        <f t="shared" si="92"/>
        <v>396.05161661639647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145.26150770186618</v>
      </c>
      <c r="BQ105" s="21">
        <f>EXP(-LN(2)/25)*BQ104+(1-EXP(-LN(2)/25))/(LN(2)/25)*Calculateur!BL105*Calculateur!BN105*VLOOKUP('Données projet'!$B$11,Paramètres!$A$1:$I$89,3,0)*0.475*44/12</f>
        <v>21.418441002974937</v>
      </c>
      <c r="BR105" s="21">
        <f>EXP(-LN(2)/2)*BR104+(1-EXP(-LN(2)/2))/(LN(2)/2)*BL105*BO105*VLOOKUP('Données projet'!$B$11,Paramètres!$A$1:$I$89,3,0)*0.475*44/12</f>
        <v>5.0261803534842747E-3</v>
      </c>
      <c r="BS105" s="22">
        <f t="shared" si="63"/>
        <v>166.68497488519461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-5.1727511163335289E-14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341.60063595566282</v>
      </c>
      <c r="CE105" s="59">
        <f t="shared" si="94"/>
        <v>317.05609766344219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119.22075895813418</v>
      </c>
      <c r="CL105" s="21">
        <f>EXP(-LN(2)/25)*CL104+(1-EXP(-LN(2)/25))/(LN(2)/25)*Calculateur!CG105*Calculateur!CI105*VLOOKUP('Données projet'!$B$12,Paramètres!$A$1:$I$89,3,0)*0.475*44/12</f>
        <v>19.893202863750368</v>
      </c>
      <c r="CM105" s="21">
        <f>EXP(-LN(2)/2)*CM104+(1-EXP(-LN(2)/2))/(LN(2)/2)*CG105*CJ105*VLOOKUP('Données projet'!$B$12,Paramètres!$A$1:$I$89,3,0)*0.475*44/12</f>
        <v>4.247746911224763E-4</v>
      </c>
      <c r="CN105" s="22">
        <f t="shared" si="66"/>
        <v>139.11438659657566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8.5265128291212022E-14</v>
      </c>
      <c r="CU105" s="17">
        <f>CT105*VLOOKUP('Données projet'!$B$13,Paramètres!$A$1:$I$89,3,0)*VLOOKUP('Données projet'!$B$13,Paramètres!$A$1:$I$89,5,0)</f>
        <v>8.9119112089974823E-14</v>
      </c>
      <c r="CV105" s="13">
        <f t="shared" si="95"/>
        <v>1.3568952080113142E-12</v>
      </c>
      <c r="CW105" s="20">
        <f t="shared" si="67"/>
        <v>2.5184749408430782E-12</v>
      </c>
      <c r="CX105" s="59">
        <f t="shared" si="68"/>
        <v>277.95193607498544</v>
      </c>
      <c r="CY105" s="59">
        <f ca="1">AVERAGE(OFFSET($CX$3,0,0,'Données projet'!$E$13+1,1))-AVERAGE(OFFSET($H$3,0,0,'Données projet'!$E$13+1,1))</f>
        <v>287.73449456153207</v>
      </c>
      <c r="CZ105" s="59">
        <f t="shared" si="96"/>
        <v>296.74833899433281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63.239592034926204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63.239592034926204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6.7350000000000021</v>
      </c>
      <c r="DO105" s="12">
        <f>IF('Données projet'!$A$166&gt;35,DO104+DN105-DW104,IF(A105&lt;'Données projet'!$A$166,$DL$205^A105,IF(A105='Données projet'!$A$166,'Données projet'!$B$166,DO104+DN105-DW104)))</f>
        <v>291.56500000000023</v>
      </c>
      <c r="DP105" s="17">
        <f>DO105*VLOOKUP('Données projet'!$B$14,Paramètres!$A$1:$I$89,3,0)*VLOOKUP('Données projet'!$B$14,Paramètres!$A$1:$I$89,5,0)</f>
        <v>295.64691000000028</v>
      </c>
      <c r="DQ105" s="13">
        <f t="shared" si="97"/>
        <v>70.26311374500041</v>
      </c>
      <c r="DR105" s="20">
        <f t="shared" si="70"/>
        <v>637.29329135587614</v>
      </c>
      <c r="DS105" s="59">
        <f t="shared" si="71"/>
        <v>915.24522743085913</v>
      </c>
      <c r="DT105" s="59">
        <f ca="1">AVERAGE(OFFSET($DS$3,0,0,'Données projet'!$E$14+1,1))-AVERAGE(OFFSET($H$3,0,0,'Données projet'!$E$14+1,1))</f>
        <v>532.34688562681413</v>
      </c>
      <c r="DU105" s="59">
        <f t="shared" si="98"/>
        <v>345.42627129678556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37.621536391254438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37.621536391254438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-5.6843418860808015E-14</v>
      </c>
      <c r="EK105" s="17">
        <f>EJ105*VLOOKUP('Données projet'!$B$15,Paramètres!$A$1:$I$89,3,0)*VLOOKUP('Données projet'!$B$15,Paramètres!$A$1:$I$89,5,0)</f>
        <v>-5.1431925385259088E-14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256.20286603823035</v>
      </c>
      <c r="EP105" s="59">
        <f t="shared" si="100"/>
        <v>364.83827155069434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16.282358958427636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16.282358958427636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6.7350000000000021</v>
      </c>
      <c r="FE105" s="12">
        <f>IF('Données projet'!$A$218&gt;35,FE104+FD105-FM104,IF(A105&lt;'Données projet'!$A$218,$FB$205^A105,IF(A105='Données projet'!$A$218,'Données projet'!$B$218,FE104+FD105-FM104)))</f>
        <v>291.56500000000023</v>
      </c>
      <c r="FF105" s="17">
        <f>FE105*VLOOKUP('Données projet'!$B$16,Paramètres!$A$1:$I$89,3,0)*VLOOKUP('Données projet'!$B$16,Paramètres!$A$1:$I$89,5,0)</f>
        <v>195.58180200000015</v>
      </c>
      <c r="FG105" s="13">
        <f t="shared" si="101"/>
        <v>48.771922753427909</v>
      </c>
      <c r="FH105" s="20">
        <f t="shared" si="76"/>
        <v>425.58273727888718</v>
      </c>
      <c r="FI105" s="59">
        <f t="shared" si="77"/>
        <v>703.53467335387018</v>
      </c>
      <c r="FJ105" s="59">
        <f ca="1">AVERAGE(OFFSET($FI$3,0,0,'Données projet'!$E$16+1,1))-AVERAGE(OFFSET($H$3,0,0,'Données projet'!$E$16+1,1))</f>
        <v>380.73695370216979</v>
      </c>
      <c r="FK105" s="59">
        <f t="shared" si="102"/>
        <v>249.34467160415713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30.67602198056133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30.67602198056133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6.7350000000000021</v>
      </c>
      <c r="FZ105" s="12">
        <f>IF('Données projet'!$A$244&gt;35,FZ104+FY105-GH104,IF(A105&lt;'Données projet'!$A$244,$FW$205^A105,IF(A105='Données projet'!$A$244,'Données projet'!$B$244,FZ104+FY105-GH104)))</f>
        <v>291.56500000000023</v>
      </c>
      <c r="GA105" s="17">
        <f>FZ105*VLOOKUP('Données projet'!$B$17,Paramètres!$A$1:$I$89,3,0)*VLOOKUP('Données projet'!$B$17,Paramètres!$A$1:$I$89,5,0)</f>
        <v>282.00166800000022</v>
      </c>
      <c r="GB105" s="13">
        <f t="shared" si="103"/>
        <v>67.389843339143454</v>
      </c>
      <c r="GC105" s="20">
        <f t="shared" si="79"/>
        <v>608.52354891567518</v>
      </c>
      <c r="GD105" s="59">
        <f t="shared" si="80"/>
        <v>886.47548499065806</v>
      </c>
      <c r="GE105" s="59">
        <f ca="1">AVERAGE(OFFSET($GD$3,0,0,'Données projet'!$E$17+1,1))-AVERAGE(OFFSET($H$3,0,0,'Données projet'!$E$17+1,1))</f>
        <v>511.7458522930001</v>
      </c>
      <c r="GF105" s="59">
        <f t="shared" si="104"/>
        <v>332.37317679966122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35.885157788581168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35.885157788581168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-1.7053025658242404E-13</v>
      </c>
      <c r="GV105" s="17">
        <f>GU105*VLOOKUP('Données projet'!$B$18,Paramètres!$A$1:$I$89,3,0)*VLOOKUP('Données projet'!$B$18,Paramètres!$A$1:$I$89,5,0)</f>
        <v>-1.4897523215040567E-13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348.77506423101278</v>
      </c>
      <c r="HA105" s="59">
        <f t="shared" si="106"/>
        <v>336.13747591329548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86.413653940815436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86.413653940815436</v>
      </c>
    </row>
    <row r="106" spans="1:218" x14ac:dyDescent="0.2">
      <c r="A106" s="10">
        <f t="shared" si="85"/>
        <v>103</v>
      </c>
      <c r="B106" s="71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5">
        <f t="shared" si="56"/>
        <v>183.33333333333334</v>
      </c>
      <c r="I106" s="6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8.7210000000000036</v>
      </c>
      <c r="N106" s="13">
        <f>IF('Données projet'!$A$36&gt;35,N105+M106-V105,IF(A106&lt;'Données projet'!$A$36,$K$205^A106,IF(A106='Données projet'!$A$36,'Données projet'!$B$36,N105+M106-V105)))</f>
        <v>339.23799999999954</v>
      </c>
      <c r="O106" s="13">
        <f>N106*VLOOKUP('Données projet'!$B$9,Paramètres!$A$1:$I$89,3,0)*VLOOKUP('Données projet'!$B$9,Paramètres!$A$1:$I$89,5,0)</f>
        <v>158.76338399999977</v>
      </c>
      <c r="P106" s="13">
        <f t="shared" si="87"/>
        <v>40.563467389228563</v>
      </c>
      <c r="Q106" s="20">
        <f t="shared" si="107"/>
        <v>347.1609328362394</v>
      </c>
      <c r="R106" s="59">
        <f t="shared" si="55"/>
        <v>625.37970176600209</v>
      </c>
      <c r="S106" s="59">
        <f ca="1">AVERAGE(OFFSET($R$3,0,0,'Données projet'!$E$9+1,1))-AVERAGE(OFFSET($H$3,0,0,'Données projet'!$E$9+1,1))</f>
        <v>387.50901594883317</v>
      </c>
      <c r="T106" s="59">
        <f t="shared" si="88"/>
        <v>361.3623790401972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129.72322486610597</v>
      </c>
      <c r="AA106" s="21">
        <f>EXP(-LN(2)/25)*AA105+(1-EXP(-LN(2)/25))/(LN(2)/25)*Calculateur!V106*Calculateur!X106*VLOOKUP('Données projet'!$B$9,Paramètres!$A$1:$I$89,3,0)*0.475*44/12</f>
        <v>25.094453507696876</v>
      </c>
      <c r="AB106" s="21">
        <f>EXP(-LN(2)/2)*AB105+(1-EXP(-LN(2)/2))/(LN(2)/2)*V106*Y106*VLOOKUP('Données projet'!$B$9,Paramètres!$A$1:$I$89,3,0)*0.475*44/12</f>
        <v>0.81885230520529462</v>
      </c>
      <c r="AC106" s="22">
        <f t="shared" si="57"/>
        <v>155.63653067900813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373.47758082856359</v>
      </c>
      <c r="AO106" s="59">
        <f t="shared" si="90"/>
        <v>277.24895424120166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121.86513040910486</v>
      </c>
      <c r="AV106" s="21">
        <f>EXP(-LN(2)/25)*AV105+(1-EXP(-LN(2)/25))/(LN(2)/25)*Calculateur!AQ106*Calculateur!AS106*VLOOKUP('Données projet'!$B$10,Paramètres!$A$1:$I$89,3,0)*0.475*44/12</f>
        <v>19.002462326813834</v>
      </c>
      <c r="AW106" s="21">
        <f>EXP(-LN(2)/2)*AW105+(1-EXP(-LN(2)/2))/(LN(2)/2)*AQ106*AT106*VLOOKUP('Données projet'!$B$10,Paramètres!$A$1:$I$89,3,0)*0.475*44/12</f>
        <v>1.1007942691296436E-2</v>
      </c>
      <c r="AX106" s="21">
        <f t="shared" si="60"/>
        <v>140.87860067860998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-6.8212102632969618E-13</v>
      </c>
      <c r="BE106" s="13">
        <f>BD106*VLOOKUP('Données projet'!$B$11,Paramètres!$A$1:$I$89,3,0)*VLOOKUP('Données projet'!$B$11,Paramètres!$A$1:$I$89,5,0)</f>
        <v>-4.0790837374515837E-13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460.88622650237176</v>
      </c>
      <c r="BJ106" s="59">
        <f t="shared" si="92"/>
        <v>396.05161661639647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142.41301813660368</v>
      </c>
      <c r="BQ106" s="21">
        <f>EXP(-LN(2)/25)*BQ105+(1-EXP(-LN(2)/25))/(LN(2)/25)*Calculateur!BL106*Calculateur!BN106*VLOOKUP('Données projet'!$B$11,Paramètres!$A$1:$I$89,3,0)*0.475*44/12</f>
        <v>20.832752607401726</v>
      </c>
      <c r="BR106" s="21">
        <f>EXP(-LN(2)/2)*BR105+(1-EXP(-LN(2)/2))/(LN(2)/2)*BL106*BO106*VLOOKUP('Données projet'!$B$11,Paramètres!$A$1:$I$89,3,0)*0.475*44/12</f>
        <v>3.5540462114153292E-3</v>
      </c>
      <c r="BS106" s="22">
        <f t="shared" si="63"/>
        <v>163.2493247902168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-5.1727511163335289E-14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341.60063595566282</v>
      </c>
      <c r="CE106" s="59">
        <f t="shared" si="94"/>
        <v>317.05609766344219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116.88291259244788</v>
      </c>
      <c r="CL106" s="21">
        <f>EXP(-LN(2)/25)*CL105+(1-EXP(-LN(2)/25))/(LN(2)/25)*Calculateur!CG106*Calculateur!CI106*VLOOKUP('Données projet'!$B$12,Paramètres!$A$1:$I$89,3,0)*0.475*44/12</f>
        <v>19.349222185303041</v>
      </c>
      <c r="CM106" s="21">
        <f>EXP(-LN(2)/2)*CM105+(1-EXP(-LN(2)/2))/(LN(2)/2)*CG106*CJ106*VLOOKUP('Données projet'!$B$12,Paramètres!$A$1:$I$89,3,0)*0.475*44/12</f>
        <v>3.0036106456912416E-4</v>
      </c>
      <c r="CN106" s="22">
        <f t="shared" si="66"/>
        <v>136.2324351388155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8.5265128291212022E-14</v>
      </c>
      <c r="CU106" s="17">
        <f>CT106*VLOOKUP('Données projet'!$B$13,Paramètres!$A$1:$I$89,3,0)*VLOOKUP('Données projet'!$B$13,Paramètres!$A$1:$I$89,5,0)</f>
        <v>8.9119112089974823E-14</v>
      </c>
      <c r="CV106" s="13">
        <f t="shared" si="95"/>
        <v>1.3568952080113142E-12</v>
      </c>
      <c r="CW106" s="20">
        <f t="shared" si="67"/>
        <v>2.5184749408430782E-12</v>
      </c>
      <c r="CX106" s="59">
        <f t="shared" si="68"/>
        <v>278.21876892976519</v>
      </c>
      <c r="CY106" s="59">
        <f ca="1">AVERAGE(OFFSET($CX$3,0,0,'Données projet'!$E$13+1,1))-AVERAGE(OFFSET($H$3,0,0,'Données projet'!$E$13+1,1))</f>
        <v>287.73449456153207</v>
      </c>
      <c r="CZ106" s="59">
        <f t="shared" si="96"/>
        <v>296.74833899433281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61.999502207463742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61.999502207463742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298.3</v>
      </c>
      <c r="DM106" s="12">
        <f>VLOOKUP(A106,'Données projet'!$A$165:$I$185,9,0)</f>
        <v>6.7350000000000021</v>
      </c>
      <c r="DN106" s="12">
        <f t="array" ref="DN106">INDEX(DM:DM,MIN(IF(ISNUMBER(DM106:DM302),ROW(DM106:DM302),"")))</f>
        <v>6.7350000000000021</v>
      </c>
      <c r="DO106" s="12">
        <f>IF('Données projet'!$A$166&gt;35,DO105+DN106-DW105,IF(A106&lt;'Données projet'!$A$166,$DL$205^A106,IF(A106='Données projet'!$A$166,'Données projet'!$B$166,DO105+DN106-DW105)))</f>
        <v>298.30000000000024</v>
      </c>
      <c r="DP106" s="17">
        <f>DO106*VLOOKUP('Données projet'!$B$14,Paramètres!$A$1:$I$89,3,0)*VLOOKUP('Données projet'!$B$14,Paramètres!$A$1:$I$89,5,0)</f>
        <v>302.47620000000023</v>
      </c>
      <c r="DQ106" s="13">
        <f t="shared" si="97"/>
        <v>71.695321500315984</v>
      </c>
      <c r="DR106" s="20">
        <f t="shared" si="70"/>
        <v>651.68206661305078</v>
      </c>
      <c r="DS106" s="59">
        <f t="shared" si="71"/>
        <v>929.90083554281341</v>
      </c>
      <c r="DT106" s="59">
        <f ca="1">AVERAGE(OFFSET($DS$3,0,0,'Données projet'!$E$14+1,1))-AVERAGE(OFFSET($H$3,0,0,'Données projet'!$E$14+1,1))</f>
        <v>532.34688562681413</v>
      </c>
      <c r="DU106" s="59">
        <f t="shared" si="98"/>
        <v>345.42627129678556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50.51</v>
      </c>
      <c r="DX106" s="16">
        <f>IF(ISNA(VLOOKUP(A106,'Données projet'!$A$165:$I$185,5,0)),0%,VLOOKUP(A106,'Données projet'!$A$165:$I$185,5,0)*VLOOKUP('Données projet'!$B$14,Paramètres!$A$1:$I$89,7,0))</f>
        <v>0.30099999999999999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53.926129399005383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53.926129399005383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-5.6843418860808015E-14</v>
      </c>
      <c r="EK106" s="17">
        <f>EJ106*VLOOKUP('Données projet'!$B$15,Paramètres!$A$1:$I$89,3,0)*VLOOKUP('Données projet'!$B$15,Paramètres!$A$1:$I$89,5,0)</f>
        <v>-5.1431925385259088E-14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256.20286603823035</v>
      </c>
      <c r="EP106" s="59">
        <f t="shared" si="100"/>
        <v>364.83827155069434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15.963071830511204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15.963071830511204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>
        <f>VLOOKUP(A106,'Données projet'!$A$217:$I$237,2,0)</f>
        <v>298.3</v>
      </c>
      <c r="FC106" s="12">
        <f>VLOOKUP(A106,'Données projet'!$A$217:$I$237,9,0)</f>
        <v>6.7350000000000021</v>
      </c>
      <c r="FD106" s="12">
        <f t="array" ref="FD106">INDEX(FC:FC,MIN(IF(ISNUMBER(FC106:FC302),ROW(FC106:FC302),"")))</f>
        <v>6.7350000000000021</v>
      </c>
      <c r="FE106" s="12">
        <f>IF('Données projet'!$A$218&gt;35,FE105+FD106-FM105,IF(A106&lt;'Données projet'!$A$218,$FB$205^A106,IF(A106='Données projet'!$A$218,'Données projet'!$B$218,FE105+FD106-FM105)))</f>
        <v>298.30000000000024</v>
      </c>
      <c r="FF106" s="17">
        <f>FE106*VLOOKUP('Données projet'!$B$16,Paramètres!$A$1:$I$89,3,0)*VLOOKUP('Données projet'!$B$16,Paramètres!$A$1:$I$89,5,0)</f>
        <v>200.09964000000014</v>
      </c>
      <c r="FG106" s="13">
        <f t="shared" si="101"/>
        <v>49.76606494676448</v>
      </c>
      <c r="FH106" s="20">
        <f t="shared" si="76"/>
        <v>435.18276944894836</v>
      </c>
      <c r="FI106" s="59">
        <f t="shared" si="77"/>
        <v>713.40153837871105</v>
      </c>
      <c r="FJ106" s="59">
        <f ca="1">AVERAGE(OFFSET($FI$3,0,0,'Données projet'!$E$16+1,1))-AVERAGE(OFFSET($H$3,0,0,'Données projet'!$E$16+1,1))</f>
        <v>380.73695370216979</v>
      </c>
      <c r="FK106" s="59">
        <f t="shared" si="102"/>
        <v>249.34467160415713</v>
      </c>
      <c r="FL106" s="15">
        <f>IF(ISNA(VLOOKUP(A106,'Données projet'!$A$217:$I$237,3,0)),0,VLOOKUP(A106,'Données projet'!$A$217:$I$237,3,0))</f>
        <v>8</v>
      </c>
      <c r="FM106" s="15">
        <f>IF(ISNA(VLOOKUP(A106,'Données projet'!$A$217:$I$237,4,0)),0,VLOOKUP(A106,'Données projet'!$A$217:$I$237,4,0))</f>
        <v>50.51</v>
      </c>
      <c r="FN106" s="16">
        <f>IF(ISNA(VLOOKUP(A106,'Données projet'!$A$217:$I$237,5,0)),0%,VLOOKUP(A106,'Données projet'!$A$217:$I$237,5,0)*VLOOKUP('Données projet'!$B$16,Paramètres!$A$1:$I$89,7,0))</f>
        <v>0.371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43.970536279189027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43.970536279189027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>
        <f>VLOOKUP(A106,'Données projet'!$A$243:$I$263,2,0)</f>
        <v>298.3</v>
      </c>
      <c r="FX106" s="12">
        <f>VLOOKUP(A106,'Données projet'!$A$243:$I$263,9,0)</f>
        <v>6.7350000000000021</v>
      </c>
      <c r="FY106" s="12">
        <f t="array" ref="FY106">INDEX(FX:FX,MIN(IF(ISNUMBER(FX106:FX302),ROW(FX106:FX302),"")))</f>
        <v>6.7350000000000021</v>
      </c>
      <c r="FZ106" s="12">
        <f>IF('Données projet'!$A$244&gt;35,FZ105+FY106-GH105,IF(A106&lt;'Données projet'!$A$244,$FW$205^A106,IF(A106='Données projet'!$A$244,'Données projet'!$B$244,FZ105+FY106-GH105)))</f>
        <v>298.30000000000024</v>
      </c>
      <c r="GA106" s="17">
        <f>FZ106*VLOOKUP('Données projet'!$B$17,Paramètres!$A$1:$I$89,3,0)*VLOOKUP('Données projet'!$B$17,Paramètres!$A$1:$I$89,5,0)</f>
        <v>288.51576000000023</v>
      </c>
      <c r="GB106" s="13">
        <f t="shared" si="103"/>
        <v>68.763483804467839</v>
      </c>
      <c r="GC106" s="20">
        <f t="shared" si="79"/>
        <v>622.26134962611513</v>
      </c>
      <c r="GD106" s="59">
        <f t="shared" si="80"/>
        <v>900.48011855587788</v>
      </c>
      <c r="GE106" s="59">
        <f ca="1">AVERAGE(OFFSET($GD$3,0,0,'Données projet'!$E$17+1,1))-AVERAGE(OFFSET($H$3,0,0,'Données projet'!$E$17+1,1))</f>
        <v>511.7458522930001</v>
      </c>
      <c r="GF106" s="59">
        <f t="shared" si="104"/>
        <v>332.37317679966122</v>
      </c>
      <c r="GG106" s="15">
        <f>IF(ISNA(VLOOKUP(A106,'Données projet'!$A$243:$I$263,3,0)),0,VLOOKUP(A106,'Données projet'!$A$243:$I$263,3,0))</f>
        <v>8</v>
      </c>
      <c r="GH106" s="15">
        <f>IF(ISNA(VLOOKUP(A106,'Données projet'!$A$243:$I$263,4,0)),0,VLOOKUP(A106,'Données projet'!$A$243:$I$263,4,0))</f>
        <v>50.51</v>
      </c>
      <c r="GI106" s="16">
        <f>IF(ISNA(VLOOKUP(A106,'Données projet'!$A$243:$I$263,5,0)),0%,VLOOKUP(A106,'Données projet'!$A$243:$I$263,5,0)*VLOOKUP('Données projet'!$B$17,Paramètres!$A$1:$I$89,7,0))</f>
        <v>0.30099999999999999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51.437231119051305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51.437231119051305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-1.7053025658242404E-13</v>
      </c>
      <c r="GV106" s="17">
        <f>GU106*VLOOKUP('Données projet'!$B$18,Paramètres!$A$1:$I$89,3,0)*VLOOKUP('Données projet'!$B$18,Paramètres!$A$1:$I$89,5,0)</f>
        <v>-1.4897523215040567E-13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348.77506423101278</v>
      </c>
      <c r="HA106" s="59">
        <f t="shared" si="106"/>
        <v>336.13747591329548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84.719134894160547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84.719134894160547</v>
      </c>
    </row>
    <row r="107" spans="1:218" x14ac:dyDescent="0.2">
      <c r="A107" s="10">
        <f t="shared" si="85"/>
        <v>104</v>
      </c>
      <c r="B107" s="71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5">
        <f t="shared" si="56"/>
        <v>183.33333333333334</v>
      </c>
      <c r="I107" s="6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8.7210000000000036</v>
      </c>
      <c r="N107" s="13">
        <f>IF('Données projet'!$A$36&gt;35,N106+M107-V106,IF(A107&lt;'Données projet'!$A$36,$K$205^A107,IF(A107='Données projet'!$A$36,'Données projet'!$B$36,N106+M107-V106)))</f>
        <v>347.95899999999955</v>
      </c>
      <c r="O107" s="13">
        <f>N107*VLOOKUP('Données projet'!$B$9,Paramètres!$A$1:$I$89,3,0)*VLOOKUP('Données projet'!$B$9,Paramètres!$A$1:$I$89,5,0)</f>
        <v>162.84481199999979</v>
      </c>
      <c r="P107" s="13">
        <f t="shared" si="87"/>
        <v>41.483511061408436</v>
      </c>
      <c r="Q107" s="20">
        <f t="shared" si="107"/>
        <v>355.87182933195271</v>
      </c>
      <c r="R107" s="59">
        <f t="shared" si="55"/>
        <v>634.35280216301362</v>
      </c>
      <c r="S107" s="59">
        <f ca="1">AVERAGE(OFFSET($R$3,0,0,'Données projet'!$E$9+1,1))-AVERAGE(OFFSET($H$3,0,0,'Données projet'!$E$9+1,1))</f>
        <v>387.50901594883317</v>
      </c>
      <c r="T107" s="59">
        <f t="shared" si="88"/>
        <v>361.3623790401972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127.17943154983601</v>
      </c>
      <c r="AA107" s="21">
        <f>EXP(-LN(2)/25)*AA106+(1-EXP(-LN(2)/25))/(LN(2)/25)*Calculateur!V107*Calculateur!X107*VLOOKUP('Données projet'!$B$9,Paramètres!$A$1:$I$89,3,0)*0.475*44/12</f>
        <v>24.408244356868948</v>
      </c>
      <c r="AB107" s="21">
        <f>EXP(-LN(2)/2)*AB106+(1-EXP(-LN(2)/2))/(LN(2)/2)*V107*Y107*VLOOKUP('Données projet'!$B$9,Paramètres!$A$1:$I$89,3,0)*0.475*44/12</f>
        <v>0.57901601780090028</v>
      </c>
      <c r="AC107" s="22">
        <f t="shared" si="57"/>
        <v>152.16669192450587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373.47758082856359</v>
      </c>
      <c r="AO107" s="59">
        <f t="shared" si="90"/>
        <v>277.24895424120166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119.47542953217236</v>
      </c>
      <c r="AV107" s="21">
        <f>EXP(-LN(2)/25)*AV106+(1-EXP(-LN(2)/25))/(LN(2)/25)*Calculateur!AQ107*Calculateur!AS107*VLOOKUP('Données projet'!$B$10,Paramètres!$A$1:$I$89,3,0)*0.475*44/12</f>
        <v>18.482838995191045</v>
      </c>
      <c r="AW107" s="21">
        <f>EXP(-LN(2)/2)*AW106+(1-EXP(-LN(2)/2))/(LN(2)/2)*AQ107*AT107*VLOOKUP('Données projet'!$B$10,Paramètres!$A$1:$I$89,3,0)*0.475*44/12</f>
        <v>7.7837909239286051E-3</v>
      </c>
      <c r="AX107" s="21">
        <f t="shared" si="60"/>
        <v>137.96605231828732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-6.8212102632969618E-13</v>
      </c>
      <c r="BE107" s="13">
        <f>BD107*VLOOKUP('Données projet'!$B$11,Paramètres!$A$1:$I$89,3,0)*VLOOKUP('Données projet'!$B$11,Paramètres!$A$1:$I$89,5,0)</f>
        <v>-4.0790837374515837E-13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460.88622650237176</v>
      </c>
      <c r="BJ107" s="59">
        <f t="shared" si="92"/>
        <v>396.05161661639647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139.6203857143089</v>
      </c>
      <c r="BQ107" s="21">
        <f>EXP(-LN(2)/25)*BQ106+(1-EXP(-LN(2)/25))/(LN(2)/25)*Calculateur!BL107*Calculateur!BN107*VLOOKUP('Données projet'!$B$11,Paramètres!$A$1:$I$89,3,0)*0.475*44/12</f>
        <v>20.263079891805482</v>
      </c>
      <c r="BR107" s="21">
        <f>EXP(-LN(2)/2)*BR106+(1-EXP(-LN(2)/2))/(LN(2)/2)*BL107*BO107*VLOOKUP('Données projet'!$B$11,Paramètres!$A$1:$I$89,3,0)*0.475*44/12</f>
        <v>2.5130901767421374E-3</v>
      </c>
      <c r="BS107" s="22">
        <f t="shared" si="63"/>
        <v>159.88597869629112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-5.1727511163335289E-14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341.60063595566282</v>
      </c>
      <c r="CE107" s="59">
        <f t="shared" si="94"/>
        <v>317.05609766344219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114.5909099680472</v>
      </c>
      <c r="CL107" s="21">
        <f>EXP(-LN(2)/25)*CL106+(1-EXP(-LN(2)/25))/(LN(2)/25)*Calculateur!CG107*Calculateur!CI107*VLOOKUP('Données projet'!$B$12,Paramètres!$A$1:$I$89,3,0)*0.475*44/12</f>
        <v>18.82011668711456</v>
      </c>
      <c r="CM107" s="21">
        <f>EXP(-LN(2)/2)*CM106+(1-EXP(-LN(2)/2))/(LN(2)/2)*CG107*CJ107*VLOOKUP('Données projet'!$B$12,Paramètres!$A$1:$I$89,3,0)*0.475*44/12</f>
        <v>2.1238734556123815E-4</v>
      </c>
      <c r="CN107" s="22">
        <f t="shared" si="66"/>
        <v>133.4112390425073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8.5265128291212022E-14</v>
      </c>
      <c r="CU107" s="17">
        <f>CT107*VLOOKUP('Données projet'!$B$13,Paramètres!$A$1:$I$89,3,0)*VLOOKUP('Données projet'!$B$13,Paramètres!$A$1:$I$89,5,0)</f>
        <v>8.9119112089974823E-14</v>
      </c>
      <c r="CV107" s="13">
        <f t="shared" si="95"/>
        <v>1.3568952080113142E-12</v>
      </c>
      <c r="CW107" s="20">
        <f t="shared" si="67"/>
        <v>2.5184749408430782E-12</v>
      </c>
      <c r="CX107" s="59">
        <f t="shared" si="68"/>
        <v>278.48097283106341</v>
      </c>
      <c r="CY107" s="59">
        <f ca="1">AVERAGE(OFFSET($CX$3,0,0,'Données projet'!$E$13+1,1))-AVERAGE(OFFSET($H$3,0,0,'Données projet'!$E$13+1,1))</f>
        <v>287.73449456153207</v>
      </c>
      <c r="CZ107" s="59">
        <f t="shared" si="96"/>
        <v>296.74833899433281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60.783729785137709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60.783729785137709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6.5199999999999987</v>
      </c>
      <c r="DO107" s="12">
        <f>IF('Données projet'!$A$166&gt;35,DO106+DN107-DW106,IF(A107&lt;'Données projet'!$A$166,$DL$205^A107,IF(A107='Données projet'!$A$166,'Données projet'!$B$166,DO106+DN107-DW106)))</f>
        <v>254.31000000000023</v>
      </c>
      <c r="DP107" s="17">
        <f>DO107*VLOOKUP('Données projet'!$B$14,Paramètres!$A$1:$I$89,3,0)*VLOOKUP('Données projet'!$B$14,Paramètres!$A$1:$I$89,5,0)</f>
        <v>257.87034000000023</v>
      </c>
      <c r="DQ107" s="13">
        <f t="shared" si="97"/>
        <v>62.268203434282583</v>
      </c>
      <c r="DR107" s="20">
        <f t="shared" si="70"/>
        <v>557.57462981470928</v>
      </c>
      <c r="DS107" s="59">
        <f t="shared" si="71"/>
        <v>836.05560264577025</v>
      </c>
      <c r="DT107" s="59">
        <f ca="1">AVERAGE(OFFSET($DS$3,0,0,'Données projet'!$E$14+1,1))-AVERAGE(OFFSET($H$3,0,0,'Données projet'!$E$14+1,1))</f>
        <v>532.34688562681413</v>
      </c>
      <c r="DU107" s="59">
        <f t="shared" si="98"/>
        <v>345.42627129678556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52.868670893182035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52.868670893182035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-5.6843418860808015E-14</v>
      </c>
      <c r="EK107" s="17">
        <f>EJ107*VLOOKUP('Données projet'!$B$15,Paramètres!$A$1:$I$89,3,0)*VLOOKUP('Données projet'!$B$15,Paramètres!$A$1:$I$89,5,0)</f>
        <v>-5.1431925385259088E-14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256.20286603823035</v>
      </c>
      <c r="EP107" s="59">
        <f t="shared" si="100"/>
        <v>364.83827155069434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15.650045728427296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15.650045728427296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6.5199999999999987</v>
      </c>
      <c r="FE107" s="12">
        <f>IF('Données projet'!$A$218&gt;35,FE106+FD107-FM106,IF(A107&lt;'Données projet'!$A$218,$FB$205^A107,IF(A107='Données projet'!$A$218,'Données projet'!$B$218,FE106+FD107-FM106)))</f>
        <v>254.31000000000023</v>
      </c>
      <c r="FF107" s="17">
        <f>FE107*VLOOKUP('Données projet'!$B$16,Paramètres!$A$1:$I$89,3,0)*VLOOKUP('Données projet'!$B$16,Paramètres!$A$1:$I$89,5,0)</f>
        <v>170.59114800000017</v>
      </c>
      <c r="FG107" s="13">
        <f t="shared" si="101"/>
        <v>43.222394312231309</v>
      </c>
      <c r="FH107" s="20">
        <f t="shared" si="76"/>
        <v>372.39191952713645</v>
      </c>
      <c r="FI107" s="59">
        <f t="shared" si="77"/>
        <v>650.8728923581973</v>
      </c>
      <c r="FJ107" s="59">
        <f ca="1">AVERAGE(OFFSET($FI$3,0,0,'Données projet'!$E$16+1,1))-AVERAGE(OFFSET($H$3,0,0,'Données projet'!$E$16+1,1))</f>
        <v>380.73695370216979</v>
      </c>
      <c r="FK107" s="59">
        <f t="shared" si="102"/>
        <v>249.34467160415713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43.108300882133065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43.108300882133065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6.5199999999999987</v>
      </c>
      <c r="FZ107" s="12">
        <f>IF('Données projet'!$A$244&gt;35,FZ106+FY107-GH106,IF(A107&lt;'Données projet'!$A$244,$FW$205^A107,IF(A107='Données projet'!$A$244,'Données projet'!$B$244,FZ106+FY107-GH106)))</f>
        <v>254.31000000000023</v>
      </c>
      <c r="GA107" s="17">
        <f>FZ107*VLOOKUP('Données projet'!$B$17,Paramètres!$A$1:$I$89,3,0)*VLOOKUP('Données projet'!$B$17,Paramètres!$A$1:$I$89,5,0)</f>
        <v>245.96863200000024</v>
      </c>
      <c r="GB107" s="13">
        <f t="shared" si="103"/>
        <v>59.721868997654582</v>
      </c>
      <c r="GC107" s="20">
        <f t="shared" si="79"/>
        <v>532.41095590424868</v>
      </c>
      <c r="GD107" s="59">
        <f t="shared" si="80"/>
        <v>810.89192873530965</v>
      </c>
      <c r="GE107" s="59">
        <f ca="1">AVERAGE(OFFSET($GD$3,0,0,'Données projet'!$E$17+1,1))-AVERAGE(OFFSET($H$3,0,0,'Données projet'!$E$17+1,1))</f>
        <v>511.7458522930001</v>
      </c>
      <c r="GF107" s="59">
        <f t="shared" si="104"/>
        <v>332.37317679966122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50.428578390419801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50.428578390419801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-1.7053025658242404E-13</v>
      </c>
      <c r="GV107" s="17">
        <f>GU107*VLOOKUP('Données projet'!$B$18,Paramètres!$A$1:$I$89,3,0)*VLOOKUP('Données projet'!$B$18,Paramètres!$A$1:$I$89,5,0)</f>
        <v>-1.4897523215040567E-13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348.77506423101278</v>
      </c>
      <c r="HA107" s="59">
        <f t="shared" si="106"/>
        <v>336.13747591329548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83.057844332456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83.057844332456</v>
      </c>
    </row>
    <row r="108" spans="1:218" x14ac:dyDescent="0.2">
      <c r="A108" s="10">
        <f t="shared" si="85"/>
        <v>105</v>
      </c>
      <c r="B108" s="71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5">
        <f t="shared" si="56"/>
        <v>183.33333333333334</v>
      </c>
      <c r="I108" s="6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356.68</v>
      </c>
      <c r="L108" s="12">
        <f>VLOOKUP(A108,'Données projet'!$A$35:$I$55,9,0)</f>
        <v>8.7210000000000036</v>
      </c>
      <c r="M108" s="12">
        <f t="array" ref="M108">INDEX(L:L,MIN(IF(ISNUMBER(L108:L304),ROW(L108:L304),"")))</f>
        <v>8.7210000000000036</v>
      </c>
      <c r="N108" s="13">
        <f>IF('Données projet'!$A$36&gt;35,N107+M108-V107,IF(A108&lt;'Données projet'!$A$36,$K$205^A108,IF(A108='Données projet'!$A$36,'Données projet'!$B$36,N107+M108-V107)))</f>
        <v>356.67999999999955</v>
      </c>
      <c r="O108" s="13">
        <f>N108*VLOOKUP('Données projet'!$B$9,Paramètres!$A$1:$I$89,3,0)*VLOOKUP('Données projet'!$B$9,Paramètres!$A$1:$I$89,5,0)</f>
        <v>166.92623999999978</v>
      </c>
      <c r="P108" s="13">
        <f t="shared" si="87"/>
        <v>42.400874242636554</v>
      </c>
      <c r="Q108" s="20">
        <f t="shared" si="107"/>
        <v>364.57805730592491</v>
      </c>
      <c r="R108" s="59">
        <f t="shared" si="55"/>
        <v>643.31668538679673</v>
      </c>
      <c r="S108" s="59">
        <f ca="1">AVERAGE(OFFSET($R$3,0,0,'Données projet'!$E$9+1,1))-AVERAGE(OFFSET($H$3,0,0,'Données projet'!$E$9+1,1))</f>
        <v>387.50901594883317</v>
      </c>
      <c r="T108" s="59">
        <f t="shared" si="88"/>
        <v>361.3623790401972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356.68</v>
      </c>
      <c r="W108" s="16">
        <f>IF(ISNA(VLOOKUP(A108,'Données projet'!$A$35:$I$55,5,0)),0%,VLOOKUP(A108,'Données projet'!$A$35:$I$55,5,0)*VLOOKUP('Données projet'!$B$9,Paramètres!$A$1:$I$89,7,0))</f>
        <v>0.44000000000000006</v>
      </c>
      <c r="X108" s="16">
        <f>IF(ISNA(VLOOKUP(A108,'Données projet'!$A$35:$I$55,6,0)),0%,VLOOKUP(A108,'Données projet'!$A$35:$I$55,6,0)*VLOOKUP('Données projet'!$B$9,Paramètres!$A$1:$I$89,7,0))</f>
        <v>6.0500000000000005E-2</v>
      </c>
      <c r="Y108" s="16">
        <f>IF(ISNA(VLOOKUP(A108,'Données projet'!$A$35:$I$55,7,0)),0%,VLOOKUP(A108,'Données projet'!$A$35:$I$55,7,0))</f>
        <v>0.09</v>
      </c>
      <c r="Z108" s="21">
        <f>EXP(-LN(2)/35)*Z107+(1-EXP(-LN(2)/35))/(LN(2)/35)*V108*W108*VLOOKUP('Données projet'!$B$9,Paramètres!$A$1:$I$89,3,0)*0.475*44/12</f>
        <v>222.11842380117218</v>
      </c>
      <c r="AA108" s="21">
        <f>EXP(-LN(2)/25)*AA107+(1-EXP(-LN(2)/25))/(LN(2)/25)*Calculateur!V108*Calculateur!X108*VLOOKUP('Données projet'!$B$9,Paramètres!$A$1:$I$89,3,0)*0.475*44/12</f>
        <v>37.085074650564835</v>
      </c>
      <c r="AB108" s="21">
        <f>EXP(-LN(2)/2)*AB107+(1-EXP(-LN(2)/2))/(LN(2)/2)*V108*Y108*VLOOKUP('Données projet'!$B$9,Paramètres!$A$1:$I$89,3,0)*0.475*44/12</f>
        <v>17.41936137354153</v>
      </c>
      <c r="AC108" s="22">
        <f t="shared" si="57"/>
        <v>276.62285982527851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373.47758082856359</v>
      </c>
      <c r="AO108" s="59">
        <f t="shared" si="90"/>
        <v>277.24895424120166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117.13258923186288</v>
      </c>
      <c r="AV108" s="21">
        <f>EXP(-LN(2)/25)*AV107+(1-EXP(-LN(2)/25))/(LN(2)/25)*Calculateur!AQ108*Calculateur!AS108*VLOOKUP('Données projet'!$B$10,Paramètres!$A$1:$I$89,3,0)*0.475*44/12</f>
        <v>17.977424790897288</v>
      </c>
      <c r="AW108" s="21">
        <f>EXP(-LN(2)/2)*AW107+(1-EXP(-LN(2)/2))/(LN(2)/2)*AQ108*AT108*VLOOKUP('Données projet'!$B$10,Paramètres!$A$1:$I$89,3,0)*0.475*44/12</f>
        <v>5.5039713456482191E-3</v>
      </c>
      <c r="AX108" s="21">
        <f t="shared" si="60"/>
        <v>135.11551799410583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-6.8212102632969618E-13</v>
      </c>
      <c r="BE108" s="13">
        <f>BD108*VLOOKUP('Données projet'!$B$11,Paramètres!$A$1:$I$89,3,0)*VLOOKUP('Données projet'!$B$11,Paramètres!$A$1:$I$89,5,0)</f>
        <v>-4.0790837374515837E-13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460.88622650237176</v>
      </c>
      <c r="BJ108" s="59">
        <f t="shared" si="92"/>
        <v>396.05161661639647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136.88251511047773</v>
      </c>
      <c r="BQ108" s="21">
        <f>EXP(-LN(2)/25)*BQ107+(1-EXP(-LN(2)/25))/(LN(2)/25)*Calculateur!BL108*Calculateur!BN108*VLOOKUP('Données projet'!$B$11,Paramètres!$A$1:$I$89,3,0)*0.475*44/12</f>
        <v>19.708984906575001</v>
      </c>
      <c r="BR108" s="21">
        <f>EXP(-LN(2)/2)*BR107+(1-EXP(-LN(2)/2))/(LN(2)/2)*BL108*BO108*VLOOKUP('Données projet'!$B$11,Paramètres!$A$1:$I$89,3,0)*0.475*44/12</f>
        <v>1.7770231057076646E-3</v>
      </c>
      <c r="BS108" s="22">
        <f t="shared" si="63"/>
        <v>156.59327704015845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-5.1727511163335289E-14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341.60063595566282</v>
      </c>
      <c r="CE108" s="59">
        <f t="shared" si="94"/>
        <v>317.05609766344219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112.34385211712745</v>
      </c>
      <c r="CL108" s="21">
        <f>EXP(-LN(2)/25)*CL107+(1-EXP(-LN(2)/25))/(LN(2)/25)*Calculateur!CG108*Calculateur!CI108*VLOOKUP('Données projet'!$B$12,Paramètres!$A$1:$I$89,3,0)*0.475*44/12</f>
        <v>18.305479606598489</v>
      </c>
      <c r="CM108" s="21">
        <f>EXP(-LN(2)/2)*CM107+(1-EXP(-LN(2)/2))/(LN(2)/2)*CG108*CJ108*VLOOKUP('Données projet'!$B$12,Paramètres!$A$1:$I$89,3,0)*0.475*44/12</f>
        <v>1.5018053228456208E-4</v>
      </c>
      <c r="CN108" s="22">
        <f t="shared" si="66"/>
        <v>130.64948190425821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8.5265128291212022E-14</v>
      </c>
      <c r="CU108" s="17">
        <f>CT108*VLOOKUP('Données projet'!$B$13,Paramètres!$A$1:$I$89,3,0)*VLOOKUP('Données projet'!$B$13,Paramètres!$A$1:$I$89,5,0)</f>
        <v>8.9119112089974823E-14</v>
      </c>
      <c r="CV108" s="13">
        <f t="shared" si="95"/>
        <v>1.3568952080113142E-12</v>
      </c>
      <c r="CW108" s="20">
        <f t="shared" si="67"/>
        <v>2.5184749408430782E-12</v>
      </c>
      <c r="CX108" s="59">
        <f t="shared" si="68"/>
        <v>278.73862808087426</v>
      </c>
      <c r="CY108" s="59">
        <f ca="1">AVERAGE(OFFSET($CX$3,0,0,'Données projet'!$E$13+1,1))-AVERAGE(OFFSET($H$3,0,0,'Données projet'!$E$13+1,1))</f>
        <v>287.73449456153207</v>
      </c>
      <c r="CZ108" s="59">
        <f t="shared" si="96"/>
        <v>296.74833899433281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59.591797918465531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59.591797918465531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6.5199999999999987</v>
      </c>
      <c r="DO108" s="12">
        <f>IF('Données projet'!$A$166&gt;35,DO107+DN108-DW107,IF(A108&lt;'Données projet'!$A$166,$DL$205^A108,IF(A108='Données projet'!$A$166,'Données projet'!$B$166,DO107+DN108-DW107)))</f>
        <v>260.83000000000021</v>
      </c>
      <c r="DP108" s="17">
        <f>DO108*VLOOKUP('Données projet'!$B$14,Paramètres!$A$1:$I$89,3,0)*VLOOKUP('Données projet'!$B$14,Paramètres!$A$1:$I$89,5,0)</f>
        <v>264.48162000000025</v>
      </c>
      <c r="DQ108" s="13">
        <f t="shared" si="97"/>
        <v>63.676725974700901</v>
      </c>
      <c r="DR108" s="20">
        <f t="shared" si="70"/>
        <v>571.54245257260447</v>
      </c>
      <c r="DS108" s="59">
        <f t="shared" si="71"/>
        <v>850.28108065347624</v>
      </c>
      <c r="DT108" s="59">
        <f ca="1">AVERAGE(OFFSET($DS$3,0,0,'Données projet'!$E$14+1,1))-AVERAGE(OFFSET($H$3,0,0,'Données projet'!$E$14+1,1))</f>
        <v>532.34688562681413</v>
      </c>
      <c r="DU108" s="59">
        <f t="shared" si="98"/>
        <v>345.42627129678556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51.831948503671882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51.831948503671882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-5.6843418860808015E-14</v>
      </c>
      <c r="EK108" s="17">
        <f>EJ108*VLOOKUP('Données projet'!$B$15,Paramètres!$A$1:$I$89,3,0)*VLOOKUP('Données projet'!$B$15,Paramètres!$A$1:$I$89,5,0)</f>
        <v>-5.1431925385259088E-14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256.20286603823035</v>
      </c>
      <c r="EP108" s="59">
        <f t="shared" si="100"/>
        <v>364.83827155069434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15.343157877278182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15.343157877278182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6.5199999999999987</v>
      </c>
      <c r="FE108" s="12">
        <f>IF('Données projet'!$A$218&gt;35,FE107+FD108-FM107,IF(A108&lt;'Données projet'!$A$218,$FB$205^A108,IF(A108='Données projet'!$A$218,'Données projet'!$B$218,FE107+FD108-FM107)))</f>
        <v>260.83000000000021</v>
      </c>
      <c r="FF108" s="17">
        <f>FE108*VLOOKUP('Données projet'!$B$16,Paramètres!$A$1:$I$89,3,0)*VLOOKUP('Données projet'!$B$16,Paramètres!$A$1:$I$89,5,0)</f>
        <v>174.96476400000014</v>
      </c>
      <c r="FG108" s="13">
        <f t="shared" si="101"/>
        <v>44.20009582410929</v>
      </c>
      <c r="FH108" s="20">
        <f t="shared" si="76"/>
        <v>381.7121308603239</v>
      </c>
      <c r="FI108" s="59">
        <f t="shared" si="77"/>
        <v>660.45075894119566</v>
      </c>
      <c r="FJ108" s="59">
        <f ca="1">AVERAGE(OFFSET($FI$3,0,0,'Données projet'!$E$16+1,1))-AVERAGE(OFFSET($H$3,0,0,'Données projet'!$E$16+1,1))</f>
        <v>380.73695370216979</v>
      </c>
      <c r="FK108" s="59">
        <f t="shared" si="102"/>
        <v>249.34467160415713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42.262973395301707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42.262973395301707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6.5199999999999987</v>
      </c>
      <c r="FZ108" s="12">
        <f>IF('Données projet'!$A$244&gt;35,FZ107+FY108-GH107,IF(A108&lt;'Données projet'!$A$244,$FW$205^A108,IF(A108='Données projet'!$A$244,'Données projet'!$B$244,FZ107+FY108-GH107)))</f>
        <v>260.83000000000021</v>
      </c>
      <c r="GA108" s="17">
        <f>FZ108*VLOOKUP('Données projet'!$B$17,Paramètres!$A$1:$I$89,3,0)*VLOOKUP('Données projet'!$B$17,Paramètres!$A$1:$I$89,5,0)</f>
        <v>252.2747760000002</v>
      </c>
      <c r="GB108" s="13">
        <f t="shared" si="103"/>
        <v>61.072792807876311</v>
      </c>
      <c r="GC108" s="20">
        <f t="shared" si="79"/>
        <v>545.74701567371824</v>
      </c>
      <c r="GD108" s="59">
        <f t="shared" si="80"/>
        <v>824.48564375459</v>
      </c>
      <c r="GE108" s="59">
        <f ca="1">AVERAGE(OFFSET($GD$3,0,0,'Données projet'!$E$17+1,1))-AVERAGE(OFFSET($H$3,0,0,'Données projet'!$E$17+1,1))</f>
        <v>511.7458522930001</v>
      </c>
      <c r="GF108" s="59">
        <f t="shared" si="104"/>
        <v>332.37317679966122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49.43970472657935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49.43970472657935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-1.7053025658242404E-13</v>
      </c>
      <c r="GV108" s="17">
        <f>GU108*VLOOKUP('Données projet'!$B$18,Paramètres!$A$1:$I$89,3,0)*VLOOKUP('Données projet'!$B$18,Paramètres!$A$1:$I$89,5,0)</f>
        <v>-1.4897523215040567E-13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348.77506423101278</v>
      </c>
      <c r="HA108" s="59">
        <f t="shared" si="106"/>
        <v>336.13747591329548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81.42913066537929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81.42913066537929</v>
      </c>
    </row>
    <row r="109" spans="1:218" x14ac:dyDescent="0.2">
      <c r="A109" s="10">
        <f t="shared" si="85"/>
        <v>106</v>
      </c>
      <c r="B109" s="71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5">
        <f t="shared" si="56"/>
        <v>183.33333333333334</v>
      </c>
      <c r="I109" s="6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-2.1282176021486519E-13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387.50901594883317</v>
      </c>
      <c r="T109" s="59">
        <f t="shared" si="88"/>
        <v>361.3623790401972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217.7628169892923</v>
      </c>
      <c r="AA109" s="21">
        <f>EXP(-LN(2)/25)*AA108+(1-EXP(-LN(2)/25))/(LN(2)/25)*Calculateur!V109*Calculateur!X109*VLOOKUP('Données projet'!$B$9,Paramètres!$A$1:$I$89,3,0)*0.475*44/12</f>
        <v>36.070981334025824</v>
      </c>
      <c r="AB109" s="21">
        <f>EXP(-LN(2)/2)*AB108+(1-EXP(-LN(2)/2))/(LN(2)/2)*V109*Y109*VLOOKUP('Données projet'!$B$9,Paramètres!$A$1:$I$89,3,0)*0.475*44/12</f>
        <v>12.31734855117023</v>
      </c>
      <c r="AC109" s="22">
        <f t="shared" si="57"/>
        <v>266.15114687448835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373.47758082856359</v>
      </c>
      <c r="AO109" s="59">
        <f t="shared" si="90"/>
        <v>277.24895424120166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114.835690600851</v>
      </c>
      <c r="AV109" s="21">
        <f>EXP(-LN(2)/25)*AV108+(1-EXP(-LN(2)/25))/(LN(2)/25)*Calculateur!AQ109*Calculateur!AS109*VLOOKUP('Données projet'!$B$10,Paramètres!$A$1:$I$89,3,0)*0.475*44/12</f>
        <v>17.485831164598519</v>
      </c>
      <c r="AW109" s="21">
        <f>EXP(-LN(2)/2)*AW108+(1-EXP(-LN(2)/2))/(LN(2)/2)*AQ109*AT109*VLOOKUP('Données projet'!$B$10,Paramètres!$A$1:$I$89,3,0)*0.475*44/12</f>
        <v>3.891895461964303E-3</v>
      </c>
      <c r="AX109" s="21">
        <f t="shared" si="60"/>
        <v>132.32541366091149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-6.8212102632969618E-13</v>
      </c>
      <c r="BE109" s="13">
        <f>BD109*VLOOKUP('Données projet'!$B$11,Paramètres!$A$1:$I$89,3,0)*VLOOKUP('Données projet'!$B$11,Paramètres!$A$1:$I$89,5,0)</f>
        <v>-4.0790837374515837E-13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460.88622650237176</v>
      </c>
      <c r="BJ109" s="59">
        <f t="shared" si="92"/>
        <v>396.05161661639647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134.19833247925152</v>
      </c>
      <c r="BQ109" s="21">
        <f>EXP(-LN(2)/25)*BQ108+(1-EXP(-LN(2)/25))/(LN(2)/25)*Calculateur!BL109*Calculateur!BN109*VLOOKUP('Données projet'!$B$11,Paramètres!$A$1:$I$89,3,0)*0.475*44/12</f>
        <v>19.170041677854236</v>
      </c>
      <c r="BR109" s="21">
        <f>EXP(-LN(2)/2)*BR108+(1-EXP(-LN(2)/2))/(LN(2)/2)*BL109*BO109*VLOOKUP('Données projet'!$B$11,Paramètres!$A$1:$I$89,3,0)*0.475*44/12</f>
        <v>1.2565450883710687E-3</v>
      </c>
      <c r="BS109" s="22">
        <f t="shared" si="63"/>
        <v>153.36963070219414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-5.1727511163335289E-14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341.60063595566282</v>
      </c>
      <c r="CE109" s="59">
        <f t="shared" si="94"/>
        <v>317.05609766344219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110.14085770009429</v>
      </c>
      <c r="CL109" s="21">
        <f>EXP(-LN(2)/25)*CL108+(1-EXP(-LN(2)/25))/(LN(2)/25)*Calculateur!CG109*Calculateur!CI109*VLOOKUP('Données projet'!$B$12,Paramètres!$A$1:$I$89,3,0)*0.475*44/12</f>
        <v>17.804915304112718</v>
      </c>
      <c r="CM109" s="21">
        <f>EXP(-LN(2)/2)*CM108+(1-EXP(-LN(2)/2))/(LN(2)/2)*CG109*CJ109*VLOOKUP('Données projet'!$B$12,Paramètres!$A$1:$I$89,3,0)*0.475*44/12</f>
        <v>1.0619367278061908E-4</v>
      </c>
      <c r="CN109" s="22">
        <f t="shared" si="66"/>
        <v>127.94587919787979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8.5265128291212022E-14</v>
      </c>
      <c r="CU109" s="17">
        <f>CT109*VLOOKUP('Données projet'!$B$13,Paramètres!$A$1:$I$89,3,0)*VLOOKUP('Données projet'!$B$13,Paramètres!$A$1:$I$89,5,0)</f>
        <v>8.9119112089974823E-14</v>
      </c>
      <c r="CV109" s="13">
        <f t="shared" si="95"/>
        <v>1.3568952080113142E-12</v>
      </c>
      <c r="CW109" s="20">
        <f t="shared" si="67"/>
        <v>2.5184749408430782E-12</v>
      </c>
      <c r="CX109" s="59">
        <f t="shared" si="68"/>
        <v>278.99181358813161</v>
      </c>
      <c r="CY109" s="59">
        <f ca="1">AVERAGE(OFFSET($CX$3,0,0,'Données projet'!$E$13+1,1))-AVERAGE(OFFSET($H$3,0,0,'Données projet'!$E$13+1,1))</f>
        <v>287.73449456153207</v>
      </c>
      <c r="CZ109" s="59">
        <f t="shared" si="96"/>
        <v>296.74833899433281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58.423239108692144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58.423239108692144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6.5199999999999987</v>
      </c>
      <c r="DO109" s="12">
        <f>IF('Données projet'!$A$166&gt;35,DO108+DN109-DW108,IF(A109&lt;'Données projet'!$A$166,$DL$205^A109,IF(A109='Données projet'!$A$166,'Données projet'!$B$166,DO108+DN109-DW108)))</f>
        <v>267.35000000000019</v>
      </c>
      <c r="DP109" s="17">
        <f>DO109*VLOOKUP('Données projet'!$B$14,Paramètres!$A$1:$I$89,3,0)*VLOOKUP('Données projet'!$B$14,Paramètres!$A$1:$I$89,5,0)</f>
        <v>271.09290000000021</v>
      </c>
      <c r="DQ109" s="13">
        <f t="shared" si="97"/>
        <v>65.081155692107473</v>
      </c>
      <c r="DR109" s="20">
        <f t="shared" si="70"/>
        <v>585.50314699708758</v>
      </c>
      <c r="DS109" s="59">
        <f t="shared" si="71"/>
        <v>864.49496058521663</v>
      </c>
      <c r="DT109" s="59">
        <f ca="1">AVERAGE(OFFSET($DS$3,0,0,'Données projet'!$E$14+1,1))-AVERAGE(OFFSET($H$3,0,0,'Données projet'!$E$14+1,1))</f>
        <v>532.34688562681413</v>
      </c>
      <c r="DU109" s="59">
        <f t="shared" si="98"/>
        <v>345.42627129678556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50.815555607881805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50.815555607881805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-5.6843418860808015E-14</v>
      </c>
      <c r="EK109" s="17">
        <f>EJ109*VLOOKUP('Données projet'!$B$15,Paramètres!$A$1:$I$89,3,0)*VLOOKUP('Données projet'!$B$15,Paramètres!$A$1:$I$89,5,0)</f>
        <v>-5.1431925385259088E-14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256.20286603823035</v>
      </c>
      <c r="EP109" s="59">
        <f t="shared" si="100"/>
        <v>364.83827155069434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15.042287909706996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15.042287909706996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6.5199999999999987</v>
      </c>
      <c r="FE109" s="12">
        <f>IF('Données projet'!$A$218&gt;35,FE108+FD109-FM108,IF(A109&lt;'Données projet'!$A$218,$FB$205^A109,IF(A109='Données projet'!$A$218,'Données projet'!$B$218,FE108+FD109-FM108)))</f>
        <v>267.35000000000019</v>
      </c>
      <c r="FF109" s="17">
        <f>FE109*VLOOKUP('Données projet'!$B$16,Paramètres!$A$1:$I$89,3,0)*VLOOKUP('Données projet'!$B$16,Paramètres!$A$1:$I$89,5,0)</f>
        <v>179.33838000000014</v>
      </c>
      <c r="FG109" s="13">
        <f t="shared" si="101"/>
        <v>45.174956373821956</v>
      </c>
      <c r="FH109" s="20">
        <f t="shared" si="76"/>
        <v>391.02739418440677</v>
      </c>
      <c r="FI109" s="59">
        <f t="shared" si="77"/>
        <v>670.01920777253588</v>
      </c>
      <c r="FJ109" s="59">
        <f ca="1">AVERAGE(OFFSET($FI$3,0,0,'Données projet'!$E$16+1,1))-AVERAGE(OFFSET($H$3,0,0,'Données projet'!$E$16+1,1))</f>
        <v>380.73695370216979</v>
      </c>
      <c r="FK109" s="59">
        <f t="shared" si="102"/>
        <v>249.34467160415713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41.434222264888255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41.434222264888255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6.5199999999999987</v>
      </c>
      <c r="FZ109" s="12">
        <f>IF('Données projet'!$A$244&gt;35,FZ108+FY109-GH108,IF(A109&lt;'Données projet'!$A$244,$FW$205^A109,IF(A109='Données projet'!$A$244,'Données projet'!$B$244,FZ108+FY109-GH108)))</f>
        <v>267.35000000000019</v>
      </c>
      <c r="GA109" s="17">
        <f>FZ109*VLOOKUP('Données projet'!$B$17,Paramètres!$A$1:$I$89,3,0)*VLOOKUP('Données projet'!$B$17,Paramètres!$A$1:$I$89,5,0)</f>
        <v>258.58092000000022</v>
      </c>
      <c r="GB109" s="13">
        <f t="shared" si="103"/>
        <v>62.419791162950048</v>
      </c>
      <c r="GC109" s="20">
        <f t="shared" si="79"/>
        <v>559.07623860880494</v>
      </c>
      <c r="GD109" s="59">
        <f t="shared" si="80"/>
        <v>838.0680521969341</v>
      </c>
      <c r="GE109" s="59">
        <f ca="1">AVERAGE(OFFSET($GD$3,0,0,'Données projet'!$E$17+1,1))-AVERAGE(OFFSET($H$3,0,0,'Données projet'!$E$17+1,1))</f>
        <v>511.7458522930001</v>
      </c>
      <c r="GF109" s="59">
        <f t="shared" si="104"/>
        <v>332.37317679966122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48.470222272133427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48.470222272133427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-1.7053025658242404E-13</v>
      </c>
      <c r="GV109" s="17">
        <f>GU109*VLOOKUP('Données projet'!$B$18,Paramètres!$A$1:$I$89,3,0)*VLOOKUP('Données projet'!$B$18,Paramètres!$A$1:$I$89,5,0)</f>
        <v>-1.4897523215040567E-13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348.77506423101278</v>
      </c>
      <c r="HA109" s="59">
        <f t="shared" si="106"/>
        <v>336.13747591329548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79.832355079896715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79.832355079896715</v>
      </c>
    </row>
    <row r="110" spans="1:218" x14ac:dyDescent="0.2">
      <c r="A110" s="10">
        <f t="shared" si="85"/>
        <v>107</v>
      </c>
      <c r="B110" s="71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5">
        <f t="shared" si="56"/>
        <v>183.33333333333334</v>
      </c>
      <c r="I110" s="6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-2.1282176021486519E-13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387.50901594883317</v>
      </c>
      <c r="T110" s="59">
        <f t="shared" si="88"/>
        <v>361.3623790401972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213.49262097033554</v>
      </c>
      <c r="AA110" s="21">
        <f>EXP(-LN(2)/25)*AA109+(1-EXP(-LN(2)/25))/(LN(2)/25)*Calculateur!V110*Calculateur!X110*VLOOKUP('Données projet'!$B$9,Paramètres!$A$1:$I$89,3,0)*0.475*44/12</f>
        <v>35.08461845255642</v>
      </c>
      <c r="AB110" s="21">
        <f>EXP(-LN(2)/2)*AB109+(1-EXP(-LN(2)/2))/(LN(2)/2)*V110*Y110*VLOOKUP('Données projet'!$B$9,Paramètres!$A$1:$I$89,3,0)*0.475*44/12</f>
        <v>8.709680686770767</v>
      </c>
      <c r="AC110" s="22">
        <f t="shared" si="57"/>
        <v>257.28692010966273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373.47758082856359</v>
      </c>
      <c r="AO110" s="59">
        <f t="shared" si="90"/>
        <v>277.24895424120166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112.58383275102342</v>
      </c>
      <c r="AV110" s="21">
        <f>EXP(-LN(2)/25)*AV109+(1-EXP(-LN(2)/25))/(LN(2)/25)*Calculateur!AQ110*Calculateur!AS110*VLOOKUP('Données projet'!$B$10,Paramètres!$A$1:$I$89,3,0)*0.475*44/12</f>
        <v>17.007680191862676</v>
      </c>
      <c r="AW110" s="21">
        <f>EXP(-LN(2)/2)*AW109+(1-EXP(-LN(2)/2))/(LN(2)/2)*AQ110*AT110*VLOOKUP('Données projet'!$B$10,Paramètres!$A$1:$I$89,3,0)*0.475*44/12</f>
        <v>2.75198567282411E-3</v>
      </c>
      <c r="AX110" s="21">
        <f t="shared" si="60"/>
        <v>129.59426492855891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-6.8212102632969618E-13</v>
      </c>
      <c r="BE110" s="13">
        <f>BD110*VLOOKUP('Données projet'!$B$11,Paramètres!$A$1:$I$89,3,0)*VLOOKUP('Données projet'!$B$11,Paramètres!$A$1:$I$89,5,0)</f>
        <v>-4.0790837374515837E-13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460.88622650237176</v>
      </c>
      <c r="BJ110" s="59">
        <f t="shared" si="92"/>
        <v>396.05161661639647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131.56678503223389</v>
      </c>
      <c r="BQ110" s="21">
        <f>EXP(-LN(2)/25)*BQ109+(1-EXP(-LN(2)/25))/(LN(2)/25)*Calculateur!BL110*Calculateur!BN110*VLOOKUP('Données projet'!$B$11,Paramètres!$A$1:$I$89,3,0)*0.475*44/12</f>
        <v>18.645835880064634</v>
      </c>
      <c r="BR110" s="21">
        <f>EXP(-LN(2)/2)*BR109+(1-EXP(-LN(2)/2))/(LN(2)/2)*BL110*BO110*VLOOKUP('Données projet'!$B$11,Paramètres!$A$1:$I$89,3,0)*0.475*44/12</f>
        <v>8.885115528538323E-4</v>
      </c>
      <c r="BS110" s="22">
        <f t="shared" si="63"/>
        <v>150.21350942385138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-5.1727511163335289E-14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341.60063595566282</v>
      </c>
      <c r="CE110" s="59">
        <f t="shared" si="94"/>
        <v>317.05609766344219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107.98106265988523</v>
      </c>
      <c r="CL110" s="21">
        <f>EXP(-LN(2)/25)*CL109+(1-EXP(-LN(2)/25))/(LN(2)/25)*Calculateur!CG110*Calculateur!CI110*VLOOKUP('Données projet'!$B$12,Paramètres!$A$1:$I$89,3,0)*0.475*44/12</f>
        <v>17.318038958801953</v>
      </c>
      <c r="CM110" s="21">
        <f>EXP(-LN(2)/2)*CM109+(1-EXP(-LN(2)/2))/(LN(2)/2)*CG110*CJ110*VLOOKUP('Données projet'!$B$12,Paramètres!$A$1:$I$89,3,0)*0.475*44/12</f>
        <v>7.5090266142281039E-5</v>
      </c>
      <c r="CN110" s="22">
        <f t="shared" si="66"/>
        <v>125.29917670895331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8.5265128291212022E-14</v>
      </c>
      <c r="CU110" s="17">
        <f>CT110*VLOOKUP('Données projet'!$B$13,Paramètres!$A$1:$I$89,3,0)*VLOOKUP('Données projet'!$B$13,Paramètres!$A$1:$I$89,5,0)</f>
        <v>8.9119112089974823E-14</v>
      </c>
      <c r="CV110" s="13">
        <f t="shared" si="95"/>
        <v>1.3568952080113142E-12</v>
      </c>
      <c r="CW110" s="20">
        <f t="shared" si="67"/>
        <v>2.5184749408430782E-12</v>
      </c>
      <c r="CX110" s="59">
        <f t="shared" si="68"/>
        <v>279.24060689287614</v>
      </c>
      <c r="CY110" s="59">
        <f ca="1">AVERAGE(OFFSET($CX$3,0,0,'Données projet'!$E$13+1,1))-AVERAGE(OFFSET($H$3,0,0,'Données projet'!$E$13+1,1))</f>
        <v>287.73449456153207</v>
      </c>
      <c r="CZ110" s="59">
        <f t="shared" si="96"/>
        <v>296.74833899433281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57.277595024427917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57.277595024427917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6.5199999999999987</v>
      </c>
      <c r="DO110" s="12">
        <f>IF('Données projet'!$A$166&gt;35,DO109+DN110-DW109,IF(A110&lt;'Données projet'!$A$166,$DL$205^A110,IF(A110='Données projet'!$A$166,'Données projet'!$B$166,DO109+DN110-DW109)))</f>
        <v>273.87000000000018</v>
      </c>
      <c r="DP110" s="17">
        <f>DO110*VLOOKUP('Données projet'!$B$14,Paramètres!$A$1:$I$89,3,0)*VLOOKUP('Données projet'!$B$14,Paramètres!$A$1:$I$89,5,0)</f>
        <v>277.70418000000018</v>
      </c>
      <c r="DQ110" s="13">
        <f t="shared" si="97"/>
        <v>66.481603882872932</v>
      </c>
      <c r="DR110" s="20">
        <f t="shared" si="70"/>
        <v>599.45690692933738</v>
      </c>
      <c r="DS110" s="59">
        <f t="shared" si="71"/>
        <v>878.69751382221102</v>
      </c>
      <c r="DT110" s="59">
        <f ca="1">AVERAGE(OFFSET($DS$3,0,0,'Données projet'!$E$14+1,1))-AVERAGE(OFFSET($H$3,0,0,'Données projet'!$E$14+1,1))</f>
        <v>532.34688562681413</v>
      </c>
      <c r="DU110" s="59">
        <f t="shared" si="98"/>
        <v>345.42627129678556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49.819093556839718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49.819093556839718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-5.6843418860808015E-14</v>
      </c>
      <c r="EK110" s="17">
        <f>EJ110*VLOOKUP('Données projet'!$B$15,Paramètres!$A$1:$I$89,3,0)*VLOOKUP('Données projet'!$B$15,Paramètres!$A$1:$I$89,5,0)</f>
        <v>-5.1431925385259088E-14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256.20286603823035</v>
      </c>
      <c r="EP110" s="59">
        <f t="shared" si="100"/>
        <v>364.83827155069434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14.747317818687321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14.747317818687321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6.5199999999999987</v>
      </c>
      <c r="FE110" s="12">
        <f>IF('Données projet'!$A$218&gt;35,FE109+FD110-FM109,IF(A110&lt;'Données projet'!$A$218,$FB$205^A110,IF(A110='Données projet'!$A$218,'Données projet'!$B$218,FE109+FD110-FM109)))</f>
        <v>273.87000000000018</v>
      </c>
      <c r="FF110" s="17">
        <f>FE110*VLOOKUP('Données projet'!$B$16,Paramètres!$A$1:$I$89,3,0)*VLOOKUP('Données projet'!$B$16,Paramètres!$A$1:$I$89,5,0)</f>
        <v>183.71199600000011</v>
      </c>
      <c r="FG110" s="13">
        <f t="shared" si="101"/>
        <v>46.147053215816065</v>
      </c>
      <c r="FH110" s="20">
        <f t="shared" si="76"/>
        <v>400.33784405087982</v>
      </c>
      <c r="FI110" s="59">
        <f t="shared" si="77"/>
        <v>679.57845094375352</v>
      </c>
      <c r="FJ110" s="59">
        <f ca="1">AVERAGE(OFFSET($FI$3,0,0,'Données projet'!$E$16+1,1))-AVERAGE(OFFSET($H$3,0,0,'Données projet'!$E$16+1,1))</f>
        <v>380.73695370216979</v>
      </c>
      <c r="FK110" s="59">
        <f t="shared" si="102"/>
        <v>249.34467160415713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40.62172243865394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40.62172243865394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6.5199999999999987</v>
      </c>
      <c r="FZ110" s="12">
        <f>IF('Données projet'!$A$244&gt;35,FZ109+FY110-GH109,IF(A110&lt;'Données projet'!$A$244,$FW$205^A110,IF(A110='Données projet'!$A$244,'Données projet'!$B$244,FZ109+FY110-GH109)))</f>
        <v>273.87000000000018</v>
      </c>
      <c r="GA110" s="17">
        <f>FZ110*VLOOKUP('Données projet'!$B$17,Paramètres!$A$1:$I$89,3,0)*VLOOKUP('Données projet'!$B$17,Paramètres!$A$1:$I$89,5,0)</f>
        <v>264.88706400000018</v>
      </c>
      <c r="GB110" s="13">
        <f t="shared" si="103"/>
        <v>63.762970808002116</v>
      </c>
      <c r="GC110" s="20">
        <f t="shared" si="79"/>
        <v>572.39881062393727</v>
      </c>
      <c r="GD110" s="59">
        <f t="shared" si="80"/>
        <v>851.63941751681091</v>
      </c>
      <c r="GE110" s="59">
        <f ca="1">AVERAGE(OFFSET($GD$3,0,0,'Données projet'!$E$17+1,1))-AVERAGE(OFFSET($H$3,0,0,'Données projet'!$E$17+1,1))</f>
        <v>511.7458522930001</v>
      </c>
      <c r="GF110" s="59">
        <f t="shared" si="104"/>
        <v>332.37317679966122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47.519750777293282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47.519750777293282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-1.7053025658242404E-13</v>
      </c>
      <c r="GV110" s="17">
        <f>GU110*VLOOKUP('Données projet'!$B$18,Paramètres!$A$1:$I$89,3,0)*VLOOKUP('Données projet'!$B$18,Paramètres!$A$1:$I$89,5,0)</f>
        <v>-1.4897523215040567E-13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348.77506423101278</v>
      </c>
      <c r="HA110" s="59">
        <f t="shared" si="106"/>
        <v>336.13747591329548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78.266891289708511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78.266891289708511</v>
      </c>
    </row>
    <row r="111" spans="1:218" x14ac:dyDescent="0.2">
      <c r="A111" s="10">
        <f t="shared" si="85"/>
        <v>108</v>
      </c>
      <c r="B111" s="71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5">
        <f t="shared" si="56"/>
        <v>183.33333333333334</v>
      </c>
      <c r="I111" s="6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-2.1282176021486519E-13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387.50901594883317</v>
      </c>
      <c r="T111" s="59">
        <f t="shared" si="88"/>
        <v>361.3623790401972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209.30616089074812</v>
      </c>
      <c r="AA111" s="21">
        <f>EXP(-LN(2)/25)*AA110+(1-EXP(-LN(2)/25))/(LN(2)/25)*Calculateur!V111*Calculateur!X111*VLOOKUP('Données projet'!$B$9,Paramètres!$A$1:$I$89,3,0)*0.475*44/12</f>
        <v>34.125227715951368</v>
      </c>
      <c r="AB111" s="21">
        <f>EXP(-LN(2)/2)*AB110+(1-EXP(-LN(2)/2))/(LN(2)/2)*V111*Y111*VLOOKUP('Données projet'!$B$9,Paramètres!$A$1:$I$89,3,0)*0.475*44/12</f>
        <v>6.158674275585116</v>
      </c>
      <c r="AC111" s="22">
        <f t="shared" si="57"/>
        <v>249.59006288228463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373.47758082856359</v>
      </c>
      <c r="AO111" s="59">
        <f t="shared" si="90"/>
        <v>277.24895424120166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110.37613246013329</v>
      </c>
      <c r="AV111" s="21">
        <f>EXP(-LN(2)/25)*AV110+(1-EXP(-LN(2)/25))/(LN(2)/25)*Calculateur!AQ111*Calculateur!AS111*VLOOKUP('Données projet'!$B$10,Paramètres!$A$1:$I$89,3,0)*0.475*44/12</f>
        <v>16.542604282621163</v>
      </c>
      <c r="AW111" s="21">
        <f>EXP(-LN(2)/2)*AW110+(1-EXP(-LN(2)/2))/(LN(2)/2)*AQ111*AT111*VLOOKUP('Données projet'!$B$10,Paramètres!$A$1:$I$89,3,0)*0.475*44/12</f>
        <v>1.9459477309821519E-3</v>
      </c>
      <c r="AX111" s="21">
        <f t="shared" si="60"/>
        <v>126.92068269048544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-6.8212102632969618E-13</v>
      </c>
      <c r="BE111" s="13">
        <f>BD111*VLOOKUP('Données projet'!$B$11,Paramètres!$A$1:$I$89,3,0)*VLOOKUP('Données projet'!$B$11,Paramètres!$A$1:$I$89,5,0)</f>
        <v>-4.0790837374515837E-13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460.88622650237176</v>
      </c>
      <c r="BJ111" s="59">
        <f t="shared" si="92"/>
        <v>396.05161661639647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128.98684062556686</v>
      </c>
      <c r="BQ111" s="21">
        <f>EXP(-LN(2)/25)*BQ110+(1-EXP(-LN(2)/25))/(LN(2)/25)*Calculateur!BL111*Calculateur!BN111*VLOOKUP('Données projet'!$B$11,Paramètres!$A$1:$I$89,3,0)*0.475*44/12</f>
        <v>18.135964517382373</v>
      </c>
      <c r="BR111" s="21">
        <f>EXP(-LN(2)/2)*BR110+(1-EXP(-LN(2)/2))/(LN(2)/2)*BL111*BO111*VLOOKUP('Données projet'!$B$11,Paramètres!$A$1:$I$89,3,0)*0.475*44/12</f>
        <v>6.2827254418553434E-4</v>
      </c>
      <c r="BS111" s="22">
        <f t="shared" si="63"/>
        <v>147.12343341549342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-5.1727511163335289E-14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341.60063595566282</v>
      </c>
      <c r="CE111" s="59">
        <f t="shared" si="94"/>
        <v>317.05609766344219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105.86361988306977</v>
      </c>
      <c r="CL111" s="21">
        <f>EXP(-LN(2)/25)*CL110+(1-EXP(-LN(2)/25))/(LN(2)/25)*Calculateur!CG111*Calculateur!CI111*VLOOKUP('Données projet'!$B$12,Paramètres!$A$1:$I$89,3,0)*0.475*44/12</f>
        <v>16.844476272757426</v>
      </c>
      <c r="CM111" s="21">
        <f>EXP(-LN(2)/2)*CM110+(1-EXP(-LN(2)/2))/(LN(2)/2)*CG111*CJ111*VLOOKUP('Données projet'!$B$12,Paramètres!$A$1:$I$89,3,0)*0.475*44/12</f>
        <v>5.3096836390309538E-5</v>
      </c>
      <c r="CN111" s="22">
        <f t="shared" si="66"/>
        <v>122.7081492526636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8.5265128291212022E-14</v>
      </c>
      <c r="CU111" s="17">
        <f>CT111*VLOOKUP('Données projet'!$B$13,Paramètres!$A$1:$I$89,3,0)*VLOOKUP('Données projet'!$B$13,Paramètres!$A$1:$I$89,5,0)</f>
        <v>8.9119112089974823E-14</v>
      </c>
      <c r="CV111" s="13">
        <f t="shared" si="95"/>
        <v>1.3568952080113142E-12</v>
      </c>
      <c r="CW111" s="20">
        <f t="shared" si="67"/>
        <v>2.5184749408430782E-12</v>
      </c>
      <c r="CX111" s="59">
        <f t="shared" si="68"/>
        <v>279.48508419000183</v>
      </c>
      <c r="CY111" s="59">
        <f ca="1">AVERAGE(OFFSET($CX$3,0,0,'Données projet'!$E$13+1,1))-AVERAGE(OFFSET($H$3,0,0,'Données projet'!$E$13+1,1))</f>
        <v>287.73449456153207</v>
      </c>
      <c r="CZ111" s="59">
        <f t="shared" si="96"/>
        <v>296.74833899433281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56.154416321882216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56.154416321882216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6.5199999999999987</v>
      </c>
      <c r="DO111" s="12">
        <f>IF('Données projet'!$A$166&gt;35,DO110+DN111-DW110,IF(A111&lt;'Données projet'!$A$166,$DL$205^A111,IF(A111='Données projet'!$A$166,'Données projet'!$B$166,DO110+DN111-DW110)))</f>
        <v>280.39000000000016</v>
      </c>
      <c r="DP111" s="17">
        <f>DO111*VLOOKUP('Données projet'!$B$14,Paramètres!$A$1:$I$89,3,0)*VLOOKUP('Données projet'!$B$14,Paramètres!$A$1:$I$89,5,0)</f>
        <v>284.3154600000002</v>
      </c>
      <c r="DQ111" s="13">
        <f t="shared" si="97"/>
        <v>67.878176241874186</v>
      </c>
      <c r="DR111" s="20">
        <f t="shared" si="70"/>
        <v>613.40391645459783</v>
      </c>
      <c r="DS111" s="59">
        <f t="shared" si="71"/>
        <v>892.88900064459722</v>
      </c>
      <c r="DT111" s="59">
        <f ca="1">AVERAGE(OFFSET($DS$3,0,0,'Données projet'!$E$14+1,1))-AVERAGE(OFFSET($H$3,0,0,'Données projet'!$E$14+1,1))</f>
        <v>532.34688562681413</v>
      </c>
      <c r="DU111" s="59">
        <f t="shared" si="98"/>
        <v>345.42627129678556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48.842171518836729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48.842171518836729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-5.6843418860808015E-14</v>
      </c>
      <c r="EK111" s="17">
        <f>EJ111*VLOOKUP('Données projet'!$B$15,Paramètres!$A$1:$I$89,3,0)*VLOOKUP('Données projet'!$B$15,Paramètres!$A$1:$I$89,5,0)</f>
        <v>-5.1431925385259088E-14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256.20286603823035</v>
      </c>
      <c r="EP111" s="59">
        <f t="shared" si="100"/>
        <v>364.83827155069434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14.458131911238553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14.458131911238553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6.5199999999999987</v>
      </c>
      <c r="FE111" s="12">
        <f>IF('Données projet'!$A$218&gt;35,FE110+FD111-FM110,IF(A111&lt;'Données projet'!$A$218,$FB$205^A111,IF(A111='Données projet'!$A$218,'Données projet'!$B$218,FE110+FD111-FM110)))</f>
        <v>280.39000000000016</v>
      </c>
      <c r="FF111" s="17">
        <f>FE111*VLOOKUP('Données projet'!$B$16,Paramètres!$A$1:$I$89,3,0)*VLOOKUP('Données projet'!$B$16,Paramètres!$A$1:$I$89,5,0)</f>
        <v>188.08561200000011</v>
      </c>
      <c r="FG111" s="13">
        <f t="shared" si="101"/>
        <v>47.116459716358911</v>
      </c>
      <c r="FH111" s="20">
        <f t="shared" si="76"/>
        <v>409.64360823932526</v>
      </c>
      <c r="FI111" s="59">
        <f t="shared" si="77"/>
        <v>689.12869242932459</v>
      </c>
      <c r="FJ111" s="59">
        <f ca="1">AVERAGE(OFFSET($FI$3,0,0,'Données projet'!$E$16+1,1))-AVERAGE(OFFSET($H$3,0,0,'Données projet'!$E$16+1,1))</f>
        <v>380.73695370216979</v>
      </c>
      <c r="FK111" s="59">
        <f t="shared" si="102"/>
        <v>249.34467160415713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39.825155238436118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39.825155238436118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6.5199999999999987</v>
      </c>
      <c r="FZ111" s="12">
        <f>IF('Données projet'!$A$244&gt;35,FZ110+FY111-GH110,IF(A111&lt;'Données projet'!$A$244,$FW$205^A111,IF(A111='Données projet'!$A$244,'Données projet'!$B$244,FZ110+FY111-GH110)))</f>
        <v>280.39000000000016</v>
      </c>
      <c r="GA111" s="17">
        <f>FZ111*VLOOKUP('Données projet'!$B$17,Paramètres!$A$1:$I$89,3,0)*VLOOKUP('Données projet'!$B$17,Paramètres!$A$1:$I$89,5,0)</f>
        <v>271.19320800000014</v>
      </c>
      <c r="GB111" s="13">
        <f t="shared" si="103"/>
        <v>65.102433115727948</v>
      </c>
      <c r="GC111" s="20">
        <f t="shared" si="79"/>
        <v>585.71490827655975</v>
      </c>
      <c r="GD111" s="59">
        <f t="shared" si="80"/>
        <v>865.19999246655902</v>
      </c>
      <c r="GE111" s="59">
        <f ca="1">AVERAGE(OFFSET($GD$3,0,0,'Données projet'!$E$17+1,1))-AVERAGE(OFFSET($H$3,0,0,'Données projet'!$E$17+1,1))</f>
        <v>511.7458522930001</v>
      </c>
      <c r="GF111" s="59">
        <f t="shared" si="104"/>
        <v>332.37317679966122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46.587917448736583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46.587917448736583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-1.7053025658242404E-13</v>
      </c>
      <c r="GV111" s="17">
        <f>GU111*VLOOKUP('Données projet'!$B$18,Paramètres!$A$1:$I$89,3,0)*VLOOKUP('Données projet'!$B$18,Paramètres!$A$1:$I$89,5,0)</f>
        <v>-1.4897523215040567E-13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348.77506423101278</v>
      </c>
      <c r="HA111" s="59">
        <f t="shared" si="106"/>
        <v>336.13747591329548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76.732125289607268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76.732125289607268</v>
      </c>
    </row>
    <row r="112" spans="1:218" x14ac:dyDescent="0.2">
      <c r="A112" s="10">
        <f t="shared" si="85"/>
        <v>109</v>
      </c>
      <c r="B112" s="71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5">
        <f t="shared" si="56"/>
        <v>183.33333333333334</v>
      </c>
      <c r="I112" s="6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-2.1282176021486519E-13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387.50901594883317</v>
      </c>
      <c r="T112" s="59">
        <f t="shared" si="88"/>
        <v>361.3623790401972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205.20179473983291</v>
      </c>
      <c r="AA112" s="21">
        <f>EXP(-LN(2)/25)*AA111+(1-EXP(-LN(2)/25))/(LN(2)/25)*Calculateur!V112*Calculateur!X112*VLOOKUP('Données projet'!$B$9,Paramètres!$A$1:$I$89,3,0)*0.475*44/12</f>
        <v>33.192071569490949</v>
      </c>
      <c r="AB112" s="21">
        <f>EXP(-LN(2)/2)*AB111+(1-EXP(-LN(2)/2))/(LN(2)/2)*V112*Y112*VLOOKUP('Données projet'!$B$9,Paramètres!$A$1:$I$89,3,0)*0.475*44/12</f>
        <v>4.3548403433853844</v>
      </c>
      <c r="AC112" s="22">
        <f t="shared" si="57"/>
        <v>242.74870665270925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373.47758082856359</v>
      </c>
      <c r="AO112" s="59">
        <f t="shared" si="90"/>
        <v>277.24895424120166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108.2117238253833</v>
      </c>
      <c r="AV112" s="21">
        <f>EXP(-LN(2)/25)*AV111+(1-EXP(-LN(2)/25))/(LN(2)/25)*Calculateur!AQ112*Calculateur!AS112*VLOOKUP('Données projet'!$B$10,Paramètres!$A$1:$I$89,3,0)*0.475*44/12</f>
        <v>16.090245898575137</v>
      </c>
      <c r="AW112" s="21">
        <f>EXP(-LN(2)/2)*AW111+(1-EXP(-LN(2)/2))/(LN(2)/2)*AQ112*AT112*VLOOKUP('Données projet'!$B$10,Paramètres!$A$1:$I$89,3,0)*0.475*44/12</f>
        <v>1.3759928364120552E-3</v>
      </c>
      <c r="AX112" s="21">
        <f t="shared" si="60"/>
        <v>124.30334571679485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-6.8212102632969618E-13</v>
      </c>
      <c r="BE112" s="13">
        <f>BD112*VLOOKUP('Données projet'!$B$11,Paramètres!$A$1:$I$89,3,0)*VLOOKUP('Données projet'!$B$11,Paramètres!$A$1:$I$89,5,0)</f>
        <v>-4.0790837374515837E-13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460.88622650237176</v>
      </c>
      <c r="BJ112" s="59">
        <f t="shared" si="92"/>
        <v>396.05161661639647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126.45748735510384</v>
      </c>
      <c r="BQ112" s="21">
        <f>EXP(-LN(2)/25)*BQ111+(1-EXP(-LN(2)/25))/(LN(2)/25)*Calculateur!BL112*Calculateur!BN112*VLOOKUP('Données projet'!$B$11,Paramètres!$A$1:$I$89,3,0)*0.475*44/12</f>
        <v>17.64003561392563</v>
      </c>
      <c r="BR112" s="21">
        <f>EXP(-LN(2)/2)*BR111+(1-EXP(-LN(2)/2))/(LN(2)/2)*BL112*BO112*VLOOKUP('Données projet'!$B$11,Paramètres!$A$1:$I$89,3,0)*0.475*44/12</f>
        <v>4.4425577642691615E-4</v>
      </c>
      <c r="BS112" s="22">
        <f t="shared" si="63"/>
        <v>144.09796722480587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-5.1727511163335289E-14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341.60063595566282</v>
      </c>
      <c r="CE112" s="59">
        <f t="shared" si="94"/>
        <v>317.05609766344219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103.7876988675951</v>
      </c>
      <c r="CL112" s="21">
        <f>EXP(-LN(2)/25)*CL111+(1-EXP(-LN(2)/25))/(LN(2)/25)*Calculateur!CG112*Calculateur!CI112*VLOOKUP('Données projet'!$B$12,Paramètres!$A$1:$I$89,3,0)*0.475*44/12</f>
        <v>16.383863183266364</v>
      </c>
      <c r="CM112" s="21">
        <f>EXP(-LN(2)/2)*CM111+(1-EXP(-LN(2)/2))/(LN(2)/2)*CG112*CJ112*VLOOKUP('Données projet'!$B$12,Paramètres!$A$1:$I$89,3,0)*0.475*44/12</f>
        <v>3.7545133071140519E-5</v>
      </c>
      <c r="CN112" s="22">
        <f t="shared" si="66"/>
        <v>120.17159959599454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8.5265128291212022E-14</v>
      </c>
      <c r="CU112" s="17">
        <f>CT112*VLOOKUP('Données projet'!$B$13,Paramètres!$A$1:$I$89,3,0)*VLOOKUP('Données projet'!$B$13,Paramètres!$A$1:$I$89,5,0)</f>
        <v>8.9119112089974823E-14</v>
      </c>
      <c r="CV112" s="13">
        <f t="shared" si="95"/>
        <v>1.3568952080113142E-12</v>
      </c>
      <c r="CW112" s="20">
        <f t="shared" si="67"/>
        <v>2.5184749408430782E-12</v>
      </c>
      <c r="CX112" s="59">
        <f t="shared" si="68"/>
        <v>279.72532035259178</v>
      </c>
      <c r="CY112" s="59">
        <f ca="1">AVERAGE(OFFSET($CX$3,0,0,'Données projet'!$E$13+1,1))-AVERAGE(OFFSET($H$3,0,0,'Données projet'!$E$13+1,1))</f>
        <v>287.73449456153207</v>
      </c>
      <c r="CZ112" s="59">
        <f t="shared" si="96"/>
        <v>296.74833899433281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55.053262468622073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55.053262468622073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6.5199999999999987</v>
      </c>
      <c r="DO112" s="12">
        <f>IF('Données projet'!$A$166&gt;35,DO111+DN112-DW111,IF(A112&lt;'Données projet'!$A$166,$DL$205^A112,IF(A112='Données projet'!$A$166,'Données projet'!$B$166,DO111+DN112-DW111)))</f>
        <v>286.91000000000014</v>
      </c>
      <c r="DP112" s="17">
        <f>DO112*VLOOKUP('Données projet'!$B$14,Paramètres!$A$1:$I$89,3,0)*VLOOKUP('Données projet'!$B$14,Paramètres!$A$1:$I$89,5,0)</f>
        <v>290.92674000000017</v>
      </c>
      <c r="DQ112" s="13">
        <f t="shared" si="97"/>
        <v>69.270973268014799</v>
      </c>
      <c r="DR112" s="20">
        <f t="shared" si="70"/>
        <v>627.34435060845942</v>
      </c>
      <c r="DS112" s="59">
        <f t="shared" si="71"/>
        <v>907.0696709610487</v>
      </c>
      <c r="DT112" s="59">
        <f ca="1">AVERAGE(OFFSET($DS$3,0,0,'Données projet'!$E$14+1,1))-AVERAGE(OFFSET($H$3,0,0,'Données projet'!$E$14+1,1))</f>
        <v>532.34688562681413</v>
      </c>
      <c r="DU112" s="59">
        <f t="shared" si="98"/>
        <v>345.42627129678556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47.88440632613537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47.88440632613537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-5.6843418860808015E-14</v>
      </c>
      <c r="EK112" s="17">
        <f>EJ112*VLOOKUP('Données projet'!$B$15,Paramètres!$A$1:$I$89,3,0)*VLOOKUP('Données projet'!$B$15,Paramètres!$A$1:$I$89,5,0)</f>
        <v>-5.1431925385259088E-14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256.20286603823035</v>
      </c>
      <c r="EP112" s="59">
        <f t="shared" si="100"/>
        <v>364.83827155069434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14.174616763048867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14.174616763048867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6.5199999999999987</v>
      </c>
      <c r="FE112" s="12">
        <f>IF('Données projet'!$A$218&gt;35,FE111+FD112-FM111,IF(A112&lt;'Données projet'!$A$218,$FB$205^A112,IF(A112='Données projet'!$A$218,'Données projet'!$B$218,FE111+FD112-FM111)))</f>
        <v>286.91000000000014</v>
      </c>
      <c r="FF112" s="17">
        <f>FE112*VLOOKUP('Données projet'!$B$16,Paramètres!$A$1:$I$89,3,0)*VLOOKUP('Données projet'!$B$16,Paramètres!$A$1:$I$89,5,0)</f>
        <v>192.45922800000011</v>
      </c>
      <c r="FG112" s="13">
        <f t="shared" si="101"/>
        <v>48.0832456350226</v>
      </c>
      <c r="FH112" s="20">
        <f t="shared" si="76"/>
        <v>418.94480824766453</v>
      </c>
      <c r="FI112" s="59">
        <f t="shared" si="77"/>
        <v>698.67012860025375</v>
      </c>
      <c r="FJ112" s="59">
        <f ca="1">AVERAGE(OFFSET($FI$3,0,0,'Données projet'!$E$16+1,1))-AVERAGE(OFFSET($H$3,0,0,'Données projet'!$E$16+1,1))</f>
        <v>380.73695370216979</v>
      </c>
      <c r="FK112" s="59">
        <f t="shared" si="102"/>
        <v>249.34467160415713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39.044208235156546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39.044208235156546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6.5199999999999987</v>
      </c>
      <c r="FZ112" s="12">
        <f>IF('Données projet'!$A$244&gt;35,FZ111+FY112-GH111,IF(A112&lt;'Données projet'!$A$244,$FW$205^A112,IF(A112='Données projet'!$A$244,'Données projet'!$B$244,FZ111+FY112-GH111)))</f>
        <v>286.91000000000014</v>
      </c>
      <c r="GA112" s="17">
        <f>FZ112*VLOOKUP('Données projet'!$B$17,Paramètres!$A$1:$I$89,3,0)*VLOOKUP('Données projet'!$B$17,Paramètres!$A$1:$I$89,5,0)</f>
        <v>277.49935200000016</v>
      </c>
      <c r="GB112" s="13">
        <f t="shared" si="103"/>
        <v>66.438274475327688</v>
      </c>
      <c r="GC112" s="20">
        <f t="shared" si="79"/>
        <v>599.02469944452935</v>
      </c>
      <c r="GD112" s="59">
        <f t="shared" si="80"/>
        <v>878.75001979711863</v>
      </c>
      <c r="GE112" s="59">
        <f ca="1">AVERAGE(OFFSET($GD$3,0,0,'Données projet'!$E$17+1,1))-AVERAGE(OFFSET($H$3,0,0,'Données projet'!$E$17+1,1))</f>
        <v>511.7458522930001</v>
      </c>
      <c r="GF112" s="59">
        <f t="shared" si="104"/>
        <v>332.37317679966122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45.674356803390673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45.674356803390673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-1.7053025658242404E-13</v>
      </c>
      <c r="GV112" s="17">
        <f>GU112*VLOOKUP('Données projet'!$B$18,Paramètres!$A$1:$I$89,3,0)*VLOOKUP('Données projet'!$B$18,Paramètres!$A$1:$I$89,5,0)</f>
        <v>-1.4897523215040567E-13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348.77506423101278</v>
      </c>
      <c r="HA112" s="59">
        <f t="shared" si="106"/>
        <v>336.13747591329548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75.227455114653182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75.227455114653182</v>
      </c>
    </row>
    <row r="113" spans="1:218" x14ac:dyDescent="0.2">
      <c r="A113" s="10">
        <f t="shared" si="85"/>
        <v>110</v>
      </c>
      <c r="B113" s="71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5">
        <f t="shared" si="56"/>
        <v>183.33333333333334</v>
      </c>
      <c r="I113" s="6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-2.1282176021486519E-13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387.50901594883317</v>
      </c>
      <c r="T113" s="59">
        <f t="shared" si="88"/>
        <v>361.3623790401972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201.17791270572098</v>
      </c>
      <c r="AA113" s="21">
        <f>EXP(-LN(2)/25)*AA112+(1-EXP(-LN(2)/25))/(LN(2)/25)*Calculateur!V113*Calculateur!X113*VLOOKUP('Données projet'!$B$9,Paramètres!$A$1:$I$89,3,0)*0.475*44/12</f>
        <v>32.284432626928037</v>
      </c>
      <c r="AB113" s="21">
        <f>EXP(-LN(2)/2)*AB112+(1-EXP(-LN(2)/2))/(LN(2)/2)*V113*Y113*VLOOKUP('Données projet'!$B$9,Paramètres!$A$1:$I$89,3,0)*0.475*44/12</f>
        <v>3.0793371377925589</v>
      </c>
      <c r="AC113" s="22">
        <f t="shared" si="57"/>
        <v>236.54168247044157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373.47758082856359</v>
      </c>
      <c r="AO113" s="59">
        <f t="shared" si="90"/>
        <v>277.24895424120166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106.08975792380186</v>
      </c>
      <c r="AV113" s="21">
        <f>EXP(-LN(2)/25)*AV112+(1-EXP(-LN(2)/25))/(LN(2)/25)*Calculateur!AQ113*Calculateur!AS113*VLOOKUP('Données projet'!$B$10,Paramètres!$A$1:$I$89,3,0)*0.475*44/12</f>
        <v>15.650257278329343</v>
      </c>
      <c r="AW113" s="21">
        <f>EXP(-LN(2)/2)*AW112+(1-EXP(-LN(2)/2))/(LN(2)/2)*AQ113*AT113*VLOOKUP('Données projet'!$B$10,Paramètres!$A$1:$I$89,3,0)*0.475*44/12</f>
        <v>9.7297386549107608E-4</v>
      </c>
      <c r="AX113" s="21">
        <f t="shared" si="60"/>
        <v>121.74098817599669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-6.8212102632969618E-13</v>
      </c>
      <c r="BE113" s="13">
        <f>BD113*VLOOKUP('Données projet'!$B$11,Paramètres!$A$1:$I$89,3,0)*VLOOKUP('Données projet'!$B$11,Paramètres!$A$1:$I$89,5,0)</f>
        <v>-4.0790837374515837E-13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460.88622650237176</v>
      </c>
      <c r="BJ113" s="59">
        <f t="shared" si="92"/>
        <v>396.05161661639647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123.97773315952143</v>
      </c>
      <c r="BQ113" s="21">
        <f>EXP(-LN(2)/25)*BQ112+(1-EXP(-LN(2)/25))/(LN(2)/25)*Calculateur!BL113*Calculateur!BN113*VLOOKUP('Données projet'!$B$11,Paramètres!$A$1:$I$89,3,0)*0.475*44/12</f>
        <v>17.157667912413679</v>
      </c>
      <c r="BR113" s="21">
        <f>EXP(-LN(2)/2)*BR112+(1-EXP(-LN(2)/2))/(LN(2)/2)*BL113*BO113*VLOOKUP('Données projet'!$B$11,Paramètres!$A$1:$I$89,3,0)*0.475*44/12</f>
        <v>3.1413627209276717E-4</v>
      </c>
      <c r="BS113" s="22">
        <f t="shared" si="63"/>
        <v>141.13571520820722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-5.1727511163335289E-14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341.60063595566282</v>
      </c>
      <c r="CE113" s="59">
        <f t="shared" si="94"/>
        <v>317.05609766344219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101.7524853970471</v>
      </c>
      <c r="CL113" s="21">
        <f>EXP(-LN(2)/25)*CL112+(1-EXP(-LN(2)/25))/(LN(2)/25)*Calculateur!CG113*Calculateur!CI113*VLOOKUP('Données projet'!$B$12,Paramètres!$A$1:$I$89,3,0)*0.475*44/12</f>
        <v>15.935845582930027</v>
      </c>
      <c r="CM113" s="21">
        <f>EXP(-LN(2)/2)*CM112+(1-EXP(-LN(2)/2))/(LN(2)/2)*CG113*CJ113*VLOOKUP('Données projet'!$B$12,Paramètres!$A$1:$I$89,3,0)*0.475*44/12</f>
        <v>2.6548418195154769E-5</v>
      </c>
      <c r="CN113" s="22">
        <f t="shared" si="66"/>
        <v>117.68835752839531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8.5265128291212022E-14</v>
      </c>
      <c r="CU113" s="17">
        <f>CT113*VLOOKUP('Données projet'!$B$13,Paramètres!$A$1:$I$89,3,0)*VLOOKUP('Données projet'!$B$13,Paramètres!$A$1:$I$89,5,0)</f>
        <v>8.9119112089974823E-14</v>
      </c>
      <c r="CV113" s="13">
        <f t="shared" si="95"/>
        <v>1.3568952080113142E-12</v>
      </c>
      <c r="CW113" s="20">
        <f t="shared" si="67"/>
        <v>2.5184749408430782E-12</v>
      </c>
      <c r="CX113" s="59">
        <f t="shared" si="68"/>
        <v>279.96138895484836</v>
      </c>
      <c r="CY113" s="59">
        <f ca="1">AVERAGE(OFFSET($CX$3,0,0,'Données projet'!$E$13+1,1))-AVERAGE(OFFSET($H$3,0,0,'Données projet'!$E$13+1,1))</f>
        <v>287.73449456153207</v>
      </c>
      <c r="CZ113" s="59">
        <f t="shared" si="96"/>
        <v>296.74833899433281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53.97370157078683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53.97370157078683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6.5199999999999987</v>
      </c>
      <c r="DO113" s="12">
        <f>IF('Données projet'!$A$166&gt;35,DO112+DN113-DW112,IF(A113&lt;'Données projet'!$A$166,$DL$205^A113,IF(A113='Données projet'!$A$166,'Données projet'!$B$166,DO112+DN113-DW112)))</f>
        <v>293.43000000000012</v>
      </c>
      <c r="DP113" s="17">
        <f>DO113*VLOOKUP('Données projet'!$B$14,Paramètres!$A$1:$I$89,3,0)*VLOOKUP('Données projet'!$B$14,Paramètres!$A$1:$I$89,5,0)</f>
        <v>297.53802000000013</v>
      </c>
      <c r="DQ113" s="13">
        <f t="shared" si="97"/>
        <v>70.660090631843303</v>
      </c>
      <c r="DR113" s="20">
        <f t="shared" si="70"/>
        <v>641.27837601712724</v>
      </c>
      <c r="DS113" s="59">
        <f t="shared" si="71"/>
        <v>921.23976497197305</v>
      </c>
      <c r="DT113" s="59">
        <f ca="1">AVERAGE(OFFSET($DS$3,0,0,'Données projet'!$E$14+1,1))-AVERAGE(OFFSET($H$3,0,0,'Données projet'!$E$14+1,1))</f>
        <v>532.34688562681413</v>
      </c>
      <c r="DU113" s="59">
        <f t="shared" si="98"/>
        <v>345.42627129678556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46.945422324683804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46.945422324683804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-5.6843418860808015E-14</v>
      </c>
      <c r="EK113" s="17">
        <f>EJ113*VLOOKUP('Données projet'!$B$15,Paramètres!$A$1:$I$89,3,0)*VLOOKUP('Données projet'!$B$15,Paramètres!$A$1:$I$89,5,0)</f>
        <v>-5.1431925385259088E-14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256.20286603823035</v>
      </c>
      <c r="EP113" s="59">
        <f t="shared" si="100"/>
        <v>364.83827155069434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13.896661173988017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13.896661173988017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6.5199999999999987</v>
      </c>
      <c r="FE113" s="12">
        <f>IF('Données projet'!$A$218&gt;35,FE112+FD113-FM112,IF(A113&lt;'Données projet'!$A$218,$FB$205^A113,IF(A113='Données projet'!$A$218,'Données projet'!$B$218,FE112+FD113-FM112)))</f>
        <v>293.43000000000012</v>
      </c>
      <c r="FF113" s="17">
        <f>FE113*VLOOKUP('Données projet'!$B$16,Paramètres!$A$1:$I$89,3,0)*VLOOKUP('Données projet'!$B$16,Paramètres!$A$1:$I$89,5,0)</f>
        <v>196.83284400000008</v>
      </c>
      <c r="FG113" s="13">
        <f t="shared" si="101"/>
        <v>49.047477379860545</v>
      </c>
      <c r="FH113" s="20">
        <f t="shared" si="76"/>
        <v>428.24155973659055</v>
      </c>
      <c r="FI113" s="59">
        <f t="shared" si="77"/>
        <v>708.2029486914364</v>
      </c>
      <c r="FJ113" s="59">
        <f ca="1">AVERAGE(OFFSET($FI$3,0,0,'Données projet'!$E$16+1,1))-AVERAGE(OFFSET($H$3,0,0,'Données projet'!$E$16+1,1))</f>
        <v>380.73695370216979</v>
      </c>
      <c r="FK113" s="59">
        <f t="shared" si="102"/>
        <v>249.34467160415713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38.27857512628065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38.27857512628065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6.5199999999999987</v>
      </c>
      <c r="FZ113" s="12">
        <f>IF('Données projet'!$A$244&gt;35,FZ112+FY113-GH112,IF(A113&lt;'Données projet'!$A$244,$FW$205^A113,IF(A113='Données projet'!$A$244,'Données projet'!$B$244,FZ112+FY113-GH112)))</f>
        <v>293.43000000000012</v>
      </c>
      <c r="GA113" s="17">
        <f>FZ113*VLOOKUP('Données projet'!$B$17,Paramètres!$A$1:$I$89,3,0)*VLOOKUP('Données projet'!$B$17,Paramètres!$A$1:$I$89,5,0)</f>
        <v>283.80549600000012</v>
      </c>
      <c r="GB113" s="13">
        <f t="shared" si="103"/>
        <v>67.77058664509326</v>
      </c>
      <c r="GC113" s="20">
        <f t="shared" si="79"/>
        <v>612.32834394020426</v>
      </c>
      <c r="GD113" s="59">
        <f t="shared" si="80"/>
        <v>892.28973289505007</v>
      </c>
      <c r="GE113" s="59">
        <f ca="1">AVERAGE(OFFSET($GD$3,0,0,'Données projet'!$E$17+1,1))-AVERAGE(OFFSET($H$3,0,0,'Données projet'!$E$17+1,1))</f>
        <v>511.7458522930001</v>
      </c>
      <c r="GF113" s="59">
        <f t="shared" si="104"/>
        <v>332.37317679966122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44.778710525083021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44.778710525083021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-1.7053025658242404E-13</v>
      </c>
      <c r="GV113" s="17">
        <f>GU113*VLOOKUP('Données projet'!$B$18,Paramètres!$A$1:$I$89,3,0)*VLOOKUP('Données projet'!$B$18,Paramètres!$A$1:$I$89,5,0)</f>
        <v>-1.4897523215040567E-13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348.77506423101278</v>
      </c>
      <c r="HA113" s="59">
        <f t="shared" si="106"/>
        <v>336.13747591329548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73.75229060407176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73.75229060407176</v>
      </c>
    </row>
    <row r="114" spans="1:218" x14ac:dyDescent="0.2">
      <c r="A114" s="10">
        <f t="shared" si="85"/>
        <v>111</v>
      </c>
      <c r="B114" s="71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5">
        <f t="shared" si="56"/>
        <v>183.33333333333334</v>
      </c>
      <c r="I114" s="6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-2.1282176021486519E-13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387.50901594883317</v>
      </c>
      <c r="T114" s="59">
        <f t="shared" si="88"/>
        <v>361.3623790401972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197.2329365439723</v>
      </c>
      <c r="AA114" s="21">
        <f>EXP(-LN(2)/25)*AA113+(1-EXP(-LN(2)/25))/(LN(2)/25)*Calculateur!V114*Calculateur!X114*VLOOKUP('Données projet'!$B$9,Paramètres!$A$1:$I$89,3,0)*0.475*44/12</f>
        <v>31.401613118980165</v>
      </c>
      <c r="AB114" s="21">
        <f>EXP(-LN(2)/2)*AB113+(1-EXP(-LN(2)/2))/(LN(2)/2)*V114*Y114*VLOOKUP('Données projet'!$B$9,Paramètres!$A$1:$I$89,3,0)*0.475*44/12</f>
        <v>2.1774201716926926</v>
      </c>
      <c r="AC114" s="22">
        <f t="shared" si="57"/>
        <v>230.81196983464514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373.47758082856359</v>
      </c>
      <c r="AO114" s="59">
        <f t="shared" si="90"/>
        <v>277.24895424120166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104.00940247927902</v>
      </c>
      <c r="AV114" s="21">
        <f>EXP(-LN(2)/25)*AV113+(1-EXP(-LN(2)/25))/(LN(2)/25)*Calculateur!AQ114*Calculateur!AS114*VLOOKUP('Données projet'!$B$10,Paramètres!$A$1:$I$89,3,0)*0.475*44/12</f>
        <v>15.222300170042166</v>
      </c>
      <c r="AW114" s="21">
        <f>EXP(-LN(2)/2)*AW113+(1-EXP(-LN(2)/2))/(LN(2)/2)*AQ114*AT114*VLOOKUP('Données projet'!$B$10,Paramètres!$A$1:$I$89,3,0)*0.475*44/12</f>
        <v>6.8799641820602771E-4</v>
      </c>
      <c r="AX114" s="21">
        <f t="shared" si="60"/>
        <v>119.23239064573939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-6.8212102632969618E-13</v>
      </c>
      <c r="BE114" s="13">
        <f>BD114*VLOOKUP('Données projet'!$B$11,Paramètres!$A$1:$I$89,3,0)*VLOOKUP('Données projet'!$B$11,Paramètres!$A$1:$I$89,5,0)</f>
        <v>-4.0790837374515837E-13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460.88622650237176</v>
      </c>
      <c r="BJ114" s="59">
        <f t="shared" si="92"/>
        <v>396.05161661639647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121.54660543121369</v>
      </c>
      <c r="BQ114" s="21">
        <f>EXP(-LN(2)/25)*BQ113+(1-EXP(-LN(2)/25))/(LN(2)/25)*Calculateur!BL114*Calculateur!BN114*VLOOKUP('Données projet'!$B$11,Paramètres!$A$1:$I$89,3,0)*0.475*44/12</f>
        <v>16.688490581066187</v>
      </c>
      <c r="BR114" s="21">
        <f>EXP(-LN(2)/2)*BR113+(1-EXP(-LN(2)/2))/(LN(2)/2)*BL114*BO114*VLOOKUP('Données projet'!$B$11,Paramètres!$A$1:$I$89,3,0)*0.475*44/12</f>
        <v>2.2212788821345807E-4</v>
      </c>
      <c r="BS114" s="22">
        <f t="shared" si="63"/>
        <v>138.23531814016809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-5.1727511163335289E-14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341.60063595566282</v>
      </c>
      <c r="CE114" s="59">
        <f t="shared" si="94"/>
        <v>317.05609766344219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99.757181221298893</v>
      </c>
      <c r="CL114" s="21">
        <f>EXP(-LN(2)/25)*CL113+(1-EXP(-LN(2)/25))/(LN(2)/25)*Calculateur!CG114*Calculateur!CI114*VLOOKUP('Données projet'!$B$12,Paramètres!$A$1:$I$89,3,0)*0.475*44/12</f>
        <v>15.500079047435108</v>
      </c>
      <c r="CM114" s="21">
        <f>EXP(-LN(2)/2)*CM113+(1-EXP(-LN(2)/2))/(LN(2)/2)*CG114*CJ114*VLOOKUP('Données projet'!$B$12,Paramètres!$A$1:$I$89,3,0)*0.475*44/12</f>
        <v>1.877256653557026E-5</v>
      </c>
      <c r="CN114" s="22">
        <f t="shared" si="66"/>
        <v>115.25727904130054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8.5265128291212022E-14</v>
      </c>
      <c r="CU114" s="17">
        <f>CT114*VLOOKUP('Données projet'!$B$13,Paramètres!$A$1:$I$89,3,0)*VLOOKUP('Données projet'!$B$13,Paramètres!$A$1:$I$89,5,0)</f>
        <v>8.9119112089974823E-14</v>
      </c>
      <c r="CV114" s="13">
        <f t="shared" si="95"/>
        <v>1.3568952080113142E-12</v>
      </c>
      <c r="CW114" s="20">
        <f t="shared" si="67"/>
        <v>2.5184749408430782E-12</v>
      </c>
      <c r="CX114" s="59">
        <f t="shared" si="68"/>
        <v>280.19336229462607</v>
      </c>
      <c r="CY114" s="59">
        <f ca="1">AVERAGE(OFFSET($CX$3,0,0,'Données projet'!$E$13+1,1))-AVERAGE(OFFSET($H$3,0,0,'Données projet'!$E$13+1,1))</f>
        <v>287.73449456153207</v>
      </c>
      <c r="CZ114" s="59">
        <f t="shared" si="96"/>
        <v>296.74833899433281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52.915310203691007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52.915310203691007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6.5199999999999987</v>
      </c>
      <c r="DO114" s="12">
        <f>IF('Données projet'!$A$166&gt;35,DO113+DN114-DW113,IF(A114&lt;'Données projet'!$A$166,$DL$205^A114,IF(A114='Données projet'!$A$166,'Données projet'!$B$166,DO113+DN114-DW113)))</f>
        <v>299.9500000000001</v>
      </c>
      <c r="DP114" s="17">
        <f>DO114*VLOOKUP('Données projet'!$B$14,Paramètres!$A$1:$I$89,3,0)*VLOOKUP('Données projet'!$B$14,Paramètres!$A$1:$I$89,5,0)</f>
        <v>304.14930000000015</v>
      </c>
      <c r="DQ114" s="13">
        <f t="shared" si="97"/>
        <v>72.045619509577634</v>
      </c>
      <c r="DR114" s="20">
        <f t="shared" si="70"/>
        <v>655.20615147918136</v>
      </c>
      <c r="DS114" s="59">
        <f t="shared" si="71"/>
        <v>935.39951377380498</v>
      </c>
      <c r="DT114" s="59">
        <f ca="1">AVERAGE(OFFSET($DS$3,0,0,'Données projet'!$E$14+1,1))-AVERAGE(OFFSET($H$3,0,0,'Données projet'!$E$14+1,1))</f>
        <v>532.34688562681413</v>
      </c>
      <c r="DU114" s="59">
        <f t="shared" si="98"/>
        <v>345.42627129678556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46.02485122677701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46.02485122677701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-5.6843418860808015E-14</v>
      </c>
      <c r="EK114" s="17">
        <f>EJ114*VLOOKUP('Données projet'!$B$15,Paramètres!$A$1:$I$89,3,0)*VLOOKUP('Données projet'!$B$15,Paramètres!$A$1:$I$89,5,0)</f>
        <v>-5.1431925385259088E-14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256.20286603823035</v>
      </c>
      <c r="EP114" s="59">
        <f t="shared" si="100"/>
        <v>364.83827155069434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13.62415612449248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13.62415612449248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6.5199999999999987</v>
      </c>
      <c r="FE114" s="12">
        <f>IF('Données projet'!$A$218&gt;35,FE113+FD114-FM113,IF(A114&lt;'Données projet'!$A$218,$FB$205^A114,IF(A114='Données projet'!$A$218,'Données projet'!$B$218,FE113+FD114-FM113)))</f>
        <v>299.9500000000001</v>
      </c>
      <c r="FF114" s="17">
        <f>FE114*VLOOKUP('Données projet'!$B$16,Paramètres!$A$1:$I$89,3,0)*VLOOKUP('Données projet'!$B$16,Paramètres!$A$1:$I$89,5,0)</f>
        <v>201.20646000000008</v>
      </c>
      <c r="FG114" s="13">
        <f t="shared" si="101"/>
        <v>50.009218239264378</v>
      </c>
      <c r="FH114" s="20">
        <f t="shared" si="76"/>
        <v>437.53397293338566</v>
      </c>
      <c r="FI114" s="59">
        <f t="shared" si="77"/>
        <v>717.72733522800922</v>
      </c>
      <c r="FJ114" s="59">
        <f ca="1">AVERAGE(OFFSET($FI$3,0,0,'Données projet'!$E$16+1,1))-AVERAGE(OFFSET($H$3,0,0,'Données projet'!$E$16+1,1))</f>
        <v>380.73695370216979</v>
      </c>
      <c r="FK114" s="59">
        <f t="shared" si="102"/>
        <v>249.34467160415713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37.52795561567973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37.52795561567973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6.5199999999999987</v>
      </c>
      <c r="FZ114" s="12">
        <f>IF('Données projet'!$A$244&gt;35,FZ113+FY114-GH113,IF(A114&lt;'Données projet'!$A$244,$FW$205^A114,IF(A114='Données projet'!$A$244,'Données projet'!$B$244,FZ113+FY114-GH113)))</f>
        <v>299.9500000000001</v>
      </c>
      <c r="GA114" s="17">
        <f>FZ114*VLOOKUP('Données projet'!$B$17,Paramètres!$A$1:$I$89,3,0)*VLOOKUP('Données projet'!$B$17,Paramètres!$A$1:$I$89,5,0)</f>
        <v>290.11164000000008</v>
      </c>
      <c r="GB114" s="13">
        <f t="shared" si="103"/>
        <v>69.09945707277231</v>
      </c>
      <c r="GC114" s="20">
        <f t="shared" si="79"/>
        <v>625.62599406841184</v>
      </c>
      <c r="GD114" s="59">
        <f t="shared" si="80"/>
        <v>905.81935636303547</v>
      </c>
      <c r="GE114" s="59">
        <f ca="1">AVERAGE(OFFSET($GD$3,0,0,'Données projet'!$E$17+1,1))-AVERAGE(OFFSET($H$3,0,0,'Données projet'!$E$17+1,1))</f>
        <v>511.7458522930001</v>
      </c>
      <c r="GF114" s="59">
        <f t="shared" si="104"/>
        <v>332.37317679966122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43.900627324002699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43.900627324002699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-1.7053025658242404E-13</v>
      </c>
      <c r="GV114" s="17">
        <f>GU114*VLOOKUP('Données projet'!$B$18,Paramètres!$A$1:$I$89,3,0)*VLOOKUP('Données projet'!$B$18,Paramètres!$A$1:$I$89,5,0)</f>
        <v>-1.4897523215040567E-13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348.77506423101278</v>
      </c>
      <c r="HA114" s="59">
        <f t="shared" si="106"/>
        <v>336.13747591329548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72.306053169781336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72.306053169781336</v>
      </c>
    </row>
    <row r="115" spans="1:218" x14ac:dyDescent="0.2">
      <c r="A115" s="10">
        <f t="shared" si="85"/>
        <v>112</v>
      </c>
      <c r="B115" s="71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5">
        <f t="shared" si="56"/>
        <v>183.33333333333334</v>
      </c>
      <c r="I115" s="6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-2.1282176021486519E-13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387.50901594883317</v>
      </c>
      <c r="T115" s="59">
        <f t="shared" si="88"/>
        <v>361.3623790401972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193.36531895855762</v>
      </c>
      <c r="AA115" s="21">
        <f>EXP(-LN(2)/25)*AA114+(1-EXP(-LN(2)/25))/(LN(2)/25)*Calculateur!V115*Calculateur!X115*VLOOKUP('Données projet'!$B$9,Paramètres!$A$1:$I$89,3,0)*0.475*44/12</f>
        <v>30.542934356902588</v>
      </c>
      <c r="AB115" s="21">
        <f>EXP(-LN(2)/2)*AB114+(1-EXP(-LN(2)/2))/(LN(2)/2)*V115*Y115*VLOOKUP('Données projet'!$B$9,Paramètres!$A$1:$I$89,3,0)*0.475*44/12</f>
        <v>1.5396685688962797</v>
      </c>
      <c r="AC115" s="22">
        <f t="shared" si="57"/>
        <v>225.44792188435648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373.47758082856359</v>
      </c>
      <c r="AO115" s="59">
        <f t="shared" si="90"/>
        <v>277.24895424120166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101.96984153613174</v>
      </c>
      <c r="AV115" s="21">
        <f>EXP(-LN(2)/25)*AV114+(1-EXP(-LN(2)/25))/(LN(2)/25)*Calculateur!AQ115*Calculateur!AS115*VLOOKUP('Données projet'!$B$10,Paramètres!$A$1:$I$89,3,0)*0.475*44/12</f>
        <v>14.806045571386388</v>
      </c>
      <c r="AW115" s="21">
        <f>EXP(-LN(2)/2)*AW114+(1-EXP(-LN(2)/2))/(LN(2)/2)*AQ115*AT115*VLOOKUP('Données projet'!$B$10,Paramètres!$A$1:$I$89,3,0)*0.475*44/12</f>
        <v>4.8648693274553809E-4</v>
      </c>
      <c r="AX115" s="21">
        <f t="shared" si="60"/>
        <v>116.77637359445087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-6.8212102632969618E-13</v>
      </c>
      <c r="BE115" s="13">
        <f>BD115*VLOOKUP('Données projet'!$B$11,Paramètres!$A$1:$I$89,3,0)*VLOOKUP('Données projet'!$B$11,Paramètres!$A$1:$I$89,5,0)</f>
        <v>-4.0790837374515837E-13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460.88622650237176</v>
      </c>
      <c r="BJ115" s="59">
        <f t="shared" si="92"/>
        <v>396.05161661639647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119.16315063481657</v>
      </c>
      <c r="BQ115" s="21">
        <f>EXP(-LN(2)/25)*BQ114+(1-EXP(-LN(2)/25))/(LN(2)/25)*Calculateur!BL115*Calculateur!BN115*VLOOKUP('Données projet'!$B$11,Paramètres!$A$1:$I$89,3,0)*0.475*44/12</f>
        <v>16.232142928517355</v>
      </c>
      <c r="BR115" s="21">
        <f>EXP(-LN(2)/2)*BR114+(1-EXP(-LN(2)/2))/(LN(2)/2)*BL115*BO115*VLOOKUP('Données projet'!$B$11,Paramètres!$A$1:$I$89,3,0)*0.475*44/12</f>
        <v>1.5706813604638359E-4</v>
      </c>
      <c r="BS115" s="22">
        <f t="shared" si="63"/>
        <v>135.39545063146997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-5.1727511163335289E-14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341.60063595566282</v>
      </c>
      <c r="CE115" s="59">
        <f t="shared" si="94"/>
        <v>317.05609766344219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97.801003743421731</v>
      </c>
      <c r="CL115" s="21">
        <f>EXP(-LN(2)/25)*CL114+(1-EXP(-LN(2)/25))/(LN(2)/25)*Calculateur!CG115*Calculateur!CI115*VLOOKUP('Données projet'!$B$12,Paramètres!$A$1:$I$89,3,0)*0.475*44/12</f>
        <v>15.076228570769263</v>
      </c>
      <c r="CM115" s="21">
        <f>EXP(-LN(2)/2)*CM114+(1-EXP(-LN(2)/2))/(LN(2)/2)*CG115*CJ115*VLOOKUP('Données projet'!$B$12,Paramètres!$A$1:$I$89,3,0)*0.475*44/12</f>
        <v>1.3274209097577384E-5</v>
      </c>
      <c r="CN115" s="22">
        <f t="shared" si="66"/>
        <v>112.87724558840009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8.5265128291212022E-14</v>
      </c>
      <c r="CU115" s="17">
        <f>CT115*VLOOKUP('Données projet'!$B$13,Paramètres!$A$1:$I$89,3,0)*VLOOKUP('Données projet'!$B$13,Paramètres!$A$1:$I$89,5,0)</f>
        <v>8.9119112089974823E-14</v>
      </c>
      <c r="CV115" s="13">
        <f t="shared" si="95"/>
        <v>1.3568952080113142E-12</v>
      </c>
      <c r="CW115" s="20">
        <f t="shared" si="67"/>
        <v>2.5184749408430782E-12</v>
      </c>
      <c r="CX115" s="59">
        <f t="shared" si="68"/>
        <v>280.42131141557337</v>
      </c>
      <c r="CY115" s="59">
        <f ca="1">AVERAGE(OFFSET($CX$3,0,0,'Données projet'!$E$13+1,1))-AVERAGE(OFFSET($H$3,0,0,'Données projet'!$E$13+1,1))</f>
        <v>287.73449456153207</v>
      </c>
      <c r="CZ115" s="59">
        <f t="shared" si="96"/>
        <v>296.74833899433281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51.877673245748944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51.877673245748944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6.5199999999999987</v>
      </c>
      <c r="DO115" s="12">
        <f>IF('Données projet'!$A$166&gt;35,DO114+DN115-DW114,IF(A115&lt;'Données projet'!$A$166,$DL$205^A115,IF(A115='Données projet'!$A$166,'Données projet'!$B$166,DO114+DN115-DW114)))</f>
        <v>306.47000000000008</v>
      </c>
      <c r="DP115" s="17">
        <f>DO115*VLOOKUP('Données projet'!$B$14,Paramètres!$A$1:$I$89,3,0)*VLOOKUP('Données projet'!$B$14,Paramètres!$A$1:$I$89,5,0)</f>
        <v>310.76058000000012</v>
      </c>
      <c r="DQ115" s="13">
        <f t="shared" si="97"/>
        <v>73.427646887266917</v>
      </c>
      <c r="DR115" s="20">
        <f t="shared" si="70"/>
        <v>669.12782849532334</v>
      </c>
      <c r="DS115" s="59">
        <f t="shared" si="71"/>
        <v>949.54913991089416</v>
      </c>
      <c r="DT115" s="59">
        <f ca="1">AVERAGE(OFFSET($DS$3,0,0,'Données projet'!$E$14+1,1))-AVERAGE(OFFSET($H$3,0,0,'Données projet'!$E$14+1,1))</f>
        <v>532.34688562681413</v>
      </c>
      <c r="DU115" s="59">
        <f t="shared" si="98"/>
        <v>345.42627129678556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45.122331966607241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45.122331966607241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-5.6843418860808015E-14</v>
      </c>
      <c r="EK115" s="17">
        <f>EJ115*VLOOKUP('Données projet'!$B$15,Paramètres!$A$1:$I$89,3,0)*VLOOKUP('Données projet'!$B$15,Paramètres!$A$1:$I$89,5,0)</f>
        <v>-5.1431925385259088E-14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256.20286603823035</v>
      </c>
      <c r="EP115" s="59">
        <f t="shared" si="100"/>
        <v>364.83827155069434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13.356994732805882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13.356994732805882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6.5199999999999987</v>
      </c>
      <c r="FE115" s="12">
        <f>IF('Données projet'!$A$218&gt;35,FE114+FD115-FM114,IF(A115&lt;'Données projet'!$A$218,$FB$205^A115,IF(A115='Données projet'!$A$218,'Données projet'!$B$218,FE114+FD115-FM114)))</f>
        <v>306.47000000000008</v>
      </c>
      <c r="FF115" s="17">
        <f>FE115*VLOOKUP('Données projet'!$B$16,Paramètres!$A$1:$I$89,3,0)*VLOOKUP('Données projet'!$B$16,Paramètres!$A$1:$I$89,5,0)</f>
        <v>205.58007600000008</v>
      </c>
      <c r="FG115" s="13">
        <f t="shared" si="101"/>
        <v>50.968528593092486</v>
      </c>
      <c r="FH115" s="20">
        <f t="shared" si="76"/>
        <v>446.82215299963622</v>
      </c>
      <c r="FI115" s="59">
        <f t="shared" si="77"/>
        <v>727.24346441520709</v>
      </c>
      <c r="FJ115" s="59">
        <f ca="1">AVERAGE(OFFSET($FI$3,0,0,'Données projet'!$E$16+1,1))-AVERAGE(OFFSET($H$3,0,0,'Données projet'!$E$16+1,1))</f>
        <v>380.73695370216979</v>
      </c>
      <c r="FK115" s="59">
        <f t="shared" si="102"/>
        <v>249.34467160415713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36.792055295848996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36.792055295848996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6.5199999999999987</v>
      </c>
      <c r="FZ115" s="12">
        <f>IF('Données projet'!$A$244&gt;35,FZ114+FY115-GH114,IF(A115&lt;'Données projet'!$A$244,$FW$205^A115,IF(A115='Données projet'!$A$244,'Données projet'!$B$244,FZ114+FY115-GH114)))</f>
        <v>306.47000000000008</v>
      </c>
      <c r="GA115" s="17">
        <f>FZ115*VLOOKUP('Données projet'!$B$17,Paramètres!$A$1:$I$89,3,0)*VLOOKUP('Données projet'!$B$17,Paramètres!$A$1:$I$89,5,0)</f>
        <v>296.41778400000004</v>
      </c>
      <c r="GB115" s="13">
        <f t="shared" si="103"/>
        <v>70.424969187292149</v>
      </c>
      <c r="GC115" s="20">
        <f t="shared" si="79"/>
        <v>638.91779513453378</v>
      </c>
      <c r="GD115" s="59">
        <f t="shared" si="80"/>
        <v>919.33910655010459</v>
      </c>
      <c r="GE115" s="59">
        <f ca="1">AVERAGE(OFFSET($GD$3,0,0,'Données projet'!$E$17+1,1))-AVERAGE(OFFSET($H$3,0,0,'Données projet'!$E$17+1,1))</f>
        <v>511.7458522930001</v>
      </c>
      <c r="GF115" s="59">
        <f t="shared" si="104"/>
        <v>332.37317679966122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43.039762798917693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43.039762798917693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-1.7053025658242404E-13</v>
      </c>
      <c r="GV115" s="17">
        <f>GU115*VLOOKUP('Données projet'!$B$18,Paramètres!$A$1:$I$89,3,0)*VLOOKUP('Données projet'!$B$18,Paramètres!$A$1:$I$89,5,0)</f>
        <v>-1.4897523215040567E-13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348.77506423101278</v>
      </c>
      <c r="HA115" s="59">
        <f t="shared" si="106"/>
        <v>336.13747591329548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70.888175569459619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70.888175569459619</v>
      </c>
    </row>
    <row r="116" spans="1:218" x14ac:dyDescent="0.2">
      <c r="A116" s="10">
        <f t="shared" si="85"/>
        <v>113</v>
      </c>
      <c r="B116" s="71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5">
        <f t="shared" si="56"/>
        <v>183.33333333333334</v>
      </c>
      <c r="I116" s="6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-2.1282176021486519E-13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387.50901594883317</v>
      </c>
      <c r="T116" s="59">
        <f t="shared" si="88"/>
        <v>361.3623790401972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189.57354299497914</v>
      </c>
      <c r="AA116" s="21">
        <f>EXP(-LN(2)/25)*AA115+(1-EXP(-LN(2)/25))/(LN(2)/25)*Calculateur!V116*Calculateur!X116*VLOOKUP('Données projet'!$B$9,Paramètres!$A$1:$I$89,3,0)*0.475*44/12</f>
        <v>29.707736210729976</v>
      </c>
      <c r="AB116" s="21">
        <f>EXP(-LN(2)/2)*AB115+(1-EXP(-LN(2)/2))/(LN(2)/2)*V116*Y116*VLOOKUP('Données projet'!$B$9,Paramètres!$A$1:$I$89,3,0)*0.475*44/12</f>
        <v>1.0887100858463465</v>
      </c>
      <c r="AC116" s="22">
        <f t="shared" si="57"/>
        <v>220.36998929155544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373.47758082856359</v>
      </c>
      <c r="AO116" s="59">
        <f t="shared" si="90"/>
        <v>277.24895424120166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99.970275139070239</v>
      </c>
      <c r="AV116" s="21">
        <f>EXP(-LN(2)/25)*AV115+(1-EXP(-LN(2)/25))/(LN(2)/25)*Calculateur!AQ116*Calculateur!AS116*VLOOKUP('Données projet'!$B$10,Paramètres!$A$1:$I$89,3,0)*0.475*44/12</f>
        <v>14.40117347662073</v>
      </c>
      <c r="AW116" s="21">
        <f>EXP(-LN(2)/2)*AW115+(1-EXP(-LN(2)/2))/(LN(2)/2)*AQ116*AT116*VLOOKUP('Données projet'!$B$10,Paramètres!$A$1:$I$89,3,0)*0.475*44/12</f>
        <v>3.4399820910301391E-4</v>
      </c>
      <c r="AX116" s="21">
        <f t="shared" si="60"/>
        <v>114.37179261390007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-6.8212102632969618E-13</v>
      </c>
      <c r="BE116" s="13">
        <f>BD116*VLOOKUP('Données projet'!$B$11,Paramètres!$A$1:$I$89,3,0)*VLOOKUP('Données projet'!$B$11,Paramètres!$A$1:$I$89,5,0)</f>
        <v>-4.0790837374515837E-13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460.88622650237176</v>
      </c>
      <c r="BJ116" s="59">
        <f t="shared" si="92"/>
        <v>396.05161661639647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116.82643393321293</v>
      </c>
      <c r="BQ116" s="21">
        <f>EXP(-LN(2)/25)*BQ115+(1-EXP(-LN(2)/25))/(LN(2)/25)*Calculateur!BL116*Calculateur!BN116*VLOOKUP('Données projet'!$B$11,Paramètres!$A$1:$I$89,3,0)*0.475*44/12</f>
        <v>15.788274126525751</v>
      </c>
      <c r="BR116" s="21">
        <f>EXP(-LN(2)/2)*BR115+(1-EXP(-LN(2)/2))/(LN(2)/2)*BL116*BO116*VLOOKUP('Données projet'!$B$11,Paramètres!$A$1:$I$89,3,0)*0.475*44/12</f>
        <v>1.1106394410672904E-4</v>
      </c>
      <c r="BS116" s="22">
        <f t="shared" si="63"/>
        <v>132.61481912368279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-5.1727511163335289E-14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341.60063595566282</v>
      </c>
      <c r="CE116" s="59">
        <f t="shared" si="94"/>
        <v>317.05609766344219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95.883185712735298</v>
      </c>
      <c r="CL116" s="21">
        <f>EXP(-LN(2)/25)*CL115+(1-EXP(-LN(2)/25))/(LN(2)/25)*Calculateur!CG116*Calculateur!CI116*VLOOKUP('Données projet'!$B$12,Paramètres!$A$1:$I$89,3,0)*0.475*44/12</f>
        <v>14.663968307677175</v>
      </c>
      <c r="CM116" s="21">
        <f>EXP(-LN(2)/2)*CM115+(1-EXP(-LN(2)/2))/(LN(2)/2)*CG116*CJ116*VLOOKUP('Données projet'!$B$12,Paramètres!$A$1:$I$89,3,0)*0.475*44/12</f>
        <v>9.3862832677851299E-6</v>
      </c>
      <c r="CN116" s="22">
        <f t="shared" si="66"/>
        <v>110.54716340669574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8.5265128291212022E-14</v>
      </c>
      <c r="CU116" s="17">
        <f>CT116*VLOOKUP('Données projet'!$B$13,Paramètres!$A$1:$I$89,3,0)*VLOOKUP('Données projet'!$B$13,Paramètres!$A$1:$I$89,5,0)</f>
        <v>8.9119112089974823E-14</v>
      </c>
      <c r="CV116" s="13">
        <f t="shared" si="95"/>
        <v>1.3568952080113142E-12</v>
      </c>
      <c r="CW116" s="20">
        <f t="shared" si="67"/>
        <v>2.5184749408430782E-12</v>
      </c>
      <c r="CX116" s="59">
        <f t="shared" si="68"/>
        <v>280.64530612889013</v>
      </c>
      <c r="CY116" s="59">
        <f ca="1">AVERAGE(OFFSET($CX$3,0,0,'Données projet'!$E$13+1,1))-AVERAGE(OFFSET($H$3,0,0,'Données projet'!$E$13+1,1))</f>
        <v>287.73449456153207</v>
      </c>
      <c r="CZ116" s="59">
        <f t="shared" si="96"/>
        <v>296.74833899433281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50.860383715656077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50.860383715656077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312.99</v>
      </c>
      <c r="DM116" s="12">
        <f>VLOOKUP(A116,'Données projet'!$A$165:$I$185,9,0)</f>
        <v>6.5199999999999987</v>
      </c>
      <c r="DN116" s="12">
        <f t="array" ref="DN116">INDEX(DM:DM,MIN(IF(ISNUMBER(DM116:DM312),ROW(DM116:DM312),"")))</f>
        <v>6.5199999999999987</v>
      </c>
      <c r="DO116" s="12">
        <f>IF('Données projet'!$A$166&gt;35,DO115+DN116-DW115,IF(A116&lt;'Données projet'!$A$166,$DL$205^A116,IF(A116='Données projet'!$A$166,'Données projet'!$B$166,DO115+DN116-DW115)))</f>
        <v>312.99000000000007</v>
      </c>
      <c r="DP116" s="17">
        <f>DO116*VLOOKUP('Données projet'!$B$14,Paramètres!$A$1:$I$89,3,0)*VLOOKUP('Données projet'!$B$14,Paramètres!$A$1:$I$89,5,0)</f>
        <v>317.37186000000008</v>
      </c>
      <c r="DQ116" s="13">
        <f t="shared" si="97"/>
        <v>74.806255838339268</v>
      </c>
      <c r="DR116" s="20">
        <f t="shared" si="70"/>
        <v>683.04355175177432</v>
      </c>
      <c r="DS116" s="59">
        <f t="shared" si="71"/>
        <v>963.688857880662</v>
      </c>
      <c r="DT116" s="59">
        <f ca="1">AVERAGE(OFFSET($DS$3,0,0,'Données projet'!$E$14+1,1))-AVERAGE(OFFSET($H$3,0,0,'Données projet'!$E$14+1,1))</f>
        <v>532.34688562681413</v>
      </c>
      <c r="DU116" s="59">
        <f t="shared" si="98"/>
        <v>345.42627129678556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40.479999999999997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57.895666432878812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57.895666432878812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-5.6843418860808015E-14</v>
      </c>
      <c r="EK116" s="17">
        <f>EJ116*VLOOKUP('Données projet'!$B$15,Paramètres!$A$1:$I$89,3,0)*VLOOKUP('Données projet'!$B$15,Paramètres!$A$1:$I$89,5,0)</f>
        <v>-5.1431925385259088E-14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256.20286603823035</v>
      </c>
      <c r="EP116" s="59">
        <f t="shared" si="100"/>
        <v>364.83827155069434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13.0950722130579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13.0950722130579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>
        <f>VLOOKUP(A116,'Données projet'!$A$217:$I$237,2,0)</f>
        <v>312.99</v>
      </c>
      <c r="FC116" s="12">
        <f>VLOOKUP(A116,'Données projet'!$A$217:$I$237,9,0)</f>
        <v>6.5199999999999987</v>
      </c>
      <c r="FD116" s="12">
        <f t="array" ref="FD116">INDEX(FC:FC,MIN(IF(ISNUMBER(FC116:FC312),ROW(FC116:FC312),"")))</f>
        <v>6.5199999999999987</v>
      </c>
      <c r="FE116" s="12">
        <f>IF('Données projet'!$A$218&gt;35,FE115+FD116-FM115,IF(A116&lt;'Données projet'!$A$218,$FB$205^A116,IF(A116='Données projet'!$A$218,'Données projet'!$B$218,FE115+FD116-FM115)))</f>
        <v>312.99000000000007</v>
      </c>
      <c r="FF116" s="17">
        <f>FE116*VLOOKUP('Données projet'!$B$16,Paramètres!$A$1:$I$89,3,0)*VLOOKUP('Données projet'!$B$16,Paramètres!$A$1:$I$89,5,0)</f>
        <v>209.95369200000005</v>
      </c>
      <c r="FG116" s="13">
        <f t="shared" si="101"/>
        <v>51.925466105325491</v>
      </c>
      <c r="FH116" s="20">
        <f t="shared" si="76"/>
        <v>456.10620036677528</v>
      </c>
      <c r="FI116" s="59">
        <f t="shared" si="77"/>
        <v>736.75150649566285</v>
      </c>
      <c r="FJ116" s="59">
        <f ca="1">AVERAGE(OFFSET($FI$3,0,0,'Données projet'!$E$16+1,1))-AVERAGE(OFFSET($H$3,0,0,'Données projet'!$E$16+1,1))</f>
        <v>380.73695370216979</v>
      </c>
      <c r="FK116" s="59">
        <f t="shared" si="102"/>
        <v>249.34467160415713</v>
      </c>
      <c r="FL116" s="15">
        <f>IF(ISNA(VLOOKUP(A116,'Données projet'!$A$217:$I$237,3,0)),0,VLOOKUP(A116,'Données projet'!$A$217:$I$237,3,0))</f>
        <v>9</v>
      </c>
      <c r="FM116" s="15">
        <f>IF(ISNA(VLOOKUP(A116,'Données projet'!$A$217:$I$237,4,0)),0,VLOOKUP(A116,'Données projet'!$A$217:$I$237,4,0))</f>
        <v>40.479999999999997</v>
      </c>
      <c r="FN116" s="16">
        <f>IF(ISNA(VLOOKUP(A116,'Données projet'!$A$217:$I$237,5,0)),0%,VLOOKUP(A116,'Données projet'!$A$217:$I$237,5,0)*VLOOKUP('Données projet'!$B$16,Paramètres!$A$1:$I$89,7,0))</f>
        <v>0.371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47.207235706808888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47.207235706808888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312.99</v>
      </c>
      <c r="FX116" s="12">
        <f>VLOOKUP(A116,'Données projet'!$A$243:$I$263,9,0)</f>
        <v>6.5199999999999987</v>
      </c>
      <c r="FY116" s="12">
        <f t="array" ref="FY116">INDEX(FX:FX,MIN(IF(ISNUMBER(FX116:FX312),ROW(FX116:FX312),"")))</f>
        <v>6.5199999999999987</v>
      </c>
      <c r="FZ116" s="12">
        <f>IF('Données projet'!$A$244&gt;35,FZ115+FY116-GH115,IF(A116&lt;'Données projet'!$A$244,$FW$205^A116,IF(A116='Données projet'!$A$244,'Données projet'!$B$244,FZ115+FY116-GH115)))</f>
        <v>312.99000000000007</v>
      </c>
      <c r="GA116" s="17">
        <f>FZ116*VLOOKUP('Données projet'!$B$17,Paramètres!$A$1:$I$89,3,0)*VLOOKUP('Données projet'!$B$17,Paramètres!$A$1:$I$89,5,0)</f>
        <v>302.72392800000011</v>
      </c>
      <c r="GB116" s="13">
        <f t="shared" si="103"/>
        <v>71.747202664958394</v>
      </c>
      <c r="GC116" s="20">
        <f t="shared" si="79"/>
        <v>652.20388590813616</v>
      </c>
      <c r="GD116" s="59">
        <f t="shared" si="80"/>
        <v>932.84919203702384</v>
      </c>
      <c r="GE116" s="59">
        <f ca="1">AVERAGE(OFFSET($GD$3,0,0,'Données projet'!$E$17+1,1))-AVERAGE(OFFSET($H$3,0,0,'Données projet'!$E$17+1,1))</f>
        <v>511.7458522930001</v>
      </c>
      <c r="GF116" s="59">
        <f t="shared" si="104"/>
        <v>332.37317679966122</v>
      </c>
      <c r="GG116" s="15">
        <f>IF(ISNA(VLOOKUP(A116,'Données projet'!$A$243:$I$263,3,0)),0,VLOOKUP(A116,'Données projet'!$A$243:$I$263,3,0))</f>
        <v>9</v>
      </c>
      <c r="GH116" s="15">
        <f>IF(ISNA(VLOOKUP(A116,'Données projet'!$A$243:$I$263,4,0)),0,VLOOKUP(A116,'Données projet'!$A$243:$I$263,4,0))</f>
        <v>40.479999999999997</v>
      </c>
      <c r="GI116" s="16">
        <f>IF(ISNA(VLOOKUP(A116,'Données projet'!$A$243:$I$263,5,0)),0%,VLOOKUP(A116,'Données projet'!$A$243:$I$263,5,0)*VLOOKUP('Données projet'!$B$17,Paramètres!$A$1:$I$89,7,0))</f>
        <v>0.30099999999999999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55.223558751361345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55.223558751361345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-1.7053025658242404E-13</v>
      </c>
      <c r="GV116" s="17">
        <f>GU116*VLOOKUP('Données projet'!$B$18,Paramètres!$A$1:$I$89,3,0)*VLOOKUP('Données projet'!$B$18,Paramètres!$A$1:$I$89,5,0)</f>
        <v>-1.4897523215040567E-13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348.77506423101278</v>
      </c>
      <c r="HA116" s="59">
        <f t="shared" si="106"/>
        <v>336.13747591329548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69.498101684060259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69.498101684060259</v>
      </c>
    </row>
    <row r="117" spans="1:218" x14ac:dyDescent="0.2">
      <c r="A117" s="10">
        <f t="shared" si="85"/>
        <v>114</v>
      </c>
      <c r="B117" s="71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5">
        <f t="shared" si="56"/>
        <v>183.33333333333334</v>
      </c>
      <c r="I117" s="6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-2.1282176021486519E-13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387.50901594883317</v>
      </c>
      <c r="T117" s="59">
        <f t="shared" si="88"/>
        <v>361.3623790401972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185.85612144529145</v>
      </c>
      <c r="AA117" s="21">
        <f>EXP(-LN(2)/25)*AA116+(1-EXP(-LN(2)/25))/(LN(2)/25)*Calculateur!V117*Calculateur!X117*VLOOKUP('Données projet'!$B$9,Paramètres!$A$1:$I$89,3,0)*0.475*44/12</f>
        <v>28.895376601785614</v>
      </c>
      <c r="AB117" s="21">
        <f>EXP(-LN(2)/2)*AB116+(1-EXP(-LN(2)/2))/(LN(2)/2)*V117*Y117*VLOOKUP('Données projet'!$B$9,Paramètres!$A$1:$I$89,3,0)*0.475*44/12</f>
        <v>0.76983428444813995</v>
      </c>
      <c r="AC117" s="22">
        <f t="shared" si="57"/>
        <v>215.5213323315252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373.47758082856359</v>
      </c>
      <c r="AO117" s="59">
        <f t="shared" si="90"/>
        <v>277.24895424120166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98.009919019440048</v>
      </c>
      <c r="AV117" s="21">
        <f>EXP(-LN(2)/25)*AV116+(1-EXP(-LN(2)/25))/(LN(2)/25)*Calculateur!AQ117*Calculateur!AS117*VLOOKUP('Données projet'!$B$10,Paramètres!$A$1:$I$89,3,0)*0.475*44/12</f>
        <v>14.007372630577738</v>
      </c>
      <c r="AW117" s="21">
        <f>EXP(-LN(2)/2)*AW116+(1-EXP(-LN(2)/2))/(LN(2)/2)*AQ117*AT117*VLOOKUP('Données projet'!$B$10,Paramètres!$A$1:$I$89,3,0)*0.475*44/12</f>
        <v>2.432434663727691E-4</v>
      </c>
      <c r="AX117" s="21">
        <f t="shared" si="60"/>
        <v>112.01753489348415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-6.8212102632969618E-13</v>
      </c>
      <c r="BE117" s="13">
        <f>BD117*VLOOKUP('Données projet'!$B$11,Paramètres!$A$1:$I$89,3,0)*VLOOKUP('Données projet'!$B$11,Paramètres!$A$1:$I$89,5,0)</f>
        <v>-4.0790837374515837E-13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460.88622650237176</v>
      </c>
      <c r="BJ117" s="59">
        <f t="shared" si="92"/>
        <v>396.05161661639647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114.53553882087127</v>
      </c>
      <c r="BQ117" s="21">
        <f>EXP(-LN(2)/25)*BQ116+(1-EXP(-LN(2)/25))/(LN(2)/25)*Calculateur!BL117*Calculateur!BN117*VLOOKUP('Données projet'!$B$11,Paramètres!$A$1:$I$89,3,0)*0.475*44/12</f>
        <v>15.356542940266653</v>
      </c>
      <c r="BR117" s="21">
        <f>EXP(-LN(2)/2)*BR116+(1-EXP(-LN(2)/2))/(LN(2)/2)*BL117*BO117*VLOOKUP('Données projet'!$B$11,Paramètres!$A$1:$I$89,3,0)*0.475*44/12</f>
        <v>7.8534068023191793E-5</v>
      </c>
      <c r="BS117" s="22">
        <f t="shared" si="63"/>
        <v>129.89216029520594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-5.1727511163335289E-14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341.60063595566282</v>
      </c>
      <c r="CE117" s="59">
        <f t="shared" si="94"/>
        <v>317.05609766344219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94.002974923877133</v>
      </c>
      <c r="CL117" s="21">
        <f>EXP(-LN(2)/25)*CL116+(1-EXP(-LN(2)/25))/(LN(2)/25)*Calculateur!CG117*Calculateur!CI117*VLOOKUP('Données projet'!$B$12,Paramètres!$A$1:$I$89,3,0)*0.475*44/12</f>
        <v>14.262981323159165</v>
      </c>
      <c r="CM117" s="21">
        <f>EXP(-LN(2)/2)*CM116+(1-EXP(-LN(2)/2))/(LN(2)/2)*CG117*CJ117*VLOOKUP('Données projet'!$B$12,Paramètres!$A$1:$I$89,3,0)*0.475*44/12</f>
        <v>6.6371045487886922E-6</v>
      </c>
      <c r="CN117" s="22">
        <f t="shared" si="66"/>
        <v>108.26596288414085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8.5265128291212022E-14</v>
      </c>
      <c r="CU117" s="17">
        <f>CT117*VLOOKUP('Données projet'!$B$13,Paramètres!$A$1:$I$89,3,0)*VLOOKUP('Données projet'!$B$13,Paramètres!$A$1:$I$89,5,0)</f>
        <v>8.9119112089974823E-14</v>
      </c>
      <c r="CV117" s="13">
        <f t="shared" si="95"/>
        <v>1.3568952080113142E-12</v>
      </c>
      <c r="CW117" s="20">
        <f t="shared" si="67"/>
        <v>2.5184749408430782E-12</v>
      </c>
      <c r="CX117" s="59">
        <f t="shared" si="68"/>
        <v>280.86541503470795</v>
      </c>
      <c r="CY117" s="59">
        <f ca="1">AVERAGE(OFFSET($CX$3,0,0,'Données projet'!$E$13+1,1))-AVERAGE(OFFSET($H$3,0,0,'Données projet'!$E$13+1,1))</f>
        <v>287.73449456153207</v>
      </c>
      <c r="CZ117" s="59">
        <f t="shared" si="96"/>
        <v>296.74833899433281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49.863042612762982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49.863042612762982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6.7941666666666691</v>
      </c>
      <c r="DO117" s="12">
        <f>IF('Données projet'!$A$166&gt;35,DO116+DN117-DW116,IF(A117&lt;'Données projet'!$A$166,$DL$205^A117,IF(A117='Données projet'!$A$166,'Données projet'!$B$166,DO116+DN117-DW116)))</f>
        <v>279.30416666666673</v>
      </c>
      <c r="DP117" s="17">
        <f>DO117*VLOOKUP('Données projet'!$B$14,Paramètres!$A$1:$I$89,3,0)*VLOOKUP('Données projet'!$B$14,Paramètres!$A$1:$I$89,5,0)</f>
        <v>283.21442500000012</v>
      </c>
      <c r="DQ117" s="13">
        <f t="shared" si="97"/>
        <v>67.645857346092839</v>
      </c>
      <c r="DR117" s="20">
        <f t="shared" si="70"/>
        <v>611.08165841944526</v>
      </c>
      <c r="DS117" s="59">
        <f t="shared" si="71"/>
        <v>891.94707345415077</v>
      </c>
      <c r="DT117" s="59">
        <f ca="1">AVERAGE(OFFSET($DS$3,0,0,'Données projet'!$E$14+1,1))-AVERAGE(OFFSET($H$3,0,0,'Données projet'!$E$14+1,1))</f>
        <v>532.34688562681413</v>
      </c>
      <c r="DU117" s="59">
        <f t="shared" si="98"/>
        <v>345.42627129678556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56.760367726999725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56.760367726999725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-5.6843418860808015E-14</v>
      </c>
      <c r="EK117" s="17">
        <f>EJ117*VLOOKUP('Données projet'!$B$15,Paramètres!$A$1:$I$89,3,0)*VLOOKUP('Données projet'!$B$15,Paramètres!$A$1:$I$89,5,0)</f>
        <v>-5.1431925385259088E-14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256.20286603823035</v>
      </c>
      <c r="EP117" s="59">
        <f t="shared" si="100"/>
        <v>364.83827155069434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12.838285834165214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12.838285834165214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6.7941666666666691</v>
      </c>
      <c r="FE117" s="12">
        <f>IF('Données projet'!$A$218&gt;35,FE116+FD117-FM116,IF(A117&lt;'Données projet'!$A$218,$FB$205^A117,IF(A117='Données projet'!$A$218,'Données projet'!$B$218,FE116+FD117-FM116)))</f>
        <v>279.30416666666673</v>
      </c>
      <c r="FF117" s="17">
        <f>FE117*VLOOKUP('Données projet'!$B$16,Paramètres!$A$1:$I$89,3,0)*VLOOKUP('Données projet'!$B$16,Paramètres!$A$1:$I$89,5,0)</f>
        <v>187.35723500000006</v>
      </c>
      <c r="FG117" s="13">
        <f t="shared" si="101"/>
        <v>46.955199580915327</v>
      </c>
      <c r="FH117" s="20">
        <f t="shared" si="76"/>
        <v>408.09415689509427</v>
      </c>
      <c r="FI117" s="59">
        <f t="shared" si="77"/>
        <v>688.95957192979972</v>
      </c>
      <c r="FJ117" s="59">
        <f ca="1">AVERAGE(OFFSET($FI$3,0,0,'Données projet'!$E$16+1,1))-AVERAGE(OFFSET($H$3,0,0,'Données projet'!$E$16+1,1))</f>
        <v>380.73695370216979</v>
      </c>
      <c r="FK117" s="59">
        <f t="shared" si="102"/>
        <v>249.34467160415713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46.281530608169021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46.281530608169021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6.7941666666666691</v>
      </c>
      <c r="FZ117" s="12">
        <f>IF('Données projet'!$A$244&gt;35,FZ116+FY117-GH116,IF(A117&lt;'Données projet'!$A$244,$FW$205^A117,IF(A117='Données projet'!$A$244,'Données projet'!$B$244,FZ116+FY117-GH116)))</f>
        <v>279.30416666666673</v>
      </c>
      <c r="GA117" s="17">
        <f>FZ117*VLOOKUP('Données projet'!$B$17,Paramètres!$A$1:$I$89,3,0)*VLOOKUP('Données projet'!$B$17,Paramètres!$A$1:$I$89,5,0)</f>
        <v>270.14299000000005</v>
      </c>
      <c r="GB117" s="13">
        <f t="shared" si="103"/>
        <v>64.879614439512622</v>
      </c>
      <c r="GC117" s="20">
        <f t="shared" si="79"/>
        <v>583.4977027321512</v>
      </c>
      <c r="GD117" s="59">
        <f t="shared" si="80"/>
        <v>864.3631177668567</v>
      </c>
      <c r="GE117" s="59">
        <f ca="1">AVERAGE(OFFSET($GD$3,0,0,'Données projet'!$E$17+1,1))-AVERAGE(OFFSET($H$3,0,0,'Données projet'!$E$17+1,1))</f>
        <v>511.7458522930001</v>
      </c>
      <c r="GF117" s="59">
        <f t="shared" si="104"/>
        <v>332.37317679966122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54.140658447292061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54.140658447292061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-1.7053025658242404E-13</v>
      </c>
      <c r="GV117" s="17">
        <f>GU117*VLOOKUP('Données projet'!$B$18,Paramètres!$A$1:$I$89,3,0)*VLOOKUP('Données projet'!$B$18,Paramètres!$A$1:$I$89,5,0)</f>
        <v>-1.4897523215040567E-13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348.77506423101278</v>
      </c>
      <c r="HA117" s="59">
        <f t="shared" si="106"/>
        <v>336.13747591329548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68.13528629969224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68.13528629969224</v>
      </c>
    </row>
    <row r="118" spans="1:218" x14ac:dyDescent="0.2">
      <c r="A118" s="10">
        <f t="shared" si="85"/>
        <v>115</v>
      </c>
      <c r="B118" s="71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5">
        <f t="shared" si="56"/>
        <v>183.33333333333334</v>
      </c>
      <c r="I118" s="6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-2.1282176021486519E-13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387.50901594883317</v>
      </c>
      <c r="T118" s="59">
        <f t="shared" si="88"/>
        <v>361.3623790401972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182.2115962647899</v>
      </c>
      <c r="AA118" s="21">
        <f>EXP(-LN(2)/25)*AA117+(1-EXP(-LN(2)/25))/(LN(2)/25)*Calculateur!V118*Calculateur!X118*VLOOKUP('Données projet'!$B$9,Paramètres!$A$1:$I$89,3,0)*0.475*44/12</f>
        <v>28.105231009067971</v>
      </c>
      <c r="AB118" s="21">
        <f>EXP(-LN(2)/2)*AB117+(1-EXP(-LN(2)/2))/(LN(2)/2)*V118*Y118*VLOOKUP('Données projet'!$B$9,Paramètres!$A$1:$I$89,3,0)*0.475*44/12</f>
        <v>0.54435504292317327</v>
      </c>
      <c r="AC118" s="22">
        <f t="shared" si="57"/>
        <v>210.86118231678105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373.47758082856359</v>
      </c>
      <c r="AO118" s="59">
        <f t="shared" si="90"/>
        <v>277.24895424120166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96.088004287616627</v>
      </c>
      <c r="AV118" s="21">
        <f>EXP(-LN(2)/25)*AV117+(1-EXP(-LN(2)/25))/(LN(2)/25)*Calculateur!AQ118*Calculateur!AS118*VLOOKUP('Données projet'!$B$10,Paramètres!$A$1:$I$89,3,0)*0.475*44/12</f>
        <v>13.624340289378877</v>
      </c>
      <c r="AW118" s="21">
        <f>EXP(-LN(2)/2)*AW117+(1-EXP(-LN(2)/2))/(LN(2)/2)*AQ118*AT118*VLOOKUP('Données projet'!$B$10,Paramètres!$A$1:$I$89,3,0)*0.475*44/12</f>
        <v>1.7199910455150698E-4</v>
      </c>
      <c r="AX118" s="21">
        <f t="shared" si="60"/>
        <v>109.71251657610006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-6.8212102632969618E-13</v>
      </c>
      <c r="BE118" s="13">
        <f>BD118*VLOOKUP('Données projet'!$B$11,Paramètres!$A$1:$I$89,3,0)*VLOOKUP('Données projet'!$B$11,Paramètres!$A$1:$I$89,5,0)</f>
        <v>-4.0790837374515837E-13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460.88622650237176</v>
      </c>
      <c r="BJ118" s="59">
        <f t="shared" si="92"/>
        <v>396.05161661639647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112.28956676437458</v>
      </c>
      <c r="BQ118" s="21">
        <f>EXP(-LN(2)/25)*BQ117+(1-EXP(-LN(2)/25))/(LN(2)/25)*Calculateur!BL118*Calculateur!BN118*VLOOKUP('Données projet'!$B$11,Paramètres!$A$1:$I$89,3,0)*0.475*44/12</f>
        <v>14.936617465999566</v>
      </c>
      <c r="BR118" s="21">
        <f>EXP(-LN(2)/2)*BR117+(1-EXP(-LN(2)/2))/(LN(2)/2)*BL118*BO118*VLOOKUP('Données projet'!$B$11,Paramètres!$A$1:$I$89,3,0)*0.475*44/12</f>
        <v>5.5531972053364519E-5</v>
      </c>
      <c r="BS118" s="22">
        <f t="shared" si="63"/>
        <v>127.2262397623462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-5.1727511163335289E-14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341.60063595566282</v>
      </c>
      <c r="CE118" s="59">
        <f t="shared" si="94"/>
        <v>317.05609766344219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92.159633921773136</v>
      </c>
      <c r="CL118" s="21">
        <f>EXP(-LN(2)/25)*CL117+(1-EXP(-LN(2)/25))/(LN(2)/25)*Calculateur!CG118*Calculateur!CI118*VLOOKUP('Données projet'!$B$12,Paramètres!$A$1:$I$89,3,0)*0.475*44/12</f>
        <v>13.872959348819789</v>
      </c>
      <c r="CM118" s="21">
        <f>EXP(-LN(2)/2)*CM117+(1-EXP(-LN(2)/2))/(LN(2)/2)*CG118*CJ118*VLOOKUP('Données projet'!$B$12,Paramètres!$A$1:$I$89,3,0)*0.475*44/12</f>
        <v>4.6931416338925649E-6</v>
      </c>
      <c r="CN118" s="22">
        <f t="shared" si="66"/>
        <v>106.03259796373456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8.5265128291212022E-14</v>
      </c>
      <c r="CU118" s="17">
        <f>CT118*VLOOKUP('Données projet'!$B$13,Paramètres!$A$1:$I$89,3,0)*VLOOKUP('Données projet'!$B$13,Paramètres!$A$1:$I$89,5,0)</f>
        <v>8.9119112089974823E-14</v>
      </c>
      <c r="CV118" s="13">
        <f t="shared" si="95"/>
        <v>1.3568952080113142E-12</v>
      </c>
      <c r="CW118" s="20">
        <f t="shared" si="67"/>
        <v>2.5184749408430782E-12</v>
      </c>
      <c r="CX118" s="59">
        <f t="shared" si="68"/>
        <v>281.08170554309976</v>
      </c>
      <c r="CY118" s="59">
        <f ca="1">AVERAGE(OFFSET($CX$3,0,0,'Données projet'!$E$13+1,1))-AVERAGE(OFFSET($H$3,0,0,'Données projet'!$E$13+1,1))</f>
        <v>287.73449456153207</v>
      </c>
      <c r="CZ118" s="59">
        <f t="shared" si="96"/>
        <v>296.74833899433281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48.885258760579617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48.885258760579617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6.7941666666666691</v>
      </c>
      <c r="DO118" s="12">
        <f>IF('Données projet'!$A$166&gt;35,DO117+DN118-DW117,IF(A118&lt;'Données projet'!$A$166,$DL$205^A118,IF(A118='Données projet'!$A$166,'Données projet'!$B$166,DO117+DN118-DW117)))</f>
        <v>286.09833333333341</v>
      </c>
      <c r="DP118" s="17">
        <f>DO118*VLOOKUP('Données projet'!$B$14,Paramètres!$A$1:$I$89,3,0)*VLOOKUP('Données projet'!$B$14,Paramètres!$A$1:$I$89,5,0)</f>
        <v>290.10371000000009</v>
      </c>
      <c r="DQ118" s="13">
        <f t="shared" si="97"/>
        <v>69.097788139141073</v>
      </c>
      <c r="DR118" s="20">
        <f t="shared" si="70"/>
        <v>625.60927592567089</v>
      </c>
      <c r="DS118" s="59">
        <f t="shared" si="71"/>
        <v>906.69098146876809</v>
      </c>
      <c r="DT118" s="59">
        <f ca="1">AVERAGE(OFFSET($DS$3,0,0,'Données projet'!$E$14+1,1))-AVERAGE(OFFSET($H$3,0,0,'Données projet'!$E$14+1,1))</f>
        <v>532.34688562681413</v>
      </c>
      <c r="DU118" s="59">
        <f t="shared" si="98"/>
        <v>345.42627129678556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55.64733153627909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55.64733153627909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-5.6843418860808015E-14</v>
      </c>
      <c r="EK118" s="17">
        <f>EJ118*VLOOKUP('Données projet'!$B$15,Paramètres!$A$1:$I$89,3,0)*VLOOKUP('Données projet'!$B$15,Paramètres!$A$1:$I$89,5,0)</f>
        <v>-5.1431925385259088E-14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256.20286603823035</v>
      </c>
      <c r="EP118" s="59">
        <f t="shared" si="100"/>
        <v>364.83827155069434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12.586534879538387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12.586534879538387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6.7941666666666691</v>
      </c>
      <c r="FE118" s="12">
        <f>IF('Données projet'!$A$218&gt;35,FE117+FD118-FM117,IF(A118&lt;'Données projet'!$A$218,$FB$205^A118,IF(A118='Données projet'!$A$218,'Données projet'!$B$218,FE117+FD118-FM117)))</f>
        <v>286.09833333333341</v>
      </c>
      <c r="FF118" s="17">
        <f>FE118*VLOOKUP('Données projet'!$B$16,Paramètres!$A$1:$I$89,3,0)*VLOOKUP('Données projet'!$B$16,Paramètres!$A$1:$I$89,5,0)</f>
        <v>191.91476200000005</v>
      </c>
      <c r="FG118" s="13">
        <f t="shared" si="101"/>
        <v>47.963032179095684</v>
      </c>
      <c r="FH118" s="20">
        <f t="shared" si="76"/>
        <v>417.78715819525837</v>
      </c>
      <c r="FI118" s="59">
        <f t="shared" si="77"/>
        <v>698.86886373835569</v>
      </c>
      <c r="FJ118" s="59">
        <f ca="1">AVERAGE(OFFSET($FI$3,0,0,'Données projet'!$E$16+1,1))-AVERAGE(OFFSET($H$3,0,0,'Données projet'!$E$16+1,1))</f>
        <v>380.73695370216979</v>
      </c>
      <c r="FK118" s="59">
        <f t="shared" si="102"/>
        <v>249.34467160415713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45.373978021889123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45.373978021889123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6.7941666666666691</v>
      </c>
      <c r="FZ118" s="12">
        <f>IF('Données projet'!$A$244&gt;35,FZ117+FY118-GH117,IF(A118&lt;'Données projet'!$A$244,$FW$205^A118,IF(A118='Données projet'!$A$244,'Données projet'!$B$244,FZ117+FY118-GH117)))</f>
        <v>286.09833333333341</v>
      </c>
      <c r="GA118" s="17">
        <f>FZ118*VLOOKUP('Données projet'!$B$17,Paramètres!$A$1:$I$89,3,0)*VLOOKUP('Données projet'!$B$17,Paramètres!$A$1:$I$89,5,0)</f>
        <v>276.71430800000007</v>
      </c>
      <c r="GB118" s="13">
        <f t="shared" si="103"/>
        <v>66.272171408136245</v>
      </c>
      <c r="GC118" s="20">
        <f t="shared" si="79"/>
        <v>597.36811830250406</v>
      </c>
      <c r="GD118" s="59">
        <f t="shared" si="80"/>
        <v>878.44982384560126</v>
      </c>
      <c r="GE118" s="59">
        <f ca="1">AVERAGE(OFFSET($GD$3,0,0,'Données projet'!$E$17+1,1))-AVERAGE(OFFSET($H$3,0,0,'Données projet'!$E$17+1,1))</f>
        <v>511.7458522930001</v>
      </c>
      <c r="GF118" s="59">
        <f t="shared" si="104"/>
        <v>332.37317679966122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53.078993157681609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53.078993157681609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-1.7053025658242404E-13</v>
      </c>
      <c r="GV118" s="17">
        <f>GU118*VLOOKUP('Données projet'!$B$18,Paramètres!$A$1:$I$89,3,0)*VLOOKUP('Données projet'!$B$18,Paramètres!$A$1:$I$89,5,0)</f>
        <v>-1.4897523215040567E-13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348.77506423101278</v>
      </c>
      <c r="HA118" s="59">
        <f t="shared" si="106"/>
        <v>336.13747591329548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66.79919489377636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66.79919489377636</v>
      </c>
    </row>
    <row r="119" spans="1:218" x14ac:dyDescent="0.2">
      <c r="A119" s="10">
        <f t="shared" si="85"/>
        <v>116</v>
      </c>
      <c r="B119" s="71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5">
        <f t="shared" si="56"/>
        <v>183.33333333333334</v>
      </c>
      <c r="I119" s="6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-2.1282176021486519E-13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387.50901594883317</v>
      </c>
      <c r="T119" s="59">
        <f t="shared" si="88"/>
        <v>361.3623790401972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178.63853800013712</v>
      </c>
      <c r="AA119" s="21">
        <f>EXP(-LN(2)/25)*AA118+(1-EXP(-LN(2)/25))/(LN(2)/25)*Calculateur!V119*Calculateur!X119*VLOOKUP('Données projet'!$B$9,Paramètres!$A$1:$I$89,3,0)*0.475*44/12</f>
        <v>27.336691989135144</v>
      </c>
      <c r="AB119" s="21">
        <f>EXP(-LN(2)/2)*AB118+(1-EXP(-LN(2)/2))/(LN(2)/2)*V119*Y119*VLOOKUP('Données projet'!$B$9,Paramètres!$A$1:$I$89,3,0)*0.475*44/12</f>
        <v>0.38491714222406997</v>
      </c>
      <c r="AC119" s="22">
        <f t="shared" si="57"/>
        <v>206.36014713149635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373.47758082856359</v>
      </c>
      <c r="AO119" s="59">
        <f t="shared" si="90"/>
        <v>277.24895424120166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94.203777131432034</v>
      </c>
      <c r="AV119" s="21">
        <f>EXP(-LN(2)/25)*AV118+(1-EXP(-LN(2)/25))/(LN(2)/25)*Calculateur!AQ119*Calculateur!AS119*VLOOKUP('Données projet'!$B$10,Paramètres!$A$1:$I$89,3,0)*0.475*44/12</f>
        <v>13.251781987692894</v>
      </c>
      <c r="AW119" s="21">
        <f>EXP(-LN(2)/2)*AW118+(1-EXP(-LN(2)/2))/(LN(2)/2)*AQ119*AT119*VLOOKUP('Données projet'!$B$10,Paramètres!$A$1:$I$89,3,0)*0.475*44/12</f>
        <v>1.2162173318638456E-4</v>
      </c>
      <c r="AX119" s="21">
        <f t="shared" si="60"/>
        <v>107.45568074085811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-6.8212102632969618E-13</v>
      </c>
      <c r="BE119" s="13">
        <f>BD119*VLOOKUP('Données projet'!$B$11,Paramètres!$A$1:$I$89,3,0)*VLOOKUP('Données projet'!$B$11,Paramètres!$A$1:$I$89,5,0)</f>
        <v>-4.0790837374515837E-13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460.88622650237176</v>
      </c>
      <c r="BJ119" s="59">
        <f t="shared" si="92"/>
        <v>396.05161661639647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110.08763684999811</v>
      </c>
      <c r="BQ119" s="21">
        <f>EXP(-LN(2)/25)*BQ118+(1-EXP(-LN(2)/25))/(LN(2)/25)*Calculateur!BL119*Calculateur!BN119*VLOOKUP('Données projet'!$B$11,Paramètres!$A$1:$I$89,3,0)*0.475*44/12</f>
        <v>14.528174875909233</v>
      </c>
      <c r="BR119" s="21">
        <f>EXP(-LN(2)/2)*BR118+(1-EXP(-LN(2)/2))/(LN(2)/2)*BL119*BO119*VLOOKUP('Données projet'!$B$11,Paramètres!$A$1:$I$89,3,0)*0.475*44/12</f>
        <v>3.9267034011595896E-5</v>
      </c>
      <c r="BS119" s="22">
        <f t="shared" si="63"/>
        <v>124.61585099294135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-5.1727511163335289E-14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341.60063595566282</v>
      </c>
      <c r="CE119" s="59">
        <f t="shared" si="94"/>
        <v>317.05609766344219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90.352439712393405</v>
      </c>
      <c r="CL119" s="21">
        <f>EXP(-LN(2)/25)*CL118+(1-EXP(-LN(2)/25))/(LN(2)/25)*Calculateur!CG119*Calculateur!CI119*VLOOKUP('Données projet'!$B$12,Paramètres!$A$1:$I$89,3,0)*0.475*44/12</f>
        <v>13.493602545879087</v>
      </c>
      <c r="CM119" s="21">
        <f>EXP(-LN(2)/2)*CM118+(1-EXP(-LN(2)/2))/(LN(2)/2)*CG119*CJ119*VLOOKUP('Données projet'!$B$12,Paramètres!$A$1:$I$89,3,0)*0.475*44/12</f>
        <v>3.3185522743943461E-6</v>
      </c>
      <c r="CN119" s="22">
        <f t="shared" si="66"/>
        <v>103.84604557682476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8.5265128291212022E-14</v>
      </c>
      <c r="CU119" s="17">
        <f>CT119*VLOOKUP('Données projet'!$B$13,Paramètres!$A$1:$I$89,3,0)*VLOOKUP('Données projet'!$B$13,Paramètres!$A$1:$I$89,5,0)</f>
        <v>8.9119112089974823E-14</v>
      </c>
      <c r="CV119" s="13">
        <f t="shared" si="95"/>
        <v>1.3568952080113142E-12</v>
      </c>
      <c r="CW119" s="20">
        <f t="shared" si="67"/>
        <v>2.5184749408430782E-12</v>
      </c>
      <c r="CX119" s="59">
        <f t="shared" si="68"/>
        <v>281.29424389472399</v>
      </c>
      <c r="CY119" s="59">
        <f ca="1">AVERAGE(OFFSET($CX$3,0,0,'Données projet'!$E$13+1,1))-AVERAGE(OFFSET($H$3,0,0,'Données projet'!$E$13+1,1))</f>
        <v>287.73449456153207</v>
      </c>
      <c r="CZ119" s="59">
        <f t="shared" si="96"/>
        <v>296.74833899433281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47.926648653348302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47.926648653348302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6.7941666666666691</v>
      </c>
      <c r="DO119" s="12">
        <f>IF('Données projet'!$A$166&gt;35,DO118+DN119-DW118,IF(A119&lt;'Données projet'!$A$166,$DL$205^A119,IF(A119='Données projet'!$A$166,'Données projet'!$B$166,DO118+DN119-DW118)))</f>
        <v>292.8925000000001</v>
      </c>
      <c r="DP119" s="17">
        <f>DO119*VLOOKUP('Données projet'!$B$14,Paramètres!$A$1:$I$89,3,0)*VLOOKUP('Données projet'!$B$14,Paramètres!$A$1:$I$89,5,0)</f>
        <v>296.99299500000012</v>
      </c>
      <c r="DQ119" s="13">
        <f t="shared" si="97"/>
        <v>70.545710608339192</v>
      </c>
      <c r="DR119" s="20">
        <f t="shared" si="70"/>
        <v>640.12991226785755</v>
      </c>
      <c r="DS119" s="59">
        <f t="shared" si="71"/>
        <v>921.42415616257904</v>
      </c>
      <c r="DT119" s="59">
        <f ca="1">AVERAGE(OFFSET($DS$3,0,0,'Données projet'!$E$14+1,1))-AVERAGE(OFFSET($H$3,0,0,'Données projet'!$E$14+1,1))</f>
        <v>532.34688562681413</v>
      </c>
      <c r="DU119" s="59">
        <f t="shared" si="98"/>
        <v>345.42627129678556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54.556121306373448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54.556121306373448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-5.6843418860808015E-14</v>
      </c>
      <c r="EK119" s="17">
        <f>EJ119*VLOOKUP('Données projet'!$B$15,Paramètres!$A$1:$I$89,3,0)*VLOOKUP('Données projet'!$B$15,Paramètres!$A$1:$I$89,5,0)</f>
        <v>-5.1431925385259088E-14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256.20286603823035</v>
      </c>
      <c r="EP119" s="59">
        <f t="shared" si="100"/>
        <v>364.83827155069434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12.339720607578872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12.339720607578872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6.7941666666666691</v>
      </c>
      <c r="FE119" s="12">
        <f>IF('Données projet'!$A$218&gt;35,FE118+FD119-FM118,IF(A119&lt;'Données projet'!$A$218,$FB$205^A119,IF(A119='Données projet'!$A$218,'Données projet'!$B$218,FE118+FD119-FM118)))</f>
        <v>292.8925000000001</v>
      </c>
      <c r="FF119" s="17">
        <f>FE119*VLOOKUP('Données projet'!$B$16,Paramètres!$A$1:$I$89,3,0)*VLOOKUP('Données projet'!$B$16,Paramètres!$A$1:$I$89,5,0)</f>
        <v>196.47228900000007</v>
      </c>
      <c r="FG119" s="13">
        <f t="shared" si="101"/>
        <v>48.968082468739418</v>
      </c>
      <c r="FH119" s="20">
        <f t="shared" si="76"/>
        <v>427.47531364138791</v>
      </c>
      <c r="FI119" s="59">
        <f t="shared" si="77"/>
        <v>708.76955753610946</v>
      </c>
      <c r="FJ119" s="59">
        <f ca="1">AVERAGE(OFFSET($FI$3,0,0,'Données projet'!$E$16+1,1))-AVERAGE(OFFSET($H$3,0,0,'Données projet'!$E$16+1,1))</f>
        <v>380.73695370216979</v>
      </c>
      <c r="FK119" s="59">
        <f t="shared" si="102"/>
        <v>249.34467160415713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44.484221988273752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44.484221988273752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6.7941666666666691</v>
      </c>
      <c r="FZ119" s="12">
        <f>IF('Données projet'!$A$244&gt;35,FZ118+FY119-GH118,IF(A119&lt;'Données projet'!$A$244,$FW$205^A119,IF(A119='Données projet'!$A$244,'Données projet'!$B$244,FZ118+FY119-GH118)))</f>
        <v>292.8925000000001</v>
      </c>
      <c r="GA119" s="17">
        <f>FZ119*VLOOKUP('Données projet'!$B$17,Paramètres!$A$1:$I$89,3,0)*VLOOKUP('Données projet'!$B$17,Paramètres!$A$1:$I$89,5,0)</f>
        <v>283.28562600000015</v>
      </c>
      <c r="GB119" s="13">
        <f t="shared" si="103"/>
        <v>67.660883965348035</v>
      </c>
      <c r="GC119" s="20">
        <f t="shared" si="79"/>
        <v>611.2318381896481</v>
      </c>
      <c r="GD119" s="59">
        <f t="shared" si="80"/>
        <v>892.52608208436959</v>
      </c>
      <c r="GE119" s="59">
        <f ca="1">AVERAGE(OFFSET($GD$3,0,0,'Données projet'!$E$17+1,1))-AVERAGE(OFFSET($H$3,0,0,'Données projet'!$E$17+1,1))</f>
        <v>511.7458522930001</v>
      </c>
      <c r="GF119" s="59">
        <f t="shared" si="104"/>
        <v>332.37317679966122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52.038146476848532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52.038146476848532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-1.7053025658242404E-13</v>
      </c>
      <c r="GV119" s="17">
        <f>GU119*VLOOKUP('Données projet'!$B$18,Paramètres!$A$1:$I$89,3,0)*VLOOKUP('Données projet'!$B$18,Paramètres!$A$1:$I$89,5,0)</f>
        <v>-1.4897523215040567E-13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348.77506423101278</v>
      </c>
      <c r="HA119" s="59">
        <f t="shared" si="106"/>
        <v>336.13747591329548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65.489303425395207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65.489303425395207</v>
      </c>
    </row>
    <row r="120" spans="1:218" x14ac:dyDescent="0.2">
      <c r="A120" s="10">
        <f t="shared" si="85"/>
        <v>117</v>
      </c>
      <c r="B120" s="71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5">
        <f t="shared" si="56"/>
        <v>183.33333333333334</v>
      </c>
      <c r="I120" s="6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-2.1282176021486519E-13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387.50901594883317</v>
      </c>
      <c r="T120" s="59">
        <f t="shared" si="88"/>
        <v>361.3623790401972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175.13554522870382</v>
      </c>
      <c r="AA120" s="21">
        <f>EXP(-LN(2)/25)*AA119+(1-EXP(-LN(2)/25))/(LN(2)/25)*Calculateur!V120*Calculateur!X120*VLOOKUP('Données projet'!$B$9,Paramètres!$A$1:$I$89,3,0)*0.475*44/12</f>
        <v>26.589168709118091</v>
      </c>
      <c r="AB120" s="21">
        <f>EXP(-LN(2)/2)*AB119+(1-EXP(-LN(2)/2))/(LN(2)/2)*V120*Y120*VLOOKUP('Données projet'!$B$9,Paramètres!$A$1:$I$89,3,0)*0.475*44/12</f>
        <v>0.27217752146158664</v>
      </c>
      <c r="AC120" s="22">
        <f t="shared" si="57"/>
        <v>201.99689145928352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373.47758082856359</v>
      </c>
      <c r="AO120" s="59">
        <f t="shared" si="90"/>
        <v>277.24895424120166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92.356498520515132</v>
      </c>
      <c r="AV120" s="21">
        <f>EXP(-LN(2)/25)*AV119+(1-EXP(-LN(2)/25))/(LN(2)/25)*Calculateur!AQ120*Calculateur!AS120*VLOOKUP('Données projet'!$B$10,Paramètres!$A$1:$I$89,3,0)*0.475*44/12</f>
        <v>12.889411312358504</v>
      </c>
      <c r="AW120" s="21">
        <f>EXP(-LN(2)/2)*AW119+(1-EXP(-LN(2)/2))/(LN(2)/2)*AQ120*AT120*VLOOKUP('Données projet'!$B$10,Paramètres!$A$1:$I$89,3,0)*0.475*44/12</f>
        <v>8.5999552275753505E-5</v>
      </c>
      <c r="AX120" s="21">
        <f t="shared" si="60"/>
        <v>105.2459958324259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-6.8212102632969618E-13</v>
      </c>
      <c r="BE120" s="13">
        <f>BD120*VLOOKUP('Données projet'!$B$11,Paramètres!$A$1:$I$89,3,0)*VLOOKUP('Données projet'!$B$11,Paramètres!$A$1:$I$89,5,0)</f>
        <v>-4.0790837374515837E-13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460.88622650237176</v>
      </c>
      <c r="BJ120" s="59">
        <f t="shared" si="92"/>
        <v>396.05161661639647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107.92888543819792</v>
      </c>
      <c r="BQ120" s="21">
        <f>EXP(-LN(2)/25)*BQ119+(1-EXP(-LN(2)/25))/(LN(2)/25)*Calculateur!BL120*Calculateur!BN120*VLOOKUP('Données projet'!$B$11,Paramètres!$A$1:$I$89,3,0)*0.475*44/12</f>
        <v>14.130901169923982</v>
      </c>
      <c r="BR120" s="21">
        <f>EXP(-LN(2)/2)*BR119+(1-EXP(-LN(2)/2))/(LN(2)/2)*BL120*BO120*VLOOKUP('Données projet'!$B$11,Paramètres!$A$1:$I$89,3,0)*0.475*44/12</f>
        <v>2.7765986026682259E-5</v>
      </c>
      <c r="BS120" s="22">
        <f t="shared" si="63"/>
        <v>122.05981437410794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-5.1727511163335289E-14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341.60063595566282</v>
      </c>
      <c r="CE120" s="59">
        <f t="shared" si="94"/>
        <v>317.05609766344219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88.580683479179982</v>
      </c>
      <c r="CL120" s="21">
        <f>EXP(-LN(2)/25)*CL119+(1-EXP(-LN(2)/25))/(LN(2)/25)*Calculateur!CG120*Calculateur!CI120*VLOOKUP('Données projet'!$B$12,Paramètres!$A$1:$I$89,3,0)*0.475*44/12</f>
        <v>13.124619274664305</v>
      </c>
      <c r="CM120" s="21">
        <f>EXP(-LN(2)/2)*CM119+(1-EXP(-LN(2)/2))/(LN(2)/2)*CG120*CJ120*VLOOKUP('Données projet'!$B$12,Paramètres!$A$1:$I$89,3,0)*0.475*44/12</f>
        <v>2.3465708169462825E-6</v>
      </c>
      <c r="CN120" s="22">
        <f t="shared" si="66"/>
        <v>101.7053051004151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8.5265128291212022E-14</v>
      </c>
      <c r="CU120" s="17">
        <f>CT120*VLOOKUP('Données projet'!$B$13,Paramètres!$A$1:$I$89,3,0)*VLOOKUP('Données projet'!$B$13,Paramètres!$A$1:$I$89,5,0)</f>
        <v>8.9119112089974823E-14</v>
      </c>
      <c r="CV120" s="13">
        <f t="shared" si="95"/>
        <v>1.3568952080113142E-12</v>
      </c>
      <c r="CW120" s="20">
        <f t="shared" si="67"/>
        <v>2.5184749408430782E-12</v>
      </c>
      <c r="CX120" s="59">
        <f t="shared" si="68"/>
        <v>281.50309518111214</v>
      </c>
      <c r="CY120" s="59">
        <f ca="1">AVERAGE(OFFSET($CX$3,0,0,'Données projet'!$E$13+1,1))-AVERAGE(OFFSET($H$3,0,0,'Données projet'!$E$13+1,1))</f>
        <v>287.73449456153207</v>
      </c>
      <c r="CZ120" s="59">
        <f t="shared" si="96"/>
        <v>296.74833899433281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46.98683630562536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46.98683630562536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6.7941666666666691</v>
      </c>
      <c r="DO120" s="12">
        <f>IF('Données projet'!$A$166&gt;35,DO119+DN120-DW119,IF(A120&lt;'Données projet'!$A$166,$DL$205^A120,IF(A120='Données projet'!$A$166,'Données projet'!$B$166,DO119+DN120-DW119)))</f>
        <v>299.68666666666678</v>
      </c>
      <c r="DP120" s="17">
        <f>DO120*VLOOKUP('Données projet'!$B$14,Paramètres!$A$1:$I$89,3,0)*VLOOKUP('Données projet'!$B$14,Paramètres!$A$1:$I$89,5,0)</f>
        <v>303.88228000000015</v>
      </c>
      <c r="DQ120" s="13">
        <f t="shared" si="97"/>
        <v>71.98972843562828</v>
      </c>
      <c r="DR120" s="20">
        <f t="shared" si="70"/>
        <v>654.64374802538623</v>
      </c>
      <c r="DS120" s="59">
        <f t="shared" si="71"/>
        <v>936.14684320649587</v>
      </c>
      <c r="DT120" s="59">
        <f ca="1">AVERAGE(OFFSET($DS$3,0,0,'Données projet'!$E$14+1,1))-AVERAGE(OFFSET($H$3,0,0,'Données projet'!$E$14+1,1))</f>
        <v>532.34688562681413</v>
      </c>
      <c r="DU120" s="59">
        <f t="shared" si="98"/>
        <v>345.42627129678556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53.486309043503738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53.486309043503738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-5.6843418860808015E-14</v>
      </c>
      <c r="EK120" s="17">
        <f>EJ120*VLOOKUP('Données projet'!$B$15,Paramètres!$A$1:$I$89,3,0)*VLOOKUP('Données projet'!$B$15,Paramètres!$A$1:$I$89,5,0)</f>
        <v>-5.1431925385259088E-14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256.20286603823035</v>
      </c>
      <c r="EP120" s="59">
        <f t="shared" si="100"/>
        <v>364.83827155069434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12.097746212950643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12.097746212950643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6.7941666666666691</v>
      </c>
      <c r="FE120" s="12">
        <f>IF('Données projet'!$A$218&gt;35,FE119+FD120-FM119,IF(A120&lt;'Données projet'!$A$218,$FB$205^A120,IF(A120='Données projet'!$A$218,'Données projet'!$B$218,FE119+FD120-FM119)))</f>
        <v>299.68666666666678</v>
      </c>
      <c r="FF120" s="17">
        <f>FE120*VLOOKUP('Données projet'!$B$16,Paramètres!$A$1:$I$89,3,0)*VLOOKUP('Données projet'!$B$16,Paramètres!$A$1:$I$89,5,0)</f>
        <v>201.02981600000007</v>
      </c>
      <c r="FG120" s="13">
        <f t="shared" si="101"/>
        <v>49.970422418869056</v>
      </c>
      <c r="FH120" s="20">
        <f t="shared" si="76"/>
        <v>437.15874857953037</v>
      </c>
      <c r="FI120" s="59">
        <f t="shared" si="77"/>
        <v>718.66184376064007</v>
      </c>
      <c r="FJ120" s="59">
        <f ca="1">AVERAGE(OFFSET($FI$3,0,0,'Données projet'!$E$16+1,1))-AVERAGE(OFFSET($H$3,0,0,'Données projet'!$E$16+1,1))</f>
        <v>380.73695370216979</v>
      </c>
      <c r="FK120" s="59">
        <f t="shared" si="102"/>
        <v>249.34467160415713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43.611913527779983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43.611913527779983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6.7941666666666691</v>
      </c>
      <c r="FZ120" s="12">
        <f>IF('Données projet'!$A$244&gt;35,FZ119+FY120-GH119,IF(A120&lt;'Données projet'!$A$244,$FW$205^A120,IF(A120='Données projet'!$A$244,'Données projet'!$B$244,FZ119+FY120-GH119)))</f>
        <v>299.68666666666678</v>
      </c>
      <c r="GA120" s="17">
        <f>FZ120*VLOOKUP('Données projet'!$B$17,Paramètres!$A$1:$I$89,3,0)*VLOOKUP('Données projet'!$B$17,Paramètres!$A$1:$I$89,5,0)</f>
        <v>289.85694400000011</v>
      </c>
      <c r="GB120" s="13">
        <f t="shared" si="103"/>
        <v>69.045851553222278</v>
      </c>
      <c r="GC120" s="20">
        <f t="shared" si="79"/>
        <v>625.08903558852899</v>
      </c>
      <c r="GD120" s="59">
        <f t="shared" si="80"/>
        <v>906.59213076963863</v>
      </c>
      <c r="GE120" s="59">
        <f ca="1">AVERAGE(OFFSET($GD$3,0,0,'Données projet'!$E$17+1,1))-AVERAGE(OFFSET($H$3,0,0,'Données projet'!$E$17+1,1))</f>
        <v>511.7458522930001</v>
      </c>
      <c r="GF120" s="59">
        <f t="shared" si="104"/>
        <v>332.37317679966122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51.017710164572804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51.017710164572804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-1.7053025658242404E-13</v>
      </c>
      <c r="GV120" s="17">
        <f>GU120*VLOOKUP('Données projet'!$B$18,Paramètres!$A$1:$I$89,3,0)*VLOOKUP('Données projet'!$B$18,Paramètres!$A$1:$I$89,5,0)</f>
        <v>-1.4897523215040567E-13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348.77506423101278</v>
      </c>
      <c r="HA120" s="59">
        <f t="shared" si="106"/>
        <v>336.13747591329548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64.205098129754106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64.205098129754106</v>
      </c>
    </row>
    <row r="121" spans="1:218" x14ac:dyDescent="0.2">
      <c r="A121" s="10">
        <f t="shared" si="85"/>
        <v>118</v>
      </c>
      <c r="B121" s="71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5">
        <f t="shared" si="56"/>
        <v>183.33333333333334</v>
      </c>
      <c r="I121" s="6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-2.1282176021486519E-13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387.50901594883317</v>
      </c>
      <c r="T121" s="59">
        <f t="shared" si="88"/>
        <v>361.3623790401972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171.70124400890373</v>
      </c>
      <c r="AA121" s="21">
        <f>EXP(-LN(2)/25)*AA120+(1-EXP(-LN(2)/25))/(LN(2)/25)*Calculateur!V121*Calculateur!X121*VLOOKUP('Données projet'!$B$9,Paramètres!$A$1:$I$89,3,0)*0.475*44/12</f>
        <v>25.862086492503646</v>
      </c>
      <c r="AB121" s="21">
        <f>EXP(-LN(2)/2)*AB120+(1-EXP(-LN(2)/2))/(LN(2)/2)*V121*Y121*VLOOKUP('Données projet'!$B$9,Paramètres!$A$1:$I$89,3,0)*0.475*44/12</f>
        <v>0.19245857111203499</v>
      </c>
      <c r="AC121" s="22">
        <f t="shared" si="57"/>
        <v>197.75578907251941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373.47758082856359</v>
      </c>
      <c r="AO121" s="59">
        <f t="shared" si="90"/>
        <v>277.24895424120166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90.545443916429619</v>
      </c>
      <c r="AV121" s="21">
        <f>EXP(-LN(2)/25)*AV120+(1-EXP(-LN(2)/25))/(LN(2)/25)*Calculateur!AQ121*Calculateur!AS121*VLOOKUP('Données projet'!$B$10,Paramètres!$A$1:$I$89,3,0)*0.475*44/12</f>
        <v>12.536949682197379</v>
      </c>
      <c r="AW121" s="21">
        <f>EXP(-LN(2)/2)*AW120+(1-EXP(-LN(2)/2))/(LN(2)/2)*AQ121*AT121*VLOOKUP('Données projet'!$B$10,Paramètres!$A$1:$I$89,3,0)*0.475*44/12</f>
        <v>6.0810866593192295E-5</v>
      </c>
      <c r="AX121" s="21">
        <f t="shared" si="60"/>
        <v>103.08245440949359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-6.8212102632969618E-13</v>
      </c>
      <c r="BE121" s="13">
        <f>BD121*VLOOKUP('Données projet'!$B$11,Paramètres!$A$1:$I$89,3,0)*VLOOKUP('Données projet'!$B$11,Paramètres!$A$1:$I$89,5,0)</f>
        <v>-4.0790837374515837E-13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460.88622650237176</v>
      </c>
      <c r="BJ121" s="59">
        <f t="shared" si="92"/>
        <v>396.05161661639647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105.81246582487479</v>
      </c>
      <c r="BQ121" s="21">
        <f>EXP(-LN(2)/25)*BQ120+(1-EXP(-LN(2)/25))/(LN(2)/25)*Calculateur!BL121*Calculateur!BN121*VLOOKUP('Données projet'!$B$11,Paramètres!$A$1:$I$89,3,0)*0.475*44/12</f>
        <v>13.744490934320615</v>
      </c>
      <c r="BR121" s="21">
        <f>EXP(-LN(2)/2)*BR120+(1-EXP(-LN(2)/2))/(LN(2)/2)*BL121*BO121*VLOOKUP('Données projet'!$B$11,Paramètres!$A$1:$I$89,3,0)*0.475*44/12</f>
        <v>1.9633517005797948E-5</v>
      </c>
      <c r="BS121" s="22">
        <f t="shared" si="63"/>
        <v>119.5569763927124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-5.1727511163335289E-14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341.60063595566282</v>
      </c>
      <c r="CE121" s="59">
        <f t="shared" si="94"/>
        <v>317.05609766344219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86.843670305035275</v>
      </c>
      <c r="CL121" s="21">
        <f>EXP(-LN(2)/25)*CL120+(1-EXP(-LN(2)/25))/(LN(2)/25)*Calculateur!CG121*Calculateur!CI121*VLOOKUP('Données projet'!$B$12,Paramètres!$A$1:$I$89,3,0)*0.475*44/12</f>
        <v>12.765725870404879</v>
      </c>
      <c r="CM121" s="21">
        <f>EXP(-LN(2)/2)*CM120+(1-EXP(-LN(2)/2))/(LN(2)/2)*CG121*CJ121*VLOOKUP('Données projet'!$B$12,Paramètres!$A$1:$I$89,3,0)*0.475*44/12</f>
        <v>1.6592761371971731E-6</v>
      </c>
      <c r="CN121" s="22">
        <f t="shared" si="66"/>
        <v>99.60939783471629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8.5265128291212022E-14</v>
      </c>
      <c r="CU121" s="17">
        <f>CT121*VLOOKUP('Données projet'!$B$13,Paramètres!$A$1:$I$89,3,0)*VLOOKUP('Données projet'!$B$13,Paramètres!$A$1:$I$89,5,0)</f>
        <v>8.9119112089974823E-14</v>
      </c>
      <c r="CV121" s="13">
        <f t="shared" si="95"/>
        <v>1.3568952080113142E-12</v>
      </c>
      <c r="CW121" s="20">
        <f t="shared" si="67"/>
        <v>2.5184749408430782E-12</v>
      </c>
      <c r="CX121" s="59">
        <f t="shared" si="68"/>
        <v>281.7083233646029</v>
      </c>
      <c r="CY121" s="59">
        <f ca="1">AVERAGE(OFFSET($CX$3,0,0,'Données projet'!$E$13+1,1))-AVERAGE(OFFSET($H$3,0,0,'Données projet'!$E$13+1,1))</f>
        <v>287.73449456153207</v>
      </c>
      <c r="CZ121" s="59">
        <f t="shared" si="96"/>
        <v>296.74833899433281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46.065453104812335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46.065453104812335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6.7941666666666691</v>
      </c>
      <c r="DO121" s="12">
        <f>IF('Données projet'!$A$166&gt;35,DO120+DN121-DW120,IF(A121&lt;'Données projet'!$A$166,$DL$205^A121,IF(A121='Données projet'!$A$166,'Données projet'!$B$166,DO120+DN121-DW120)))</f>
        <v>306.48083333333346</v>
      </c>
      <c r="DP121" s="17">
        <f>DO121*VLOOKUP('Données projet'!$B$14,Paramètres!$A$1:$I$89,3,0)*VLOOKUP('Données projet'!$B$14,Paramètres!$A$1:$I$89,5,0)</f>
        <v>310.77156500000018</v>
      </c>
      <c r="DQ121" s="13">
        <f t="shared" si="97"/>
        <v>73.429940333496191</v>
      </c>
      <c r="DR121" s="20">
        <f t="shared" si="70"/>
        <v>669.15095512250616</v>
      </c>
      <c r="DS121" s="59">
        <f t="shared" si="71"/>
        <v>950.85927848710662</v>
      </c>
      <c r="DT121" s="59">
        <f ca="1">AVERAGE(OFFSET($DS$3,0,0,'Données projet'!$E$14+1,1))-AVERAGE(OFFSET($H$3,0,0,'Données projet'!$E$14+1,1))</f>
        <v>532.34688562681413</v>
      </c>
      <c r="DU121" s="59">
        <f t="shared" si="98"/>
        <v>345.42627129678556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52.43747514658785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52.43747514658785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-5.6843418860808015E-14</v>
      </c>
      <c r="EK121" s="17">
        <f>EJ121*VLOOKUP('Données projet'!$B$15,Paramètres!$A$1:$I$89,3,0)*VLOOKUP('Données projet'!$B$15,Paramètres!$A$1:$I$89,5,0)</f>
        <v>-5.1431925385259088E-14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256.20286603823035</v>
      </c>
      <c r="EP121" s="59">
        <f t="shared" si="100"/>
        <v>364.83827155069434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11.860516788611266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11.860516788611266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6.7941666666666691</v>
      </c>
      <c r="FE121" s="12">
        <f>IF('Données projet'!$A$218&gt;35,FE120+FD121-FM120,IF(A121&lt;'Données projet'!$A$218,$FB$205^A121,IF(A121='Données projet'!$A$218,'Données projet'!$B$218,FE120+FD121-FM120)))</f>
        <v>306.48083333333346</v>
      </c>
      <c r="FF121" s="17">
        <f>FE121*VLOOKUP('Données projet'!$B$16,Paramètres!$A$1:$I$89,3,0)*VLOOKUP('Données projet'!$B$16,Paramètres!$A$1:$I$89,5,0)</f>
        <v>205.58734300000009</v>
      </c>
      <c r="FG121" s="13">
        <f t="shared" si="101"/>
        <v>50.970120549047344</v>
      </c>
      <c r="FH121" s="20">
        <f t="shared" si="76"/>
        <v>446.8375823479243</v>
      </c>
      <c r="FI121" s="59">
        <f t="shared" si="77"/>
        <v>728.5459057125247</v>
      </c>
      <c r="FJ121" s="59">
        <f ca="1">AVERAGE(OFFSET($FI$3,0,0,'Données projet'!$E$16+1,1))-AVERAGE(OFFSET($H$3,0,0,'Données projet'!$E$16+1,1))</f>
        <v>380.73695370216979</v>
      </c>
      <c r="FK121" s="59">
        <f t="shared" si="102"/>
        <v>249.34467160415713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42.756710504140877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42.756710504140877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6.7941666666666691</v>
      </c>
      <c r="FZ121" s="12">
        <f>IF('Données projet'!$A$244&gt;35,FZ120+FY121-GH120,IF(A121&lt;'Données projet'!$A$244,$FW$205^A121,IF(A121='Données projet'!$A$244,'Données projet'!$B$244,FZ120+FY121-GH120)))</f>
        <v>306.48083333333346</v>
      </c>
      <c r="GA121" s="17">
        <f>FZ121*VLOOKUP('Données projet'!$B$17,Paramètres!$A$1:$I$89,3,0)*VLOOKUP('Données projet'!$B$17,Paramètres!$A$1:$I$89,5,0)</f>
        <v>296.42826200000013</v>
      </c>
      <c r="GB121" s="13">
        <f t="shared" si="103"/>
        <v>70.427168847595595</v>
      </c>
      <c r="GC121" s="20">
        <f t="shared" si="79"/>
        <v>638.93987539289583</v>
      </c>
      <c r="GD121" s="59">
        <f t="shared" si="80"/>
        <v>920.64819875749617</v>
      </c>
      <c r="GE121" s="59">
        <f ca="1">AVERAGE(OFFSET($GD$3,0,0,'Données projet'!$E$17+1,1))-AVERAGE(OFFSET($H$3,0,0,'Données projet'!$E$17+1,1))</f>
        <v>511.7458522930001</v>
      </c>
      <c r="GF121" s="59">
        <f t="shared" si="104"/>
        <v>332.37317679966122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50.017283985976114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50.017283985976114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-1.7053025658242404E-13</v>
      </c>
      <c r="GV121" s="17">
        <f>GU121*VLOOKUP('Données projet'!$B$18,Paramètres!$A$1:$I$89,3,0)*VLOOKUP('Données projet'!$B$18,Paramètres!$A$1:$I$89,5,0)</f>
        <v>-1.4897523215040567E-13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348.77506423101278</v>
      </c>
      <c r="HA121" s="59">
        <f t="shared" si="106"/>
        <v>336.13747591329548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62.946075316672633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62.946075316672633</v>
      </c>
    </row>
    <row r="122" spans="1:218" x14ac:dyDescent="0.2">
      <c r="A122" s="10">
        <f t="shared" si="85"/>
        <v>119</v>
      </c>
      <c r="B122" s="71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5">
        <f t="shared" si="56"/>
        <v>183.33333333333334</v>
      </c>
      <c r="I122" s="6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-2.1282176021486519E-13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387.50901594883317</v>
      </c>
      <c r="T122" s="59">
        <f t="shared" si="88"/>
        <v>361.3623790401972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168.334287341307</v>
      </c>
      <c r="AA122" s="21">
        <f>EXP(-LN(2)/25)*AA121+(1-EXP(-LN(2)/25))/(LN(2)/25)*Calculateur!V122*Calculateur!X122*VLOOKUP('Données projet'!$B$9,Paramètres!$A$1:$I$89,3,0)*0.475*44/12</f>
        <v>25.154886377338116</v>
      </c>
      <c r="AB122" s="21">
        <f>EXP(-LN(2)/2)*AB121+(1-EXP(-LN(2)/2))/(LN(2)/2)*V122*Y122*VLOOKUP('Données projet'!$B$9,Paramètres!$A$1:$I$89,3,0)*0.475*44/12</f>
        <v>0.13608876073079332</v>
      </c>
      <c r="AC122" s="22">
        <f t="shared" si="57"/>
        <v>193.62526247937592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373.47758082856359</v>
      </c>
      <c r="AO122" s="59">
        <f t="shared" si="90"/>
        <v>277.24895424120166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88.769902988495986</v>
      </c>
      <c r="AV122" s="21">
        <f>EXP(-LN(2)/25)*AV121+(1-EXP(-LN(2)/25))/(LN(2)/25)*Calculateur!AQ122*Calculateur!AS122*VLOOKUP('Données projet'!$B$10,Paramètres!$A$1:$I$89,3,0)*0.475*44/12</f>
        <v>12.194126133848162</v>
      </c>
      <c r="AW122" s="21">
        <f>EXP(-LN(2)/2)*AW121+(1-EXP(-LN(2)/2))/(LN(2)/2)*AQ122*AT122*VLOOKUP('Données projet'!$B$10,Paramètres!$A$1:$I$89,3,0)*0.475*44/12</f>
        <v>4.2999776137876759E-5</v>
      </c>
      <c r="AX122" s="21">
        <f t="shared" si="60"/>
        <v>100.96407212212029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-6.8212102632969618E-13</v>
      </c>
      <c r="BE122" s="13">
        <f>BD122*VLOOKUP('Données projet'!$B$11,Paramètres!$A$1:$I$89,3,0)*VLOOKUP('Données projet'!$B$11,Paramètres!$A$1:$I$89,5,0)</f>
        <v>-4.0790837374515837E-13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460.88622650237176</v>
      </c>
      <c r="BJ122" s="59">
        <f t="shared" si="92"/>
        <v>396.05161661639647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103.73754790928044</v>
      </c>
      <c r="BQ122" s="21">
        <f>EXP(-LN(2)/25)*BQ121+(1-EXP(-LN(2)/25))/(LN(2)/25)*Calculateur!BL122*Calculateur!BN122*VLOOKUP('Données projet'!$B$11,Paramètres!$A$1:$I$89,3,0)*0.475*44/12</f>
        <v>13.368647106930252</v>
      </c>
      <c r="BR122" s="21">
        <f>EXP(-LN(2)/2)*BR121+(1-EXP(-LN(2)/2))/(LN(2)/2)*BL122*BO122*VLOOKUP('Données projet'!$B$11,Paramètres!$A$1:$I$89,3,0)*0.475*44/12</f>
        <v>1.388299301334113E-5</v>
      </c>
      <c r="BS122" s="22">
        <f t="shared" si="63"/>
        <v>117.10620889920371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-5.1727511163335289E-14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341.60063595566282</v>
      </c>
      <c r="CE122" s="59">
        <f t="shared" si="94"/>
        <v>317.05609766344219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85.14071889976212</v>
      </c>
      <c r="CL122" s="21">
        <f>EXP(-LN(2)/25)*CL121+(1-EXP(-LN(2)/25))/(LN(2)/25)*Calculateur!CG122*Calculateur!CI122*VLOOKUP('Données projet'!$B$12,Paramètres!$A$1:$I$89,3,0)*0.475*44/12</f>
        <v>12.41664642515831</v>
      </c>
      <c r="CM122" s="21">
        <f>EXP(-LN(2)/2)*CM121+(1-EXP(-LN(2)/2))/(LN(2)/2)*CG122*CJ122*VLOOKUP('Données projet'!$B$12,Paramètres!$A$1:$I$89,3,0)*0.475*44/12</f>
        <v>1.1732854084731412E-6</v>
      </c>
      <c r="CN122" s="22">
        <f t="shared" si="66"/>
        <v>97.557366498205838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8.5265128291212022E-14</v>
      </c>
      <c r="CU122" s="17">
        <f>CT122*VLOOKUP('Données projet'!$B$13,Paramètres!$A$1:$I$89,3,0)*VLOOKUP('Données projet'!$B$13,Paramètres!$A$1:$I$89,5,0)</f>
        <v>8.9119112089974823E-14</v>
      </c>
      <c r="CV122" s="13">
        <f t="shared" si="95"/>
        <v>1.3568952080113142E-12</v>
      </c>
      <c r="CW122" s="20">
        <f t="shared" si="67"/>
        <v>2.5184749408430782E-12</v>
      </c>
      <c r="CX122" s="59">
        <f t="shared" si="68"/>
        <v>281.90999129793164</v>
      </c>
      <c r="CY122" s="59">
        <f ca="1">AVERAGE(OFFSET($CX$3,0,0,'Données projet'!$E$13+1,1))-AVERAGE(OFFSET($H$3,0,0,'Données projet'!$E$13+1,1))</f>
        <v>287.73449456153207</v>
      </c>
      <c r="CZ122" s="59">
        <f t="shared" si="96"/>
        <v>296.74833899433281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45.162137666578992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45.162137666578992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6.7941666666666691</v>
      </c>
      <c r="DO122" s="12">
        <f>IF('Données projet'!$A$166&gt;35,DO121+DN122-DW121,IF(A122&lt;'Données projet'!$A$166,$DL$205^A122,IF(A122='Données projet'!$A$166,'Données projet'!$B$166,DO121+DN122-DW121)))</f>
        <v>313.27500000000015</v>
      </c>
      <c r="DP122" s="17">
        <f>DO122*VLOOKUP('Données projet'!$B$14,Paramètres!$A$1:$I$89,3,0)*VLOOKUP('Données projet'!$B$14,Paramètres!$A$1:$I$89,5,0)</f>
        <v>317.66085000000021</v>
      </c>
      <c r="DQ122" s="13">
        <f t="shared" si="97"/>
        <v>74.866440387963451</v>
      </c>
      <c r="DR122" s="20">
        <f t="shared" si="70"/>
        <v>683.65169742570333</v>
      </c>
      <c r="DS122" s="59">
        <f t="shared" si="71"/>
        <v>965.56168872363241</v>
      </c>
      <c r="DT122" s="59">
        <f ca="1">AVERAGE(OFFSET($DS$3,0,0,'Données projet'!$E$14+1,1))-AVERAGE(OFFSET($H$3,0,0,'Données projet'!$E$14+1,1))</f>
        <v>532.34688562681413</v>
      </c>
      <c r="DU122" s="59">
        <f t="shared" si="98"/>
        <v>345.42627129678556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51.409208242664974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51.409208242664974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-5.6843418860808015E-14</v>
      </c>
      <c r="EK122" s="17">
        <f>EJ122*VLOOKUP('Données projet'!$B$15,Paramètres!$A$1:$I$89,3,0)*VLOOKUP('Données projet'!$B$15,Paramètres!$A$1:$I$89,5,0)</f>
        <v>-5.1431925385259088E-14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256.20286603823035</v>
      </c>
      <c r="EP122" s="59">
        <f t="shared" si="100"/>
        <v>364.83827155069434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11.627939288587521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11.627939288587521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6.7941666666666691</v>
      </c>
      <c r="FE122" s="12">
        <f>IF('Données projet'!$A$218&gt;35,FE121+FD122-FM121,IF(A122&lt;'Données projet'!$A$218,$FB$205^A122,IF(A122='Données projet'!$A$218,'Données projet'!$B$218,FE121+FD122-FM121)))</f>
        <v>313.27500000000015</v>
      </c>
      <c r="FF122" s="17">
        <f>FE122*VLOOKUP('Données projet'!$B$16,Paramètres!$A$1:$I$89,3,0)*VLOOKUP('Données projet'!$B$16,Paramètres!$A$1:$I$89,5,0)</f>
        <v>210.14487000000008</v>
      </c>
      <c r="FG122" s="13">
        <f t="shared" si="101"/>
        <v>51.967242167454941</v>
      </c>
      <c r="FH122" s="20">
        <f t="shared" si="76"/>
        <v>456.51192869165084</v>
      </c>
      <c r="FI122" s="59">
        <f t="shared" si="77"/>
        <v>738.42191998957992</v>
      </c>
      <c r="FJ122" s="59">
        <f ca="1">AVERAGE(OFFSET($FI$3,0,0,'Données projet'!$E$16+1,1))-AVERAGE(OFFSET($H$3,0,0,'Données projet'!$E$16+1,1))</f>
        <v>380.73695370216979</v>
      </c>
      <c r="FK122" s="59">
        <f t="shared" si="102"/>
        <v>249.34467160415713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41.91827749017299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41.91827749017299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6.7941666666666691</v>
      </c>
      <c r="FZ122" s="12">
        <f>IF('Données projet'!$A$244&gt;35,FZ121+FY122-GH121,IF(A122&lt;'Données projet'!$A$244,$FW$205^A122,IF(A122='Données projet'!$A$244,'Données projet'!$B$244,FZ121+FY122-GH121)))</f>
        <v>313.27500000000015</v>
      </c>
      <c r="GA122" s="17">
        <f>FZ122*VLOOKUP('Données projet'!$B$17,Paramètres!$A$1:$I$89,3,0)*VLOOKUP('Données projet'!$B$17,Paramètres!$A$1:$I$89,5,0)</f>
        <v>302.99958000000015</v>
      </c>
      <c r="GB122" s="13">
        <f t="shared" si="103"/>
        <v>71.804926087027695</v>
      </c>
      <c r="GC122" s="20">
        <f t="shared" si="79"/>
        <v>652.78451476824023</v>
      </c>
      <c r="GD122" s="59">
        <f t="shared" si="80"/>
        <v>934.69450606616942</v>
      </c>
      <c r="GE122" s="59">
        <f ca="1">AVERAGE(OFFSET($GD$3,0,0,'Données projet'!$E$17+1,1))-AVERAGE(OFFSET($H$3,0,0,'Données projet'!$E$17+1,1))</f>
        <v>511.7458522930001</v>
      </c>
      <c r="GF122" s="59">
        <f t="shared" si="104"/>
        <v>332.37317679966122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49.036475554541987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49.036475554541987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-1.7053025658242404E-13</v>
      </c>
      <c r="GV122" s="17">
        <f>GU122*VLOOKUP('Données projet'!$B$18,Paramètres!$A$1:$I$89,3,0)*VLOOKUP('Données projet'!$B$18,Paramètres!$A$1:$I$89,5,0)</f>
        <v>-1.4897523215040567E-13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348.77506423101278</v>
      </c>
      <c r="HA122" s="59">
        <f t="shared" si="106"/>
        <v>336.13747591329548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61.711741173027605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61.711741173027605</v>
      </c>
    </row>
    <row r="123" spans="1:218" x14ac:dyDescent="0.2">
      <c r="A123" s="10">
        <f t="shared" si="85"/>
        <v>120</v>
      </c>
      <c r="B123" s="71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5">
        <f t="shared" si="56"/>
        <v>183.33333333333334</v>
      </c>
      <c r="I123" s="6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-2.1282176021486519E-13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387.50901594883317</v>
      </c>
      <c r="T123" s="59">
        <f t="shared" si="88"/>
        <v>361.3623790401972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165.03335464032105</v>
      </c>
      <c r="AA123" s="21">
        <f>EXP(-LN(2)/25)*AA122+(1-EXP(-LN(2)/25))/(LN(2)/25)*Calculateur!V123*Calculateur!X123*VLOOKUP('Données projet'!$B$9,Paramètres!$A$1:$I$89,3,0)*0.475*44/12</f>
        <v>24.467024686511824</v>
      </c>
      <c r="AB123" s="21">
        <f>EXP(-LN(2)/2)*AB122+(1-EXP(-LN(2)/2))/(LN(2)/2)*V123*Y123*VLOOKUP('Données projet'!$B$9,Paramètres!$A$1:$I$89,3,0)*0.475*44/12</f>
        <v>9.6229285556017494E-2</v>
      </c>
      <c r="AC123" s="22">
        <f t="shared" si="57"/>
        <v>189.59660861238888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373.47758082856359</v>
      </c>
      <c r="AO123" s="59">
        <f t="shared" si="90"/>
        <v>277.24895424120166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87.0291793351861</v>
      </c>
      <c r="AV123" s="21">
        <f>EXP(-LN(2)/25)*AV122+(1-EXP(-LN(2)/25))/(LN(2)/25)*Calculateur!AQ123*Calculateur!AS123*VLOOKUP('Données projet'!$B$10,Paramètres!$A$1:$I$89,3,0)*0.475*44/12</f>
        <v>11.860677113456861</v>
      </c>
      <c r="AW123" s="21">
        <f>EXP(-LN(2)/2)*AW122+(1-EXP(-LN(2)/2))/(LN(2)/2)*AQ123*AT123*VLOOKUP('Données projet'!$B$10,Paramètres!$A$1:$I$89,3,0)*0.475*44/12</f>
        <v>3.0405433296596151E-5</v>
      </c>
      <c r="AX123" s="21">
        <f t="shared" si="60"/>
        <v>98.889886854076252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-6.8212102632969618E-13</v>
      </c>
      <c r="BE123" s="13">
        <f>BD123*VLOOKUP('Données projet'!$B$11,Paramètres!$A$1:$I$89,3,0)*VLOOKUP('Données projet'!$B$11,Paramètres!$A$1:$I$89,5,0)</f>
        <v>-4.0790837374515837E-13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460.88622650237176</v>
      </c>
      <c r="BJ123" s="59">
        <f t="shared" si="92"/>
        <v>396.05161661639647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101.70331786843592</v>
      </c>
      <c r="BQ123" s="21">
        <f>EXP(-LN(2)/25)*BQ122+(1-EXP(-LN(2)/25))/(LN(2)/25)*Calculateur!BL123*Calculateur!BN123*VLOOKUP('Données projet'!$B$11,Paramètres!$A$1:$I$89,3,0)*0.475*44/12</f>
        <v>13.003080748764647</v>
      </c>
      <c r="BR123" s="21">
        <f>EXP(-LN(2)/2)*BR122+(1-EXP(-LN(2)/2))/(LN(2)/2)*BL123*BO123*VLOOKUP('Données projet'!$B$11,Paramètres!$A$1:$I$89,3,0)*0.475*44/12</f>
        <v>9.8167585028989741E-6</v>
      </c>
      <c r="BS123" s="22">
        <f t="shared" si="63"/>
        <v>114.70640843395907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-5.1727511163335289E-14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341.60063595566282</v>
      </c>
      <c r="CE123" s="59">
        <f t="shared" si="94"/>
        <v>317.05609766344219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83.471161332848581</v>
      </c>
      <c r="CL123" s="21">
        <f>EXP(-LN(2)/25)*CL122+(1-EXP(-LN(2)/25))/(LN(2)/25)*Calculateur!CG123*Calculateur!CI123*VLOOKUP('Données projet'!$B$12,Paramètres!$A$1:$I$89,3,0)*0.475*44/12</f>
        <v>12.077112575699299</v>
      </c>
      <c r="CM123" s="21">
        <f>EXP(-LN(2)/2)*CM122+(1-EXP(-LN(2)/2))/(LN(2)/2)*CG123*CJ123*VLOOKUP('Données projet'!$B$12,Paramètres!$A$1:$I$89,3,0)*0.475*44/12</f>
        <v>8.2963806859858653E-7</v>
      </c>
      <c r="CN123" s="22">
        <f t="shared" si="66"/>
        <v>95.548274738185953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8.5265128291212022E-14</v>
      </c>
      <c r="CU123" s="17">
        <f>CT123*VLOOKUP('Données projet'!$B$13,Paramètres!$A$1:$I$89,3,0)*VLOOKUP('Données projet'!$B$13,Paramètres!$A$1:$I$89,5,0)</f>
        <v>8.9119112089974823E-14</v>
      </c>
      <c r="CV123" s="13">
        <f t="shared" si="95"/>
        <v>1.3568952080113142E-12</v>
      </c>
      <c r="CW123" s="20">
        <f t="shared" si="67"/>
        <v>2.5184749408430782E-12</v>
      </c>
      <c r="CX123" s="59">
        <f t="shared" si="68"/>
        <v>282.10816074347912</v>
      </c>
      <c r="CY123" s="59">
        <f ca="1">AVERAGE(OFFSET($CX$3,0,0,'Données projet'!$E$13+1,1))-AVERAGE(OFFSET($H$3,0,0,'Données projet'!$E$13+1,1))</f>
        <v>287.73449456153207</v>
      </c>
      <c r="CZ123" s="59">
        <f t="shared" si="96"/>
        <v>296.74833899433281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44.276535693121396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44.276535693121396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6.7941666666666691</v>
      </c>
      <c r="DO123" s="12">
        <f>IF('Données projet'!$A$166&gt;35,DO122+DN123-DW122,IF(A123&lt;'Données projet'!$A$166,$DL$205^A123,IF(A123='Données projet'!$A$166,'Données projet'!$B$166,DO122+DN123-DW122)))</f>
        <v>320.06916666666683</v>
      </c>
      <c r="DP123" s="17">
        <f>DO123*VLOOKUP('Données projet'!$B$14,Paramètres!$A$1:$I$89,3,0)*VLOOKUP('Données projet'!$B$14,Paramètres!$A$1:$I$89,5,0)</f>
        <v>324.55013500000018</v>
      </c>
      <c r="DQ123" s="13">
        <f t="shared" si="97"/>
        <v>76.299318370976991</v>
      </c>
      <c r="DR123" s="20">
        <f t="shared" si="70"/>
        <v>698.14613128778512</v>
      </c>
      <c r="DS123" s="59">
        <f t="shared" si="71"/>
        <v>980.25429203126168</v>
      </c>
      <c r="DT123" s="59">
        <f ca="1">AVERAGE(OFFSET($DS$3,0,0,'Données projet'!$E$14+1,1))-AVERAGE(OFFSET($H$3,0,0,'Données projet'!$E$14+1,1))</f>
        <v>532.34688562681413</v>
      </c>
      <c r="DU123" s="59">
        <f t="shared" si="98"/>
        <v>345.42627129678556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50.401105025547146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50.401105025547146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-5.6843418860808015E-14</v>
      </c>
      <c r="EK123" s="17">
        <f>EJ123*VLOOKUP('Données projet'!$B$15,Paramètres!$A$1:$I$89,3,0)*VLOOKUP('Données projet'!$B$15,Paramètres!$A$1:$I$89,5,0)</f>
        <v>-5.1431925385259088E-14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256.20286603823035</v>
      </c>
      <c r="EP123" s="59">
        <f t="shared" si="100"/>
        <v>364.83827155069434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11.399922491480975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11.399922491480975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6.7941666666666691</v>
      </c>
      <c r="FE123" s="12">
        <f>IF('Données projet'!$A$218&gt;35,FE122+FD123-FM122,IF(A123&lt;'Données projet'!$A$218,$FB$205^A123,IF(A123='Données projet'!$A$218,'Données projet'!$B$218,FE122+FD123-FM122)))</f>
        <v>320.06916666666683</v>
      </c>
      <c r="FF123" s="17">
        <f>FE123*VLOOKUP('Données projet'!$B$16,Paramètres!$A$1:$I$89,3,0)*VLOOKUP('Données projet'!$B$16,Paramètres!$A$1:$I$89,5,0)</f>
        <v>214.70239700000013</v>
      </c>
      <c r="FG123" s="13">
        <f t="shared" si="101"/>
        <v>52.961849587733084</v>
      </c>
      <c r="FH123" s="20">
        <f t="shared" si="76"/>
        <v>466.18189614030194</v>
      </c>
      <c r="FI123" s="59">
        <f t="shared" si="77"/>
        <v>748.29005688377856</v>
      </c>
      <c r="FJ123" s="59">
        <f ca="1">AVERAGE(OFFSET($FI$3,0,0,'Données projet'!$E$16+1,1))-AVERAGE(OFFSET($H$3,0,0,'Données projet'!$E$16+1,1))</f>
        <v>380.73695370216979</v>
      </c>
      <c r="FK123" s="59">
        <f t="shared" si="102"/>
        <v>249.34467160415713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41.09628563621537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41.09628563621537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6.7941666666666691</v>
      </c>
      <c r="FZ123" s="12">
        <f>IF('Données projet'!$A$244&gt;35,FZ122+FY123-GH122,IF(A123&lt;'Données projet'!$A$244,$FW$205^A123,IF(A123='Données projet'!$A$244,'Données projet'!$B$244,FZ122+FY123-GH122)))</f>
        <v>320.06916666666683</v>
      </c>
      <c r="GA123" s="17">
        <f>FZ123*VLOOKUP('Données projet'!$B$17,Paramètres!$A$1:$I$89,3,0)*VLOOKUP('Données projet'!$B$17,Paramètres!$A$1:$I$89,5,0)</f>
        <v>309.57089800000017</v>
      </c>
      <c r="GB123" s="13">
        <f t="shared" si="103"/>
        <v>73.17920937242026</v>
      </c>
      <c r="GC123" s="20">
        <f t="shared" si="79"/>
        <v>666.62310367363227</v>
      </c>
      <c r="GD123" s="59">
        <f t="shared" si="80"/>
        <v>948.73126441710883</v>
      </c>
      <c r="GE123" s="59">
        <f ca="1">AVERAGE(OFFSET($GD$3,0,0,'Données projet'!$E$17+1,1))-AVERAGE(OFFSET($H$3,0,0,'Données projet'!$E$17+1,1))</f>
        <v>511.7458522930001</v>
      </c>
      <c r="GF123" s="59">
        <f t="shared" si="104"/>
        <v>332.37317679966122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48.074900178214207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48.074900178214207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-1.7053025658242404E-13</v>
      </c>
      <c r="GV123" s="17">
        <f>GU123*VLOOKUP('Données projet'!$B$18,Paramètres!$A$1:$I$89,3,0)*VLOOKUP('Données projet'!$B$18,Paramètres!$A$1:$I$89,5,0)</f>
        <v>-1.4897523215040567E-13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348.77506423101278</v>
      </c>
      <c r="HA123" s="59">
        <f t="shared" si="106"/>
        <v>336.13747591329548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60.501611569069965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60.501611569069965</v>
      </c>
    </row>
    <row r="124" spans="1:218" x14ac:dyDescent="0.2">
      <c r="A124" s="10">
        <f t="shared" si="85"/>
        <v>121</v>
      </c>
      <c r="B124" s="71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5">
        <f t="shared" si="56"/>
        <v>183.33333333333334</v>
      </c>
      <c r="I124" s="6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-2.1282176021486519E-13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387.50901594883317</v>
      </c>
      <c r="T124" s="59">
        <f t="shared" si="88"/>
        <v>361.3623790401972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161.7971512162313</v>
      </c>
      <c r="AA124" s="21">
        <f>EXP(-LN(2)/25)*AA123+(1-EXP(-LN(2)/25))/(LN(2)/25)*Calculateur!V124*Calculateur!X124*VLOOKUP('Données projet'!$B$9,Paramètres!$A$1:$I$89,3,0)*0.475*44/12</f>
        <v>23.79797260979425</v>
      </c>
      <c r="AB124" s="21">
        <f>EXP(-LN(2)/2)*AB123+(1-EXP(-LN(2)/2))/(LN(2)/2)*V124*Y124*VLOOKUP('Données projet'!$B$9,Paramètres!$A$1:$I$89,3,0)*0.475*44/12</f>
        <v>6.8044380365396659E-2</v>
      </c>
      <c r="AC124" s="22">
        <f t="shared" si="57"/>
        <v>185.66316820639094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373.47758082856359</v>
      </c>
      <c r="AO124" s="59">
        <f t="shared" si="90"/>
        <v>277.24895424120166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85.322590210981033</v>
      </c>
      <c r="AV124" s="21">
        <f>EXP(-LN(2)/25)*AV123+(1-EXP(-LN(2)/25))/(LN(2)/25)*Calculateur!AQ124*Calculateur!AS124*VLOOKUP('Données projet'!$B$10,Paramètres!$A$1:$I$89,3,0)*0.475*44/12</f>
        <v>11.536346274063481</v>
      </c>
      <c r="AW124" s="21">
        <f>EXP(-LN(2)/2)*AW123+(1-EXP(-LN(2)/2))/(LN(2)/2)*AQ124*AT124*VLOOKUP('Données projet'!$B$10,Paramètres!$A$1:$I$89,3,0)*0.475*44/12</f>
        <v>2.1499888068938383E-5</v>
      </c>
      <c r="AX124" s="21">
        <f t="shared" si="60"/>
        <v>96.858957984932573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-6.8212102632969618E-13</v>
      </c>
      <c r="BE124" s="13">
        <f>BD124*VLOOKUP('Données projet'!$B$11,Paramètres!$A$1:$I$89,3,0)*VLOOKUP('Données projet'!$B$11,Paramètres!$A$1:$I$89,5,0)</f>
        <v>-4.0790837374515837E-13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460.88622650237176</v>
      </c>
      <c r="BJ124" s="59">
        <f t="shared" si="92"/>
        <v>396.05161661639647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99.708977837934555</v>
      </c>
      <c r="BQ124" s="21">
        <f>EXP(-LN(2)/25)*BQ123+(1-EXP(-LN(2)/25))/(LN(2)/25)*Calculateur!BL124*Calculateur!BN124*VLOOKUP('Données projet'!$B$11,Paramètres!$A$1:$I$89,3,0)*0.475*44/12</f>
        <v>12.64751082188738</v>
      </c>
      <c r="BR124" s="21">
        <f>EXP(-LN(2)/2)*BR123+(1-EXP(-LN(2)/2))/(LN(2)/2)*BL124*BO124*VLOOKUP('Données projet'!$B$11,Paramètres!$A$1:$I$89,3,0)*0.475*44/12</f>
        <v>6.9414965066705648E-6</v>
      </c>
      <c r="BS124" s="22">
        <f t="shared" si="63"/>
        <v>112.35649560131844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-5.1727511163335289E-14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341.60063595566282</v>
      </c>
      <c r="CE124" s="59">
        <f t="shared" si="94"/>
        <v>317.05609766344219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81.834342771492658</v>
      </c>
      <c r="CL124" s="21">
        <f>EXP(-LN(2)/25)*CL123+(1-EXP(-LN(2)/25))/(LN(2)/25)*Calculateur!CG124*Calculateur!CI124*VLOOKUP('Données projet'!$B$12,Paramètres!$A$1:$I$89,3,0)*0.475*44/12</f>
        <v>11.746863297209055</v>
      </c>
      <c r="CM124" s="21">
        <f>EXP(-LN(2)/2)*CM123+(1-EXP(-LN(2)/2))/(LN(2)/2)*CG124*CJ124*VLOOKUP('Données projet'!$B$12,Paramètres!$A$1:$I$89,3,0)*0.475*44/12</f>
        <v>5.8664270423657062E-7</v>
      </c>
      <c r="CN124" s="22">
        <f t="shared" si="66"/>
        <v>93.581206655344417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8.5265128291212022E-14</v>
      </c>
      <c r="CU124" s="17">
        <f>CT124*VLOOKUP('Données projet'!$B$13,Paramètres!$A$1:$I$89,3,0)*VLOOKUP('Données projet'!$B$13,Paramètres!$A$1:$I$89,5,0)</f>
        <v>8.9119112089974823E-14</v>
      </c>
      <c r="CV124" s="13">
        <f t="shared" si="95"/>
        <v>1.3568952080113142E-12</v>
      </c>
      <c r="CW124" s="20">
        <f t="shared" si="67"/>
        <v>2.5184749408430782E-12</v>
      </c>
      <c r="CX124" s="59">
        <f t="shared" si="68"/>
        <v>282.30289239218689</v>
      </c>
      <c r="CY124" s="59">
        <f ca="1">AVERAGE(OFFSET($CX$3,0,0,'Données projet'!$E$13+1,1))-AVERAGE(OFFSET($H$3,0,0,'Données projet'!$E$13+1,1))</f>
        <v>287.73449456153207</v>
      </c>
      <c r="CZ124" s="59">
        <f t="shared" si="96"/>
        <v>296.74833899433281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43.408299834199433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43.408299834199433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6.7941666666666691</v>
      </c>
      <c r="DO124" s="12">
        <f>IF('Données projet'!$A$166&gt;35,DO123+DN124-DW123,IF(A124&lt;'Données projet'!$A$166,$DL$205^A124,IF(A124='Données projet'!$A$166,'Données projet'!$B$166,DO123+DN124-DW123)))</f>
        <v>326.86333333333351</v>
      </c>
      <c r="DP124" s="17">
        <f>DO124*VLOOKUP('Données projet'!$B$14,Paramètres!$A$1:$I$89,3,0)*VLOOKUP('Données projet'!$B$14,Paramètres!$A$1:$I$89,5,0)</f>
        <v>331.43942000000021</v>
      </c>
      <c r="DQ124" s="13">
        <f t="shared" si="97"/>
        <v>77.728660025530061</v>
      </c>
      <c r="DR124" s="20">
        <f t="shared" si="70"/>
        <v>712.63440604446532</v>
      </c>
      <c r="DS124" s="59">
        <f t="shared" si="71"/>
        <v>994.93729843664971</v>
      </c>
      <c r="DT124" s="59">
        <f ca="1">AVERAGE(OFFSET($DS$3,0,0,'Données projet'!$E$14+1,1))-AVERAGE(OFFSET($H$3,0,0,'Données projet'!$E$14+1,1))</f>
        <v>532.34688562681413</v>
      </c>
      <c r="DU124" s="59">
        <f t="shared" si="98"/>
        <v>345.42627129678556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49.412770097634748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49.412770097634748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-5.1431925385259088E-14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256.20286603823035</v>
      </c>
      <c r="EP124" s="59">
        <f t="shared" si="100"/>
        <v>364.83827155069434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11.176376964689174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11.176376964689174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6.7941666666666691</v>
      </c>
      <c r="FE124" s="12">
        <f>IF('Données projet'!$A$218&gt;35,FE123+FD124-FM123,IF(A124&lt;'Données projet'!$A$218,$FB$205^A124,IF(A124='Données projet'!$A$218,'Données projet'!$B$218,FE123+FD124-FM123)))</f>
        <v>326.86333333333351</v>
      </c>
      <c r="FF124" s="17">
        <f>FE124*VLOOKUP('Données projet'!$B$16,Paramètres!$A$1:$I$89,3,0)*VLOOKUP('Données projet'!$B$16,Paramètres!$A$1:$I$89,5,0)</f>
        <v>219.25992400000013</v>
      </c>
      <c r="FG124" s="13">
        <f t="shared" si="101"/>
        <v>53.954002326894596</v>
      </c>
      <c r="FH124" s="20">
        <f t="shared" si="76"/>
        <v>475.8475883526749</v>
      </c>
      <c r="FI124" s="59">
        <f t="shared" si="77"/>
        <v>758.15048074485935</v>
      </c>
      <c r="FJ124" s="59">
        <f ca="1">AVERAGE(OFFSET($FI$3,0,0,'Données projet'!$E$16+1,1))-AVERAGE(OFFSET($H$3,0,0,'Données projet'!$E$16+1,1))</f>
        <v>380.73695370216979</v>
      </c>
      <c r="FK124" s="59">
        <f t="shared" si="102"/>
        <v>249.34467160415713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40.290412541148335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40.290412541148335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6.7941666666666691</v>
      </c>
      <c r="FZ124" s="12">
        <f>IF('Données projet'!$A$244&gt;35,FZ123+FY124-GH123,IF(A124&lt;'Données projet'!$A$244,$FW$205^A124,IF(A124='Données projet'!$A$244,'Données projet'!$B$244,FZ123+FY124-GH123)))</f>
        <v>326.86333333333351</v>
      </c>
      <c r="GA124" s="17">
        <f>FZ124*VLOOKUP('Données projet'!$B$17,Paramètres!$A$1:$I$89,3,0)*VLOOKUP('Données projet'!$B$17,Paramètres!$A$1:$I$89,5,0)</f>
        <v>316.14221600000019</v>
      </c>
      <c r="GB124" s="13">
        <f t="shared" si="103"/>
        <v>74.550100940477222</v>
      </c>
      <c r="GC124" s="20">
        <f t="shared" si="79"/>
        <v>680.45578533799824</v>
      </c>
      <c r="GD124" s="59">
        <f t="shared" si="80"/>
        <v>962.75867773018263</v>
      </c>
      <c r="GE124" s="59">
        <f ca="1">AVERAGE(OFFSET($GD$3,0,0,'Données projet'!$E$17+1,1))-AVERAGE(OFFSET($H$3,0,0,'Données projet'!$E$17+1,1))</f>
        <v>511.7458522930001</v>
      </c>
      <c r="GF124" s="59">
        <f t="shared" si="104"/>
        <v>332.37317679966122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47.132180708513147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47.132180708513147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-1.7053025658242404E-13</v>
      </c>
      <c r="GV124" s="17">
        <f>GU124*VLOOKUP('Données projet'!$B$18,Paramètres!$A$1:$I$89,3,0)*VLOOKUP('Données projet'!$B$18,Paramètres!$A$1:$I$89,5,0)</f>
        <v>-1.4897523215040567E-13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348.77506423101278</v>
      </c>
      <c r="HA124" s="59">
        <f t="shared" si="106"/>
        <v>336.13747591329548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59.315211868539755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59.315211868539755</v>
      </c>
    </row>
    <row r="125" spans="1:218" x14ac:dyDescent="0.2">
      <c r="A125" s="10">
        <f t="shared" si="85"/>
        <v>122</v>
      </c>
      <c r="B125" s="71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5">
        <f t="shared" si="56"/>
        <v>183.33333333333334</v>
      </c>
      <c r="I125" s="6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-2.1282176021486519E-13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387.50901594883317</v>
      </c>
      <c r="T125" s="59">
        <f t="shared" si="88"/>
        <v>361.3623790401972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158.62440776739876</v>
      </c>
      <c r="AA125" s="21">
        <f>EXP(-LN(2)/25)*AA124+(1-EXP(-LN(2)/25))/(LN(2)/25)*Calculateur!V125*Calculateur!X125*VLOOKUP('Données projet'!$B$9,Paramètres!$A$1:$I$89,3,0)*0.475*44/12</f>
        <v>23.147215797298436</v>
      </c>
      <c r="AB125" s="21">
        <f>EXP(-LN(2)/2)*AB124+(1-EXP(-LN(2)/2))/(LN(2)/2)*V125*Y125*VLOOKUP('Données projet'!$B$9,Paramètres!$A$1:$I$89,3,0)*0.475*44/12</f>
        <v>4.8114642778008747E-2</v>
      </c>
      <c r="AC125" s="22">
        <f t="shared" si="57"/>
        <v>181.81973820747521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373.47758082856359</v>
      </c>
      <c r="AO125" s="59">
        <f t="shared" si="90"/>
        <v>277.24895424120166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83.649466258585036</v>
      </c>
      <c r="AV125" s="21">
        <f>EXP(-LN(2)/25)*AV124+(1-EXP(-LN(2)/25))/(LN(2)/25)*Calculateur!AQ125*Calculateur!AS125*VLOOKUP('Données projet'!$B$10,Paramètres!$A$1:$I$89,3,0)*0.475*44/12</f>
        <v>11.220884278529132</v>
      </c>
      <c r="AW125" s="21">
        <f>EXP(-LN(2)/2)*AW124+(1-EXP(-LN(2)/2))/(LN(2)/2)*AQ125*AT125*VLOOKUP('Données projet'!$B$10,Paramètres!$A$1:$I$89,3,0)*0.475*44/12</f>
        <v>1.5202716648298077E-5</v>
      </c>
      <c r="AX125" s="21">
        <f t="shared" si="60"/>
        <v>94.870365739830817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-6.8212102632969618E-13</v>
      </c>
      <c r="BE125" s="13">
        <f>BD125*VLOOKUP('Données projet'!$B$11,Paramètres!$A$1:$I$89,3,0)*VLOOKUP('Données projet'!$B$11,Paramètres!$A$1:$I$89,5,0)</f>
        <v>-4.0790837374515837E-13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460.88622650237176</v>
      </c>
      <c r="BJ125" s="59">
        <f t="shared" si="92"/>
        <v>396.05161661639647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97.753745599004006</v>
      </c>
      <c r="BQ125" s="21">
        <f>EXP(-LN(2)/25)*BQ124+(1-EXP(-LN(2)/25))/(LN(2)/25)*Calculateur!BL125*Calculateur!BN125*VLOOKUP('Données projet'!$B$11,Paramètres!$A$1:$I$89,3,0)*0.475*44/12</f>
        <v>12.301663973359181</v>
      </c>
      <c r="BR125" s="21">
        <f>EXP(-LN(2)/2)*BR124+(1-EXP(-LN(2)/2))/(LN(2)/2)*BL125*BO125*VLOOKUP('Données projet'!$B$11,Paramètres!$A$1:$I$89,3,0)*0.475*44/12</f>
        <v>4.908379251449487E-6</v>
      </c>
      <c r="BS125" s="22">
        <f t="shared" si="63"/>
        <v>110.05541448074244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-5.1727511163335289E-14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341.60063595566282</v>
      </c>
      <c r="CE125" s="59">
        <f t="shared" si="94"/>
        <v>317.05609766344219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80.229621223764184</v>
      </c>
      <c r="CL125" s="21">
        <f>EXP(-LN(2)/25)*CL124+(1-EXP(-LN(2)/25))/(LN(2)/25)*Calculateur!CG125*Calculateur!CI125*VLOOKUP('Données projet'!$B$12,Paramètres!$A$1:$I$89,3,0)*0.475*44/12</f>
        <v>11.42564470260618</v>
      </c>
      <c r="CM125" s="21">
        <f>EXP(-LN(2)/2)*CM124+(1-EXP(-LN(2)/2))/(LN(2)/2)*CG125*CJ125*VLOOKUP('Données projet'!$B$12,Paramètres!$A$1:$I$89,3,0)*0.475*44/12</f>
        <v>4.1481903429929326E-7</v>
      </c>
      <c r="CN125" s="22">
        <f t="shared" si="66"/>
        <v>91.655266341189403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8.5265128291212022E-14</v>
      </c>
      <c r="CU125" s="17">
        <f>CT125*VLOOKUP('Données projet'!$B$13,Paramètres!$A$1:$I$89,3,0)*VLOOKUP('Données projet'!$B$13,Paramètres!$A$1:$I$89,5,0)</f>
        <v>8.9119112089974823E-14</v>
      </c>
      <c r="CV125" s="13">
        <f t="shared" si="95"/>
        <v>1.3568952080113142E-12</v>
      </c>
      <c r="CW125" s="20">
        <f t="shared" si="67"/>
        <v>2.5184749408430782E-12</v>
      </c>
      <c r="CX125" s="59">
        <f t="shared" si="68"/>
        <v>282.4942458821443</v>
      </c>
      <c r="CY125" s="59">
        <f ca="1">AVERAGE(OFFSET($CX$3,0,0,'Données projet'!$E$13+1,1))-AVERAGE(OFFSET($H$3,0,0,'Données projet'!$E$13+1,1))</f>
        <v>287.73449456153207</v>
      </c>
      <c r="CZ125" s="59">
        <f t="shared" si="96"/>
        <v>296.74833899433281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42.557089550899349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42.557089550899349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6.7941666666666691</v>
      </c>
      <c r="DO125" s="12">
        <f>IF('Données projet'!$A$166&gt;35,DO124+DN125-DW124,IF(A125&lt;'Données projet'!$A$166,$DL$205^A125,IF(A125='Données projet'!$A$166,'Données projet'!$B$166,DO124+DN125-DW124)))</f>
        <v>333.6575000000002</v>
      </c>
      <c r="DP125" s="17">
        <f>DO125*VLOOKUP('Données projet'!$B$14,Paramètres!$A$1:$I$89,3,0)*VLOOKUP('Données projet'!$B$14,Paramètres!$A$1:$I$89,5,0)</f>
        <v>338.32870500000024</v>
      </c>
      <c r="DQ125" s="13">
        <f t="shared" si="97"/>
        <v>79.154547326406771</v>
      </c>
      <c r="DR125" s="20">
        <f t="shared" si="70"/>
        <v>727.11666446849222</v>
      </c>
      <c r="DS125" s="59">
        <f t="shared" si="71"/>
        <v>1009.610910350634</v>
      </c>
      <c r="DT125" s="59">
        <f ca="1">AVERAGE(OFFSET($DS$3,0,0,'Données projet'!$E$14+1,1))-AVERAGE(OFFSET($H$3,0,0,'Données projet'!$E$14+1,1))</f>
        <v>532.34688562681413</v>
      </c>
      <c r="DU125" s="59">
        <f t="shared" si="98"/>
        <v>345.42627129678556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48.443815814833933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48.443815814833933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-5.1431925385259088E-14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256.20286603823035</v>
      </c>
      <c r="EP125" s="59">
        <f t="shared" si="100"/>
        <v>364.83827155069434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10.957215029328454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10.957215029328454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6.7941666666666691</v>
      </c>
      <c r="FE125" s="12">
        <f>IF('Données projet'!$A$218&gt;35,FE124+FD125-FM124,IF(A125&lt;'Données projet'!$A$218,$FB$205^A125,IF(A125='Données projet'!$A$218,'Données projet'!$B$218,FE124+FD125-FM124)))</f>
        <v>333.6575000000002</v>
      </c>
      <c r="FF125" s="17">
        <f>FE125*VLOOKUP('Données projet'!$B$16,Paramètres!$A$1:$I$89,3,0)*VLOOKUP('Données projet'!$B$16,Paramètres!$A$1:$I$89,5,0)</f>
        <v>223.81745100000015</v>
      </c>
      <c r="FG125" s="13">
        <f t="shared" si="101"/>
        <v>54.943757286315261</v>
      </c>
      <c r="FH125" s="20">
        <f t="shared" si="76"/>
        <v>485.50910443199933</v>
      </c>
      <c r="FI125" s="59">
        <f t="shared" si="77"/>
        <v>768.00335031414113</v>
      </c>
      <c r="FJ125" s="59">
        <f ca="1">AVERAGE(OFFSET($FI$3,0,0,'Données projet'!$E$16+1,1))-AVERAGE(OFFSET($H$3,0,0,'Données projet'!$E$16+1,1))</f>
        <v>380.73695370216979</v>
      </c>
      <c r="FK125" s="59">
        <f t="shared" si="102"/>
        <v>249.34467160415713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39.500342125941515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39.500342125941515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6.7941666666666691</v>
      </c>
      <c r="FZ125" s="12">
        <f>IF('Données projet'!$A$244&gt;35,FZ124+FY125-GH124,IF(A125&lt;'Données projet'!$A$244,$FW$205^A125,IF(A125='Données projet'!$A$244,'Données projet'!$B$244,FZ124+FY125-GH124)))</f>
        <v>333.6575000000002</v>
      </c>
      <c r="GA125" s="17">
        <f>FZ125*VLOOKUP('Données projet'!$B$17,Paramètres!$A$1:$I$89,3,0)*VLOOKUP('Données projet'!$B$17,Paramètres!$A$1:$I$89,5,0)</f>
        <v>322.71353400000021</v>
      </c>
      <c r="GB125" s="13">
        <f t="shared" si="103"/>
        <v>75.917679413786658</v>
      </c>
      <c r="GC125" s="20">
        <f t="shared" si="79"/>
        <v>694.28269669567874</v>
      </c>
      <c r="GD125" s="59">
        <f t="shared" si="80"/>
        <v>976.77694257782059</v>
      </c>
      <c r="GE125" s="59">
        <f ca="1">AVERAGE(OFFSET($GD$3,0,0,'Données projet'!$E$17+1,1))-AVERAGE(OFFSET($H$3,0,0,'Données projet'!$E$17+1,1))</f>
        <v>511.7458522930001</v>
      </c>
      <c r="GF125" s="59">
        <f t="shared" si="104"/>
        <v>332.37317679966122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46.207947392610826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46.207947392610826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-1.7053025658242404E-13</v>
      </c>
      <c r="GV125" s="17">
        <f>GU125*VLOOKUP('Données projet'!$B$18,Paramètres!$A$1:$I$89,3,0)*VLOOKUP('Données projet'!$B$18,Paramètres!$A$1:$I$89,5,0)</f>
        <v>-1.4897523215040567E-13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348.77506423101278</v>
      </c>
      <c r="HA125" s="59">
        <f t="shared" si="106"/>
        <v>336.13747591329548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58.152076742504583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58.152076742504583</v>
      </c>
    </row>
    <row r="126" spans="1:218" x14ac:dyDescent="0.2">
      <c r="A126" s="10">
        <f t="shared" si="85"/>
        <v>123</v>
      </c>
      <c r="B126" s="71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5">
        <f t="shared" si="56"/>
        <v>183.33333333333334</v>
      </c>
      <c r="I126" s="6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-2.1282176021486519E-13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387.50901594883317</v>
      </c>
      <c r="T126" s="59">
        <f t="shared" si="88"/>
        <v>361.3623790401972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155.51387988241541</v>
      </c>
      <c r="AA126" s="21">
        <f>EXP(-LN(2)/25)*AA125+(1-EXP(-LN(2)/25))/(LN(2)/25)*Calculateur!V126*Calculateur!X126*VLOOKUP('Données projet'!$B$9,Paramètres!$A$1:$I$89,3,0)*0.475*44/12</f>
        <v>22.514253964062135</v>
      </c>
      <c r="AB126" s="21">
        <f>EXP(-LN(2)/2)*AB125+(1-EXP(-LN(2)/2))/(LN(2)/2)*V126*Y126*VLOOKUP('Données projet'!$B$9,Paramètres!$A$1:$I$89,3,0)*0.475*44/12</f>
        <v>3.4022190182698329E-2</v>
      </c>
      <c r="AC126" s="22">
        <f t="shared" si="57"/>
        <v>178.06215603666024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373.47758082856359</v>
      </c>
      <c r="AO126" s="59">
        <f t="shared" si="90"/>
        <v>277.24895424120166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82.009151246390687</v>
      </c>
      <c r="AV126" s="21">
        <f>EXP(-LN(2)/25)*AV125+(1-EXP(-LN(2)/25))/(LN(2)/25)*Calculateur!AQ126*Calculateur!AS126*VLOOKUP('Données projet'!$B$10,Paramètres!$A$1:$I$89,3,0)*0.475*44/12</f>
        <v>10.914048607852095</v>
      </c>
      <c r="AW126" s="21">
        <f>EXP(-LN(2)/2)*AW125+(1-EXP(-LN(2)/2))/(LN(2)/2)*AQ126*AT126*VLOOKUP('Données projet'!$B$10,Paramètres!$A$1:$I$89,3,0)*0.475*44/12</f>
        <v>1.0749944034469193E-5</v>
      </c>
      <c r="AX126" s="21">
        <f t="shared" si="60"/>
        <v>92.923210604186821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-6.8212102632969618E-13</v>
      </c>
      <c r="BE126" s="13">
        <f>BD126*VLOOKUP('Données projet'!$B$11,Paramètres!$A$1:$I$89,3,0)*VLOOKUP('Données projet'!$B$11,Paramètres!$A$1:$I$89,5,0)</f>
        <v>-4.0790837374515837E-13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460.88622650237176</v>
      </c>
      <c r="BJ126" s="59">
        <f t="shared" si="92"/>
        <v>396.05161661639647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95.836854271704979</v>
      </c>
      <c r="BQ126" s="21">
        <f>EXP(-LN(2)/25)*BQ125+(1-EXP(-LN(2)/25))/(LN(2)/25)*Calculateur!BL126*Calculateur!BN126*VLOOKUP('Données projet'!$B$11,Paramètres!$A$1:$I$89,3,0)*0.475*44/12</f>
        <v>11.965274325091283</v>
      </c>
      <c r="BR126" s="21">
        <f>EXP(-LN(2)/2)*BR125+(1-EXP(-LN(2)/2))/(LN(2)/2)*BL126*BO126*VLOOKUP('Données projet'!$B$11,Paramètres!$A$1:$I$89,3,0)*0.475*44/12</f>
        <v>3.4707482533352824E-6</v>
      </c>
      <c r="BS126" s="22">
        <f t="shared" si="63"/>
        <v>107.80213206754452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-5.1727511163335289E-14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341.60063595566282</v>
      </c>
      <c r="CE126" s="59">
        <f t="shared" si="94"/>
        <v>317.05609766344219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78.65636728680316</v>
      </c>
      <c r="CL126" s="21">
        <f>EXP(-LN(2)/25)*CL125+(1-EXP(-LN(2)/25))/(LN(2)/25)*Calculateur!CG126*Calculateur!CI126*VLOOKUP('Données projet'!$B$12,Paramètres!$A$1:$I$89,3,0)*0.475*44/12</f>
        <v>11.113209847364873</v>
      </c>
      <c r="CM126" s="21">
        <f>EXP(-LN(2)/2)*CM125+(1-EXP(-LN(2)/2))/(LN(2)/2)*CG126*CJ126*VLOOKUP('Données projet'!$B$12,Paramètres!$A$1:$I$89,3,0)*0.475*44/12</f>
        <v>2.9332135211828531E-7</v>
      </c>
      <c r="CN126" s="22">
        <f t="shared" si="66"/>
        <v>89.769577427489381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8.5265128291212022E-14</v>
      </c>
      <c r="CU126" s="17">
        <f>CT126*VLOOKUP('Données projet'!$B$13,Paramètres!$A$1:$I$89,3,0)*VLOOKUP('Données projet'!$B$13,Paramètres!$A$1:$I$89,5,0)</f>
        <v>8.9119112089974823E-14</v>
      </c>
      <c r="CV126" s="13">
        <f t="shared" si="95"/>
        <v>1.3568952080113142E-12</v>
      </c>
      <c r="CW126" s="20">
        <f t="shared" si="67"/>
        <v>2.5184749408430782E-12</v>
      </c>
      <c r="CX126" s="59">
        <f t="shared" si="68"/>
        <v>282.68227981685317</v>
      </c>
      <c r="CY126" s="59">
        <f ca="1">AVERAGE(OFFSET($CX$3,0,0,'Données projet'!$E$13+1,1))-AVERAGE(OFFSET($H$3,0,0,'Données projet'!$E$13+1,1))</f>
        <v>287.73449456153207</v>
      </c>
      <c r="CZ126" s="59">
        <f t="shared" si="96"/>
        <v>296.74833899433281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41.722570982067772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41.722570982067772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6.7941666666666691</v>
      </c>
      <c r="DO126" s="12">
        <f>IF('Données projet'!$A$166&gt;35,DO125+DN126-DW125,IF(A126&lt;'Données projet'!$A$166,$DL$205^A126,IF(A126='Données projet'!$A$166,'Données projet'!$B$166,DO125+DN126-DW125)))</f>
        <v>340.45166666666688</v>
      </c>
      <c r="DP126" s="17">
        <f>DO126*VLOOKUP('Données projet'!$B$14,Paramètres!$A$1:$I$89,3,0)*VLOOKUP('Données projet'!$B$14,Paramètres!$A$1:$I$89,5,0)</f>
        <v>345.21799000000027</v>
      </c>
      <c r="DQ126" s="13">
        <f t="shared" si="97"/>
        <v>80.577058719089209</v>
      </c>
      <c r="DR126" s="20">
        <f t="shared" si="70"/>
        <v>741.59304318574743</v>
      </c>
      <c r="DS126" s="59">
        <f t="shared" si="71"/>
        <v>1024.275323002598</v>
      </c>
      <c r="DT126" s="59">
        <f ca="1">AVERAGE(OFFSET($DS$3,0,0,'Données projet'!$E$14+1,1))-AVERAGE(OFFSET($H$3,0,0,'Données projet'!$E$14+1,1))</f>
        <v>532.34688562681413</v>
      </c>
      <c r="DU126" s="59">
        <f t="shared" si="98"/>
        <v>345.42627129678556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47.493862134515084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47.493862134515084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-5.1431925385259088E-14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256.20286603823035</v>
      </c>
      <c r="EP126" s="59">
        <f t="shared" si="100"/>
        <v>364.83827155069434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10.742350725844576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10.742350725844576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6.7941666666666691</v>
      </c>
      <c r="FE126" s="12">
        <f>IF('Données projet'!$A$218&gt;35,FE125+FD126-FM125,IF(A126&lt;'Données projet'!$A$218,$FB$205^A126,IF(A126='Données projet'!$A$218,'Données projet'!$B$218,FE125+FD126-FM125)))</f>
        <v>340.45166666666688</v>
      </c>
      <c r="FF126" s="17">
        <f>FE126*VLOOKUP('Données projet'!$B$16,Paramètres!$A$1:$I$89,3,0)*VLOOKUP('Données projet'!$B$16,Paramètres!$A$1:$I$89,5,0)</f>
        <v>228.37497800000014</v>
      </c>
      <c r="FG126" s="13">
        <f t="shared" si="101"/>
        <v>55.931168917567028</v>
      </c>
      <c r="FH126" s="20">
        <f t="shared" si="76"/>
        <v>495.16653921476274</v>
      </c>
      <c r="FI126" s="59">
        <f t="shared" si="77"/>
        <v>777.8488190316134</v>
      </c>
      <c r="FJ126" s="59">
        <f ca="1">AVERAGE(OFFSET($FI$3,0,0,'Données projet'!$E$16+1,1))-AVERAGE(OFFSET($H$3,0,0,'Données projet'!$E$16+1,1))</f>
        <v>380.73695370216979</v>
      </c>
      <c r="FK126" s="59">
        <f t="shared" si="102"/>
        <v>249.34467160415713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38.725764509681532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38.725764509681532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6.7941666666666691</v>
      </c>
      <c r="FZ126" s="12">
        <f>IF('Données projet'!$A$244&gt;35,FZ125+FY126-GH125,IF(A126&lt;'Données projet'!$A$244,$FW$205^A126,IF(A126='Données projet'!$A$244,'Données projet'!$B$244,FZ125+FY126-GH125)))</f>
        <v>340.45166666666688</v>
      </c>
      <c r="GA126" s="17">
        <f>FZ126*VLOOKUP('Données projet'!$B$17,Paramètres!$A$1:$I$89,3,0)*VLOOKUP('Données projet'!$B$17,Paramètres!$A$1:$I$89,5,0)</f>
        <v>329.28485200000023</v>
      </c>
      <c r="GB126" s="13">
        <f t="shared" si="103"/>
        <v>77.282020029958645</v>
      </c>
      <c r="GC126" s="20">
        <f t="shared" si="79"/>
        <v>708.10396878551171</v>
      </c>
      <c r="GD126" s="59">
        <f t="shared" si="80"/>
        <v>990.78624860236232</v>
      </c>
      <c r="GE126" s="59">
        <f ca="1">AVERAGE(OFFSET($GD$3,0,0,'Données projet'!$E$17+1,1))-AVERAGE(OFFSET($H$3,0,0,'Données projet'!$E$17+1,1))</f>
        <v>511.7458522930001</v>
      </c>
      <c r="GF126" s="59">
        <f t="shared" si="104"/>
        <v>332.37317679966122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45.301837728306694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45.301837728306694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-1.7053025658242404E-13</v>
      </c>
      <c r="GV126" s="17">
        <f>GU126*VLOOKUP('Données projet'!$B$18,Paramètres!$A$1:$I$89,3,0)*VLOOKUP('Données projet'!$B$18,Paramètres!$A$1:$I$89,5,0)</f>
        <v>-1.4897523215040567E-13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348.77506423101278</v>
      </c>
      <c r="HA126" s="59">
        <f t="shared" si="106"/>
        <v>336.13747591329548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57.011749986848585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57.011749986848585</v>
      </c>
    </row>
    <row r="127" spans="1:218" x14ac:dyDescent="0.2">
      <c r="A127" s="10">
        <f t="shared" si="85"/>
        <v>124</v>
      </c>
      <c r="B127" s="71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5">
        <f t="shared" si="56"/>
        <v>183.33333333333334</v>
      </c>
      <c r="I127" s="6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-2.1282176021486519E-13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387.50901594883317</v>
      </c>
      <c r="T127" s="59">
        <f t="shared" si="88"/>
        <v>361.3623790401972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152.46434755202191</v>
      </c>
      <c r="AA127" s="21">
        <f>EXP(-LN(2)/25)*AA126+(1-EXP(-LN(2)/25))/(LN(2)/25)*Calculateur!V127*Calculateur!X127*VLOOKUP('Données projet'!$B$9,Paramètres!$A$1:$I$89,3,0)*0.475*44/12</f>
        <v>21.898600505441696</v>
      </c>
      <c r="AB127" s="21">
        <f>EXP(-LN(2)/2)*AB126+(1-EXP(-LN(2)/2))/(LN(2)/2)*V127*Y127*VLOOKUP('Données projet'!$B$9,Paramètres!$A$1:$I$89,3,0)*0.475*44/12</f>
        <v>2.4057321389004373E-2</v>
      </c>
      <c r="AC127" s="22">
        <f t="shared" si="57"/>
        <v>174.38700537885259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373.47758082856359</v>
      </c>
      <c r="AO127" s="59">
        <f t="shared" si="90"/>
        <v>277.24895424120166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80.401001811092101</v>
      </c>
      <c r="AV127" s="21">
        <f>EXP(-LN(2)/25)*AV126+(1-EXP(-LN(2)/25))/(LN(2)/25)*Calculateur!AQ127*Calculateur!AS127*VLOOKUP('Données projet'!$B$10,Paramètres!$A$1:$I$89,3,0)*0.475*44/12</f>
        <v>10.615603374725508</v>
      </c>
      <c r="AW127" s="21">
        <f>EXP(-LN(2)/2)*AW126+(1-EXP(-LN(2)/2))/(LN(2)/2)*AQ127*AT127*VLOOKUP('Données projet'!$B$10,Paramètres!$A$1:$I$89,3,0)*0.475*44/12</f>
        <v>7.6013583241490403E-6</v>
      </c>
      <c r="AX127" s="21">
        <f t="shared" si="60"/>
        <v>91.01661278717593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-6.8212102632969618E-13</v>
      </c>
      <c r="BE127" s="13">
        <f>BD127*VLOOKUP('Données projet'!$B$11,Paramètres!$A$1:$I$89,3,0)*VLOOKUP('Données projet'!$B$11,Paramètres!$A$1:$I$89,5,0)</f>
        <v>-4.0790837374515837E-13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460.88622650237176</v>
      </c>
      <c r="BJ127" s="59">
        <f t="shared" si="92"/>
        <v>396.05161661639647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93.957552014146032</v>
      </c>
      <c r="BQ127" s="21">
        <f>EXP(-LN(2)/25)*BQ126+(1-EXP(-LN(2)/25))/(LN(2)/25)*Calculateur!BL127*Calculateur!BN127*VLOOKUP('Données projet'!$B$11,Paramètres!$A$1:$I$89,3,0)*0.475*44/12</f>
        <v>11.638083269445232</v>
      </c>
      <c r="BR127" s="21">
        <f>EXP(-LN(2)/2)*BR126+(1-EXP(-LN(2)/2))/(LN(2)/2)*BL127*BO127*VLOOKUP('Données projet'!$B$11,Paramètres!$A$1:$I$89,3,0)*0.475*44/12</f>
        <v>2.4541896257247435E-6</v>
      </c>
      <c r="BS127" s="22">
        <f t="shared" si="63"/>
        <v>105.59563773778089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-5.1727511163335289E-14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341.60063595566282</v>
      </c>
      <c r="CE127" s="59">
        <f t="shared" si="94"/>
        <v>317.05609766344219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77.113963899955792</v>
      </c>
      <c r="CL127" s="21">
        <f>EXP(-LN(2)/25)*CL126+(1-EXP(-LN(2)/25))/(LN(2)/25)*Calculateur!CG127*Calculateur!CI127*VLOOKUP('Données projet'!$B$12,Paramètres!$A$1:$I$89,3,0)*0.475*44/12</f>
        <v>10.809318539670373</v>
      </c>
      <c r="CM127" s="21">
        <f>EXP(-LN(2)/2)*CM126+(1-EXP(-LN(2)/2))/(LN(2)/2)*CG127*CJ127*VLOOKUP('Données projet'!$B$12,Paramètres!$A$1:$I$89,3,0)*0.475*44/12</f>
        <v>2.0740951714964663E-7</v>
      </c>
      <c r="CN127" s="22">
        <f t="shared" si="66"/>
        <v>87.923282647035677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8.5265128291212022E-14</v>
      </c>
      <c r="CU127" s="17">
        <f>CT127*VLOOKUP('Données projet'!$B$13,Paramètres!$A$1:$I$89,3,0)*VLOOKUP('Données projet'!$B$13,Paramètres!$A$1:$I$89,5,0)</f>
        <v>8.9119112089974823E-14</v>
      </c>
      <c r="CV127" s="13">
        <f t="shared" si="95"/>
        <v>1.3568952080113142E-12</v>
      </c>
      <c r="CW127" s="20">
        <f t="shared" si="67"/>
        <v>2.5184749408430782E-12</v>
      </c>
      <c r="CX127" s="59">
        <f t="shared" si="68"/>
        <v>282.86705178317584</v>
      </c>
      <c r="CY127" s="59">
        <f ca="1">AVERAGE(OFFSET($CX$3,0,0,'Données projet'!$E$13+1,1))-AVERAGE(OFFSET($H$3,0,0,'Données projet'!$E$13+1,1))</f>
        <v>287.73449456153207</v>
      </c>
      <c r="CZ127" s="59">
        <f t="shared" si="96"/>
        <v>296.74833899433281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40.904416813364918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40.904416813364918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6.7941666666666691</v>
      </c>
      <c r="DO127" s="12">
        <f>IF('Données projet'!$A$166&gt;35,DO126+DN127-DW126,IF(A127&lt;'Données projet'!$A$166,$DL$205^A127,IF(A127='Données projet'!$A$166,'Données projet'!$B$166,DO126+DN127-DW126)))</f>
        <v>347.24583333333356</v>
      </c>
      <c r="DP127" s="17">
        <f>DO127*VLOOKUP('Données projet'!$B$14,Paramètres!$A$1:$I$89,3,0)*VLOOKUP('Données projet'!$B$14,Paramètres!$A$1:$I$89,5,0)</f>
        <v>352.10727500000024</v>
      </c>
      <c r="DQ127" s="13">
        <f t="shared" si="97"/>
        <v>81.996269339055075</v>
      </c>
      <c r="DR127" s="20">
        <f t="shared" si="70"/>
        <v>756.06367305718788</v>
      </c>
      <c r="DS127" s="59">
        <f t="shared" si="71"/>
        <v>1038.9307248403611</v>
      </c>
      <c r="DT127" s="59">
        <f ca="1">AVERAGE(OFFSET($DS$3,0,0,'Données projet'!$E$14+1,1))-AVERAGE(OFFSET($H$3,0,0,'Données projet'!$E$14+1,1))</f>
        <v>532.34688562681413</v>
      </c>
      <c r="DU127" s="59">
        <f t="shared" si="98"/>
        <v>345.42627129678556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46.562536466452755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46.562536466452755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-5.1431925385259088E-14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256.20286603823035</v>
      </c>
      <c r="EP127" s="59">
        <f t="shared" si="100"/>
        <v>364.83827155069434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10.531699780297732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10.531699780297732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6.7941666666666691</v>
      </c>
      <c r="FE127" s="12">
        <f>IF('Données projet'!$A$218&gt;35,FE126+FD127-FM126,IF(A127&lt;'Données projet'!$A$218,$FB$205^A127,IF(A127='Données projet'!$A$218,'Données projet'!$B$218,FE126+FD127-FM126)))</f>
        <v>347.24583333333356</v>
      </c>
      <c r="FF127" s="17">
        <f>FE127*VLOOKUP('Données projet'!$B$16,Paramètres!$A$1:$I$89,3,0)*VLOOKUP('Données projet'!$B$16,Paramètres!$A$1:$I$89,5,0)</f>
        <v>232.93250500000013</v>
      </c>
      <c r="FG127" s="13">
        <f t="shared" si="101"/>
        <v>56.916289374639689</v>
      </c>
      <c r="FH127" s="20">
        <f t="shared" si="76"/>
        <v>504.81998353583111</v>
      </c>
      <c r="FI127" s="59">
        <f t="shared" si="77"/>
        <v>787.68703531900451</v>
      </c>
      <c r="FJ127" s="59">
        <f ca="1">AVERAGE(OFFSET($FI$3,0,0,'Données projet'!$E$16+1,1))-AVERAGE(OFFSET($H$3,0,0,'Données projet'!$E$16+1,1))</f>
        <v>380.73695370216979</v>
      </c>
      <c r="FK127" s="59">
        <f t="shared" si="102"/>
        <v>249.34467160415713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37.966375888030711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37.966375888030711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6.7941666666666691</v>
      </c>
      <c r="FZ127" s="12">
        <f>IF('Données projet'!$A$244&gt;35,FZ126+FY127-GH126,IF(A127&lt;'Données projet'!$A$244,$FW$205^A127,IF(A127='Données projet'!$A$244,'Données projet'!$B$244,FZ126+FY127-GH126)))</f>
        <v>347.24583333333356</v>
      </c>
      <c r="GA127" s="17">
        <f>FZ127*VLOOKUP('Données projet'!$B$17,Paramètres!$A$1:$I$89,3,0)*VLOOKUP('Données projet'!$B$17,Paramètres!$A$1:$I$89,5,0)</f>
        <v>335.85617000000025</v>
      </c>
      <c r="GB127" s="13">
        <f t="shared" si="103"/>
        <v>78.643194851954831</v>
      </c>
      <c r="GC127" s="20">
        <f t="shared" si="79"/>
        <v>721.91972711715516</v>
      </c>
      <c r="GD127" s="59">
        <f t="shared" si="80"/>
        <v>1004.7867789003285</v>
      </c>
      <c r="GE127" s="59">
        <f ca="1">AVERAGE(OFFSET($GD$3,0,0,'Données projet'!$E$17+1,1))-AVERAGE(OFFSET($H$3,0,0,'Données projet'!$E$17+1,1))</f>
        <v>511.7458522930001</v>
      </c>
      <c r="GF127" s="59">
        <f t="shared" si="104"/>
        <v>332.37317679966122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44.413496321847241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44.413496321847241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-1.7053025658242404E-13</v>
      </c>
      <c r="GV127" s="17">
        <f>GU127*VLOOKUP('Données projet'!$B$18,Paramètres!$A$1:$I$89,3,0)*VLOOKUP('Données projet'!$B$18,Paramètres!$A$1:$I$89,5,0)</f>
        <v>-1.4897523215040567E-13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348.77506423101278</v>
      </c>
      <c r="HA127" s="59">
        <f t="shared" si="106"/>
        <v>336.13747591329548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55.893784343340357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55.893784343340357</v>
      </c>
    </row>
    <row r="128" spans="1:218" x14ac:dyDescent="0.2">
      <c r="A128" s="10">
        <f t="shared" si="85"/>
        <v>125</v>
      </c>
      <c r="B128" s="71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5">
        <f t="shared" si="56"/>
        <v>183.33333333333334</v>
      </c>
      <c r="I128" s="6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-2.1282176021486519E-13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387.50901594883317</v>
      </c>
      <c r="T128" s="59">
        <f t="shared" si="88"/>
        <v>361.3623790401972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149.47461469059635</v>
      </c>
      <c r="AA128" s="21">
        <f>EXP(-LN(2)/25)*AA127+(1-EXP(-LN(2)/25))/(LN(2)/25)*Calculateur!V128*Calculateur!X128*VLOOKUP('Données projet'!$B$9,Paramètres!$A$1:$I$89,3,0)*0.475*44/12</f>
        <v>21.299782123023043</v>
      </c>
      <c r="AB128" s="21">
        <f>EXP(-LN(2)/2)*AB127+(1-EXP(-LN(2)/2))/(LN(2)/2)*V128*Y128*VLOOKUP('Données projet'!$B$9,Paramètres!$A$1:$I$89,3,0)*0.475*44/12</f>
        <v>1.7011095091349165E-2</v>
      </c>
      <c r="AC128" s="22">
        <f t="shared" si="57"/>
        <v>170.79140790871077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373.47758082856359</v>
      </c>
      <c r="AO128" s="59">
        <f t="shared" si="90"/>
        <v>277.24895424120166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78.824387205345417</v>
      </c>
      <c r="AV128" s="21">
        <f>EXP(-LN(2)/25)*AV127+(1-EXP(-LN(2)/25))/(LN(2)/25)*Calculateur!AQ128*Calculateur!AS128*VLOOKUP('Données projet'!$B$10,Paramètres!$A$1:$I$89,3,0)*0.475*44/12</f>
        <v>10.325319142193319</v>
      </c>
      <c r="AW128" s="21">
        <f>EXP(-LN(2)/2)*AW127+(1-EXP(-LN(2)/2))/(LN(2)/2)*AQ128*AT128*VLOOKUP('Données projet'!$B$10,Paramètres!$A$1:$I$89,3,0)*0.475*44/12</f>
        <v>5.3749720172345974E-6</v>
      </c>
      <c r="AX128" s="21">
        <f t="shared" si="60"/>
        <v>89.149711722510759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-6.8212102632969618E-13</v>
      </c>
      <c r="BE128" s="13">
        <f>BD128*VLOOKUP('Données projet'!$B$11,Paramètres!$A$1:$I$89,3,0)*VLOOKUP('Données projet'!$B$11,Paramètres!$A$1:$I$89,5,0)</f>
        <v>-4.0790837374515837E-13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460.88622650237176</v>
      </c>
      <c r="BJ128" s="59">
        <f t="shared" si="92"/>
        <v>396.05161661639647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92.115101727596624</v>
      </c>
      <c r="BQ128" s="21">
        <f>EXP(-LN(2)/25)*BQ127+(1-EXP(-LN(2)/25))/(LN(2)/25)*Calculateur!BL128*Calculateur!BN128*VLOOKUP('Données projet'!$B$11,Paramètres!$A$1:$I$89,3,0)*0.475*44/12</f>
        <v>11.319839270422053</v>
      </c>
      <c r="BR128" s="21">
        <f>EXP(-LN(2)/2)*BR127+(1-EXP(-LN(2)/2))/(LN(2)/2)*BL128*BO128*VLOOKUP('Données projet'!$B$11,Paramètres!$A$1:$I$89,3,0)*0.475*44/12</f>
        <v>1.7353741266676412E-6</v>
      </c>
      <c r="BS128" s="22">
        <f t="shared" si="63"/>
        <v>103.4349427333928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-5.1727511163335289E-14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341.60063595566282</v>
      </c>
      <c r="CE128" s="59">
        <f t="shared" si="94"/>
        <v>317.05609766344219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75.601806102751326</v>
      </c>
      <c r="CL128" s="21">
        <f>EXP(-LN(2)/25)*CL127+(1-EXP(-LN(2)/25))/(LN(2)/25)*Calculateur!CG128*Calculateur!CI128*VLOOKUP('Données projet'!$B$12,Paramètres!$A$1:$I$89,3,0)*0.475*44/12</f>
        <v>10.51373715576573</v>
      </c>
      <c r="CM128" s="21">
        <f>EXP(-LN(2)/2)*CM127+(1-EXP(-LN(2)/2))/(LN(2)/2)*CG128*CJ128*VLOOKUP('Données projet'!$B$12,Paramètres!$A$1:$I$89,3,0)*0.475*44/12</f>
        <v>1.4666067605914265E-7</v>
      </c>
      <c r="CN128" s="22">
        <f t="shared" si="66"/>
        <v>86.115543405177732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8.5265128291212022E-14</v>
      </c>
      <c r="CU128" s="17">
        <f>CT128*VLOOKUP('Données projet'!$B$13,Paramètres!$A$1:$I$89,3,0)*VLOOKUP('Données projet'!$B$13,Paramètres!$A$1:$I$89,5,0)</f>
        <v>8.9119112089974823E-14</v>
      </c>
      <c r="CV128" s="13">
        <f t="shared" si="95"/>
        <v>1.3568952080113142E-12</v>
      </c>
      <c r="CW128" s="20">
        <f t="shared" si="67"/>
        <v>2.5184749408430782E-12</v>
      </c>
      <c r="CX128" s="59">
        <f t="shared" si="68"/>
        <v>283.04861836897101</v>
      </c>
      <c r="CY128" s="59">
        <f ca="1">AVERAGE(OFFSET($CX$3,0,0,'Données projet'!$E$13+1,1))-AVERAGE(OFFSET($H$3,0,0,'Données projet'!$E$13+1,1))</f>
        <v>287.73449456153207</v>
      </c>
      <c r="CZ128" s="59">
        <f t="shared" si="96"/>
        <v>296.74833899433281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40.102306148885553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40.102306148885553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354.04</v>
      </c>
      <c r="DM128" s="12">
        <f>VLOOKUP(A128,'Données projet'!$A$165:$I$185,9,0)</f>
        <v>6.7941666666666691</v>
      </c>
      <c r="DN128" s="12">
        <f t="array" ref="DN128">INDEX(DM:DM,MIN(IF(ISNUMBER(DM128:DM324),ROW(DM128:DM324),"")))</f>
        <v>6.7941666666666691</v>
      </c>
      <c r="DO128" s="12">
        <f>IF('Données projet'!$A$166&gt;35,DO127+DN128-DW127,IF(A128&lt;'Données projet'!$A$166,$DL$205^A128,IF(A128='Données projet'!$A$166,'Données projet'!$B$166,DO127+DN128-DW127)))</f>
        <v>354.04000000000025</v>
      </c>
      <c r="DP128" s="17">
        <f>DO128*VLOOKUP('Données projet'!$B$14,Paramètres!$A$1:$I$89,3,0)*VLOOKUP('Données projet'!$B$14,Paramètres!$A$1:$I$89,5,0)</f>
        <v>358.99656000000027</v>
      </c>
      <c r="DQ128" s="13">
        <f t="shared" si="97"/>
        <v>83.412251213427211</v>
      </c>
      <c r="DR128" s="20">
        <f t="shared" si="70"/>
        <v>770.52867953005295</v>
      </c>
      <c r="DS128" s="59">
        <f t="shared" si="71"/>
        <v>1053.5772978990215</v>
      </c>
      <c r="DT128" s="59">
        <f ca="1">AVERAGE(OFFSET($DS$3,0,0,'Données projet'!$E$14+1,1))-AVERAGE(OFFSET($H$3,0,0,'Données projet'!$E$14+1,1))</f>
        <v>532.34688562681413</v>
      </c>
      <c r="DU128" s="59">
        <f t="shared" si="98"/>
        <v>345.42627129678556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61.5</v>
      </c>
      <c r="DX128" s="16">
        <f>IF(ISNA(VLOOKUP(A128,'Données projet'!$A$165:$I$185,5,0)),0%,VLOOKUP(A128,'Données projet'!$A$165:$I$185,5,0)*VLOOKUP('Données projet'!$B$14,Paramètres!$A$1:$I$89,7,0))</f>
        <v>0.30099999999999999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66.399883266442913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66.399883266442913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-5.1431925385259088E-14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256.20286603823035</v>
      </c>
      <c r="EP128" s="59">
        <f t="shared" si="100"/>
        <v>364.83827155069434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10.325179571308672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10.325179571308672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>
        <f>VLOOKUP(A128,'Données projet'!$A$217:$I$237,2,0)</f>
        <v>354.04</v>
      </c>
      <c r="FC128" s="12">
        <f>VLOOKUP(A128,'Données projet'!$A$217:$I$237,9,0)</f>
        <v>6.7941666666666691</v>
      </c>
      <c r="FD128" s="12">
        <f t="array" ref="FD128">INDEX(FC:FC,MIN(IF(ISNUMBER(FC128:FC324),ROW(FC128:FC324),"")))</f>
        <v>6.7941666666666691</v>
      </c>
      <c r="FE128" s="12">
        <f>IF('Données projet'!$A$218&gt;35,FE127+FD128-FM127,IF(A128&lt;'Données projet'!$A$218,$FB$205^A128,IF(A128='Données projet'!$A$218,'Données projet'!$B$218,FE127+FD128-FM127)))</f>
        <v>354.04000000000025</v>
      </c>
      <c r="FF128" s="17">
        <f>FE128*VLOOKUP('Données projet'!$B$16,Paramètres!$A$1:$I$89,3,0)*VLOOKUP('Données projet'!$B$16,Paramètres!$A$1:$I$89,5,0)</f>
        <v>237.49003200000018</v>
      </c>
      <c r="FG128" s="13">
        <f t="shared" si="101"/>
        <v>57.899168653912248</v>
      </c>
      <c r="FH128" s="20">
        <f t="shared" si="76"/>
        <v>514.46952447223077</v>
      </c>
      <c r="FI128" s="59">
        <f t="shared" si="77"/>
        <v>797.51814284119928</v>
      </c>
      <c r="FJ128" s="59">
        <f ca="1">AVERAGE(OFFSET($FI$3,0,0,'Données projet'!$E$16+1,1))-AVERAGE(OFFSET($H$3,0,0,'Données projet'!$E$16+1,1))</f>
        <v>380.73695370216979</v>
      </c>
      <c r="FK128" s="59">
        <f t="shared" si="102"/>
        <v>249.34467160415713</v>
      </c>
      <c r="FL128" s="15">
        <f>IF(ISNA(VLOOKUP(A128,'Données projet'!$A$217:$I$237,3,0)),0,VLOOKUP(A128,'Données projet'!$A$217:$I$237,3,0))</f>
        <v>10</v>
      </c>
      <c r="FM128" s="15">
        <f>IF(ISNA(VLOOKUP(A128,'Données projet'!$A$217:$I$237,4,0)),0,VLOOKUP(A128,'Données projet'!$A$217:$I$237,4,0))</f>
        <v>61.5</v>
      </c>
      <c r="FN128" s="16">
        <f>IF(ISNA(VLOOKUP(A128,'Données projet'!$A$217:$I$237,5,0)),0%,VLOOKUP(A128,'Données projet'!$A$217:$I$237,5,0)*VLOOKUP('Données projet'!$B$16,Paramètres!$A$1:$I$89,7,0))</f>
        <v>0.371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54.141443278791911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54.141443278791911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>
        <f>VLOOKUP(A128,'Données projet'!$A$243:$I$263,2,0)</f>
        <v>354.04</v>
      </c>
      <c r="FX128" s="12">
        <f>VLOOKUP(A128,'Données projet'!$A$243:$I$263,9,0)</f>
        <v>6.7941666666666691</v>
      </c>
      <c r="FY128" s="12">
        <f t="array" ref="FY128">INDEX(FX:FX,MIN(IF(ISNUMBER(FX128:FX324),ROW(FX128:FX324),"")))</f>
        <v>6.7941666666666691</v>
      </c>
      <c r="FZ128" s="12">
        <f>IF('Données projet'!$A$244&gt;35,FZ127+FY128-GH127,IF(A128&lt;'Données projet'!$A$244,$FW$205^A128,IF(A128='Données projet'!$A$244,'Données projet'!$B$244,FZ127+FY128-GH127)))</f>
        <v>354.04000000000025</v>
      </c>
      <c r="GA128" s="17">
        <f>FZ128*VLOOKUP('Données projet'!$B$17,Paramètres!$A$1:$I$89,3,0)*VLOOKUP('Données projet'!$B$17,Paramètres!$A$1:$I$89,5,0)</f>
        <v>342.42748800000027</v>
      </c>
      <c r="GB128" s="13">
        <f t="shared" si="103"/>
        <v>80.001272961491992</v>
      </c>
      <c r="GC128" s="20">
        <f t="shared" si="79"/>
        <v>735.73009200793229</v>
      </c>
      <c r="GD128" s="59">
        <f t="shared" si="80"/>
        <v>1018.7787103769008</v>
      </c>
      <c r="GE128" s="59">
        <f ca="1">AVERAGE(OFFSET($GD$3,0,0,'Données projet'!$E$17+1,1))-AVERAGE(OFFSET($H$3,0,0,'Données projet'!$E$17+1,1))</f>
        <v>511.7458522930001</v>
      </c>
      <c r="GF128" s="59">
        <f t="shared" si="104"/>
        <v>332.37317679966122</v>
      </c>
      <c r="GG128" s="15">
        <f>IF(ISNA(VLOOKUP(A128,'Données projet'!$A$243:$I$263,3,0)),0,VLOOKUP(A128,'Données projet'!$A$243:$I$263,3,0))</f>
        <v>10</v>
      </c>
      <c r="GH128" s="15">
        <f>IF(ISNA(VLOOKUP(A128,'Données projet'!$A$243:$I$263,4,0)),0,VLOOKUP(A128,'Données projet'!$A$243:$I$263,4,0))</f>
        <v>61.5</v>
      </c>
      <c r="GI128" s="16">
        <f>IF(ISNA(VLOOKUP(A128,'Données projet'!$A$243:$I$263,5,0)),0%,VLOOKUP(A128,'Données projet'!$A$243:$I$263,5,0)*VLOOKUP('Données projet'!$B$17,Paramètres!$A$1:$I$89,7,0))</f>
        <v>0.30099999999999999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63.335273269530155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63.335273269530155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-1.7053025658242404E-13</v>
      </c>
      <c r="GV128" s="17">
        <f>GU128*VLOOKUP('Données projet'!$B$18,Paramètres!$A$1:$I$89,3,0)*VLOOKUP('Données projet'!$B$18,Paramètres!$A$1:$I$89,5,0)</f>
        <v>-1.4897523215040567E-13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348.77506423101278</v>
      </c>
      <c r="HA128" s="59">
        <f t="shared" si="106"/>
        <v>336.13747591329548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54.797741324209611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54.797741324209611</v>
      </c>
    </row>
    <row r="129" spans="1:218" x14ac:dyDescent="0.2">
      <c r="A129" s="10">
        <f t="shared" si="85"/>
        <v>126</v>
      </c>
      <c r="B129" s="71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5">
        <f t="shared" si="56"/>
        <v>183.33333333333334</v>
      </c>
      <c r="I129" s="6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-2.1282176021486519E-13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387.50901594883317</v>
      </c>
      <c r="T129" s="59">
        <f t="shared" si="88"/>
        <v>361.3623790401972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146.54350866702637</v>
      </c>
      <c r="AA129" s="21">
        <f>EXP(-LN(2)/25)*AA128+(1-EXP(-LN(2)/25))/(LN(2)/25)*Calculateur!V129*Calculateur!X129*VLOOKUP('Données projet'!$B$9,Paramètres!$A$1:$I$89,3,0)*0.475*44/12</f>
        <v>20.717338460762118</v>
      </c>
      <c r="AB129" s="21">
        <f>EXP(-LN(2)/2)*AB128+(1-EXP(-LN(2)/2))/(LN(2)/2)*V129*Y129*VLOOKUP('Données projet'!$B$9,Paramètres!$A$1:$I$89,3,0)*0.475*44/12</f>
        <v>1.2028660694502187E-2</v>
      </c>
      <c r="AC129" s="22">
        <f t="shared" si="57"/>
        <v>167.27287578848299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373.47758082856359</v>
      </c>
      <c r="AO129" s="59">
        <f t="shared" si="90"/>
        <v>277.24895424120166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77.278689050377466</v>
      </c>
      <c r="AV129" s="21">
        <f>EXP(-LN(2)/25)*AV128+(1-EXP(-LN(2)/25))/(LN(2)/25)*Calculateur!AQ129*Calculateur!AS129*VLOOKUP('Données projet'!$B$10,Paramètres!$A$1:$I$89,3,0)*0.475*44/12</f>
        <v>10.042972747265107</v>
      </c>
      <c r="AW129" s="21">
        <f>EXP(-LN(2)/2)*AW128+(1-EXP(-LN(2)/2))/(LN(2)/2)*AQ129*AT129*VLOOKUP('Données projet'!$B$10,Paramètres!$A$1:$I$89,3,0)*0.475*44/12</f>
        <v>3.8006791620745206E-6</v>
      </c>
      <c r="AX129" s="21">
        <f t="shared" si="60"/>
        <v>87.321665598321744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-6.8212102632969618E-13</v>
      </c>
      <c r="BE129" s="13">
        <f>BD129*VLOOKUP('Données projet'!$B$11,Paramètres!$A$1:$I$89,3,0)*VLOOKUP('Données projet'!$B$11,Paramètres!$A$1:$I$89,5,0)</f>
        <v>-4.0790837374515837E-13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460.88622650237176</v>
      </c>
      <c r="BJ129" s="59">
        <f t="shared" si="92"/>
        <v>396.05161661639647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90.308780767382729</v>
      </c>
      <c r="BQ129" s="21">
        <f>EXP(-LN(2)/25)*BQ128+(1-EXP(-LN(2)/25))/(LN(2)/25)*Calculateur!BL129*Calculateur!BN129*VLOOKUP('Données projet'!$B$11,Paramètres!$A$1:$I$89,3,0)*0.475*44/12</f>
        <v>11.010297670287887</v>
      </c>
      <c r="BR129" s="21">
        <f>EXP(-LN(2)/2)*BR128+(1-EXP(-LN(2)/2))/(LN(2)/2)*BL129*BO129*VLOOKUP('Données projet'!$B$11,Paramètres!$A$1:$I$89,3,0)*0.475*44/12</f>
        <v>1.2270948128623718E-6</v>
      </c>
      <c r="BS129" s="22">
        <f t="shared" si="63"/>
        <v>101.31907966476543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-5.1727511163335289E-14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341.60063595566282</v>
      </c>
      <c r="CE129" s="59">
        <f t="shared" si="94"/>
        <v>317.05609766344219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74.119300797624859</v>
      </c>
      <c r="CL129" s="21">
        <f>EXP(-LN(2)/25)*CL128+(1-EXP(-LN(2)/25))/(LN(2)/25)*Calculateur!CG129*Calculateur!CI129*VLOOKUP('Données projet'!$B$12,Paramètres!$A$1:$I$89,3,0)*0.475*44/12</f>
        <v>10.226238460347908</v>
      </c>
      <c r="CM129" s="21">
        <f>EXP(-LN(2)/2)*CM128+(1-EXP(-LN(2)/2))/(LN(2)/2)*CG129*CJ129*VLOOKUP('Données projet'!$B$12,Paramètres!$A$1:$I$89,3,0)*0.475*44/12</f>
        <v>1.0370475857482332E-7</v>
      </c>
      <c r="CN129" s="22">
        <f t="shared" si="66"/>
        <v>84.345539361677538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8.5265128291212022E-14</v>
      </c>
      <c r="CU129" s="17">
        <f>CT129*VLOOKUP('Données projet'!$B$13,Paramètres!$A$1:$I$89,3,0)*VLOOKUP('Données projet'!$B$13,Paramètres!$A$1:$I$89,5,0)</f>
        <v>8.9119112089974823E-14</v>
      </c>
      <c r="CV129" s="13">
        <f t="shared" si="95"/>
        <v>1.3568952080113142E-12</v>
      </c>
      <c r="CW129" s="20">
        <f t="shared" si="67"/>
        <v>2.5184749408430782E-12</v>
      </c>
      <c r="CX129" s="59">
        <f t="shared" si="68"/>
        <v>283.22703518042471</v>
      </c>
      <c r="CY129" s="59">
        <f ca="1">AVERAGE(OFFSET($CX$3,0,0,'Données projet'!$E$13+1,1))-AVERAGE(OFFSET($H$3,0,0,'Données projet'!$E$13+1,1))</f>
        <v>287.73449456153207</v>
      </c>
      <c r="CZ129" s="59">
        <f t="shared" si="96"/>
        <v>296.74833899433281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39.315924385297436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39.315924385297436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6.7133333333333338</v>
      </c>
      <c r="DO129" s="12">
        <f>IF('Données projet'!$A$166&gt;35,DO128+DN129-DW128,IF(A129&lt;'Données projet'!$A$166,$DL$205^A129,IF(A129='Données projet'!$A$166,'Données projet'!$B$166,DO128+DN129-DW128)))</f>
        <v>299.25333333333356</v>
      </c>
      <c r="DP129" s="17">
        <f>DO129*VLOOKUP('Données projet'!$B$14,Paramètres!$A$1:$I$89,3,0)*VLOOKUP('Données projet'!$B$14,Paramètres!$A$1:$I$89,5,0)</f>
        <v>303.44288000000023</v>
      </c>
      <c r="DQ129" s="13">
        <f t="shared" si="97"/>
        <v>71.897743335619879</v>
      </c>
      <c r="DR129" s="20">
        <f t="shared" si="70"/>
        <v>653.71825230953834</v>
      </c>
      <c r="DS129" s="59">
        <f t="shared" si="71"/>
        <v>936.94528748996049</v>
      </c>
      <c r="DT129" s="59">
        <f ca="1">AVERAGE(OFFSET($DS$3,0,0,'Données projet'!$E$14+1,1))-AVERAGE(OFFSET($H$3,0,0,'Données projet'!$E$14+1,1))</f>
        <v>532.34688562681413</v>
      </c>
      <c r="DU129" s="59">
        <f t="shared" si="98"/>
        <v>345.42627129678556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65.097822055517724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65.097822055517724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-5.1431925385259088E-14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256.20286603823035</v>
      </c>
      <c r="EP129" s="59">
        <f t="shared" si="100"/>
        <v>364.83827155069434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10.122709097652997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10.122709097652997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6.7133333333333338</v>
      </c>
      <c r="FE129" s="12">
        <f>IF('Données projet'!$A$218&gt;35,FE128+FD129-FM128,IF(A129&lt;'Données projet'!$A$218,$FB$205^A129,IF(A129='Données projet'!$A$218,'Données projet'!$B$218,FE128+FD129-FM128)))</f>
        <v>299.25333333333356</v>
      </c>
      <c r="FF129" s="17">
        <f>FE129*VLOOKUP('Données projet'!$B$16,Paramètres!$A$1:$I$89,3,0)*VLOOKUP('Données projet'!$B$16,Paramètres!$A$1:$I$89,5,0)</f>
        <v>200.73913600000014</v>
      </c>
      <c r="FG129" s="13">
        <f t="shared" si="101"/>
        <v>49.906572555790753</v>
      </c>
      <c r="FH129" s="20">
        <f t="shared" si="76"/>
        <v>436.54127573466911</v>
      </c>
      <c r="FI129" s="59">
        <f t="shared" si="77"/>
        <v>719.76831091509132</v>
      </c>
      <c r="FJ129" s="59">
        <f ca="1">AVERAGE(OFFSET($FI$3,0,0,'Données projet'!$E$16+1,1))-AVERAGE(OFFSET($H$3,0,0,'Données projet'!$E$16+1,1))</f>
        <v>380.73695370216979</v>
      </c>
      <c r="FK129" s="59">
        <f t="shared" si="102"/>
        <v>249.34467160415713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53.079762599114453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53.079762599114453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6.7133333333333338</v>
      </c>
      <c r="FZ129" s="12">
        <f>IF('Données projet'!$A$244&gt;35,FZ128+FY129-GH128,IF(A129&lt;'Données projet'!$A$244,$FW$205^A129,IF(A129='Données projet'!$A$244,'Données projet'!$B$244,FZ128+FY129-GH128)))</f>
        <v>299.25333333333356</v>
      </c>
      <c r="GA129" s="17">
        <f>FZ129*VLOOKUP('Données projet'!$B$17,Paramètres!$A$1:$I$89,3,0)*VLOOKUP('Données projet'!$B$17,Paramètres!$A$1:$I$89,5,0)</f>
        <v>289.43782400000026</v>
      </c>
      <c r="GB129" s="13">
        <f t="shared" si="103"/>
        <v>68.957628001080906</v>
      </c>
      <c r="GC129" s="20">
        <f t="shared" si="79"/>
        <v>624.20541223521639</v>
      </c>
      <c r="GD129" s="59">
        <f t="shared" si="80"/>
        <v>907.43244741563853</v>
      </c>
      <c r="GE129" s="59">
        <f ca="1">AVERAGE(OFFSET($GD$3,0,0,'Données projet'!$E$17+1,1))-AVERAGE(OFFSET($H$3,0,0,'Données projet'!$E$17+1,1))</f>
        <v>511.7458522930001</v>
      </c>
      <c r="GF129" s="59">
        <f t="shared" si="104"/>
        <v>332.37317679966122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62.093307191416898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62.093307191416898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-1.7053025658242404E-13</v>
      </c>
      <c r="GV129" s="17">
        <f>GU129*VLOOKUP('Données projet'!$B$18,Paramètres!$A$1:$I$89,3,0)*VLOOKUP('Données projet'!$B$18,Paramètres!$A$1:$I$89,5,0)</f>
        <v>-1.4897523215040567E-13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348.77506423101278</v>
      </c>
      <c r="HA129" s="59">
        <f t="shared" si="106"/>
        <v>336.13747591329548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53.72319104016379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53.72319104016379</v>
      </c>
    </row>
    <row r="130" spans="1:218" x14ac:dyDescent="0.2">
      <c r="A130" s="10">
        <f t="shared" si="85"/>
        <v>127</v>
      </c>
      <c r="B130" s="71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5">
        <f t="shared" si="56"/>
        <v>183.33333333333334</v>
      </c>
      <c r="I130" s="6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-2.1282176021486519E-13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387.50901594883317</v>
      </c>
      <c r="T130" s="59">
        <f t="shared" si="88"/>
        <v>361.3623790401972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143.66987984478047</v>
      </c>
      <c r="AA130" s="21">
        <f>EXP(-LN(2)/25)*AA129+(1-EXP(-LN(2)/25))/(LN(2)/25)*Calculateur!V130*Calculateur!X130*VLOOKUP('Données projet'!$B$9,Paramètres!$A$1:$I$89,3,0)*0.475*44/12</f>
        <v>20.1508217510751</v>
      </c>
      <c r="AB130" s="21">
        <f>EXP(-LN(2)/2)*AB129+(1-EXP(-LN(2)/2))/(LN(2)/2)*V130*Y130*VLOOKUP('Données projet'!$B$9,Paramètres!$A$1:$I$89,3,0)*0.475*44/12</f>
        <v>8.5055475456745824E-3</v>
      </c>
      <c r="AC130" s="22">
        <f t="shared" si="57"/>
        <v>163.82920714340122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373.47758082856359</v>
      </c>
      <c r="AO130" s="59">
        <f t="shared" si="90"/>
        <v>277.24895424120166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75.763301093445662</v>
      </c>
      <c r="AV130" s="21">
        <f>EXP(-LN(2)/25)*AV129+(1-EXP(-LN(2)/25))/(LN(2)/25)*Calculateur!AQ130*Calculateur!AS130*VLOOKUP('Données projet'!$B$10,Paramètres!$A$1:$I$89,3,0)*0.475*44/12</f>
        <v>9.7683471293541597</v>
      </c>
      <c r="AW130" s="21">
        <f>EXP(-LN(2)/2)*AW129+(1-EXP(-LN(2)/2))/(LN(2)/2)*AQ130*AT130*VLOOKUP('Données projet'!$B$10,Paramètres!$A$1:$I$89,3,0)*0.475*44/12</f>
        <v>2.6874860086172991E-6</v>
      </c>
      <c r="AX130" s="21">
        <f t="shared" si="60"/>
        <v>85.531650910285819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-6.8212102632969618E-13</v>
      </c>
      <c r="BE130" s="13">
        <f>BD130*VLOOKUP('Données projet'!$B$11,Paramètres!$A$1:$I$89,3,0)*VLOOKUP('Données projet'!$B$11,Paramètres!$A$1:$I$89,5,0)</f>
        <v>-4.0790837374515837E-13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460.88622650237176</v>
      </c>
      <c r="BJ130" s="59">
        <f t="shared" si="92"/>
        <v>396.05161661639647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88.537880659451631</v>
      </c>
      <c r="BQ130" s="21">
        <f>EXP(-LN(2)/25)*BQ129+(1-EXP(-LN(2)/25))/(LN(2)/25)*Calculateur!BL130*Calculateur!BN130*VLOOKUP('Données projet'!$B$11,Paramètres!$A$1:$I$89,3,0)*0.475*44/12</f>
        <v>10.709220501487474</v>
      </c>
      <c r="BR130" s="21">
        <f>EXP(-LN(2)/2)*BR129+(1-EXP(-LN(2)/2))/(LN(2)/2)*BL130*BO130*VLOOKUP('Données projet'!$B$11,Paramètres!$A$1:$I$89,3,0)*0.475*44/12</f>
        <v>8.676870633338206E-7</v>
      </c>
      <c r="BS130" s="22">
        <f t="shared" si="63"/>
        <v>99.247102028626173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-5.1727511163335289E-14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341.60063595566282</v>
      </c>
      <c r="CE130" s="59">
        <f t="shared" si="94"/>
        <v>317.05609766344219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72.665866517292969</v>
      </c>
      <c r="CL130" s="21">
        <f>EXP(-LN(2)/25)*CL129+(1-EXP(-LN(2)/25))/(LN(2)/25)*Calculateur!CG130*Calculateur!CI130*VLOOKUP('Données projet'!$B$12,Paramètres!$A$1:$I$89,3,0)*0.475*44/12</f>
        <v>9.9466014318751856</v>
      </c>
      <c r="CM130" s="21">
        <f>EXP(-LN(2)/2)*CM129+(1-EXP(-LN(2)/2))/(LN(2)/2)*CG130*CJ130*VLOOKUP('Données projet'!$B$12,Paramètres!$A$1:$I$89,3,0)*0.475*44/12</f>
        <v>7.3330338029571327E-8</v>
      </c>
      <c r="CN130" s="22">
        <f t="shared" si="66"/>
        <v>82.61246802249849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8.5265128291212022E-14</v>
      </c>
      <c r="CU130" s="17">
        <f>CT130*VLOOKUP('Données projet'!$B$13,Paramètres!$A$1:$I$89,3,0)*VLOOKUP('Données projet'!$B$13,Paramètres!$A$1:$I$89,5,0)</f>
        <v>8.9119112089974823E-14</v>
      </c>
      <c r="CV130" s="13">
        <f t="shared" si="95"/>
        <v>1.3568952080113142E-12</v>
      </c>
      <c r="CW130" s="20">
        <f t="shared" si="67"/>
        <v>2.5184749408430782E-12</v>
      </c>
      <c r="CX130" s="59">
        <f t="shared" si="68"/>
        <v>283.40235685907993</v>
      </c>
      <c r="CY130" s="59">
        <f ca="1">AVERAGE(OFFSET($CX$3,0,0,'Données projet'!$E$13+1,1))-AVERAGE(OFFSET($H$3,0,0,'Données projet'!$E$13+1,1))</f>
        <v>287.73449456153207</v>
      </c>
      <c r="CZ130" s="59">
        <f t="shared" si="96"/>
        <v>296.74833899433281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38.544963088447766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38.544963088447766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6.7133333333333338</v>
      </c>
      <c r="DO130" s="12">
        <f>IF('Données projet'!$A$166&gt;35,DO129+DN130-DW129,IF(A130&lt;'Données projet'!$A$166,$DL$205^A130,IF(A130='Données projet'!$A$166,'Données projet'!$B$166,DO129+DN130-DW129)))</f>
        <v>305.96666666666687</v>
      </c>
      <c r="DP130" s="17">
        <f>DO130*VLOOKUP('Données projet'!$B$14,Paramètres!$A$1:$I$89,3,0)*VLOOKUP('Données projet'!$B$14,Paramètres!$A$1:$I$89,5,0)</f>
        <v>310.25020000000023</v>
      </c>
      <c r="DQ130" s="13">
        <f t="shared" si="97"/>
        <v>73.321079436330294</v>
      </c>
      <c r="DR130" s="20">
        <f t="shared" si="70"/>
        <v>668.0533116849424</v>
      </c>
      <c r="DS130" s="59">
        <f t="shared" si="71"/>
        <v>951.45566854401977</v>
      </c>
      <c r="DT130" s="59">
        <f ca="1">AVERAGE(OFFSET($DS$3,0,0,'Données projet'!$E$14+1,1))-AVERAGE(OFFSET($H$3,0,0,'Données projet'!$E$14+1,1))</f>
        <v>532.34688562681413</v>
      </c>
      <c r="DU130" s="59">
        <f t="shared" si="98"/>
        <v>345.42627129678556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63.821293470759862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63.821293470759862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-5.1431925385259088E-14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256.20286603823035</v>
      </c>
      <c r="EP130" s="59">
        <f t="shared" si="100"/>
        <v>364.83827155069434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9.924208946490916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9.924208946490916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6.7133333333333338</v>
      </c>
      <c r="FE130" s="12">
        <f>IF('Données projet'!$A$218&gt;35,FE129+FD130-FM129,IF(A130&lt;'Données projet'!$A$218,$FB$205^A130,IF(A130='Données projet'!$A$218,'Données projet'!$B$218,FE129+FD130-FM129)))</f>
        <v>305.96666666666687</v>
      </c>
      <c r="FF130" s="17">
        <f>FE130*VLOOKUP('Données projet'!$B$16,Paramètres!$A$1:$I$89,3,0)*VLOOKUP('Données projet'!$B$16,Paramètres!$A$1:$I$89,5,0)</f>
        <v>205.24244000000013</v>
      </c>
      <c r="FG130" s="13">
        <f t="shared" si="101"/>
        <v>50.89455664382799</v>
      </c>
      <c r="FH130" s="20">
        <f t="shared" si="76"/>
        <v>446.10526915466727</v>
      </c>
      <c r="FI130" s="59">
        <f t="shared" si="77"/>
        <v>729.5076260137447</v>
      </c>
      <c r="FJ130" s="59">
        <f ca="1">AVERAGE(OFFSET($FI$3,0,0,'Données projet'!$E$16+1,1))-AVERAGE(OFFSET($H$3,0,0,'Données projet'!$E$16+1,1))</f>
        <v>380.73695370216979</v>
      </c>
      <c r="FK130" s="59">
        <f t="shared" si="102"/>
        <v>249.34467160415713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52.038900830004195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52.038900830004195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6.7133333333333338</v>
      </c>
      <c r="FZ130" s="12">
        <f>IF('Données projet'!$A$244&gt;35,FZ129+FY130-GH129,IF(A130&lt;'Données projet'!$A$244,$FW$205^A130,IF(A130='Données projet'!$A$244,'Données projet'!$B$244,FZ129+FY130-GH129)))</f>
        <v>305.96666666666687</v>
      </c>
      <c r="GA130" s="17">
        <f>FZ130*VLOOKUP('Données projet'!$B$17,Paramètres!$A$1:$I$89,3,0)*VLOOKUP('Données projet'!$B$17,Paramètres!$A$1:$I$89,5,0)</f>
        <v>295.9309600000002</v>
      </c>
      <c r="GB130" s="13">
        <f t="shared" si="103"/>
        <v>70.322759600484844</v>
      </c>
      <c r="GC130" s="20">
        <f t="shared" si="79"/>
        <v>637.89189497084487</v>
      </c>
      <c r="GD130" s="59">
        <f t="shared" si="80"/>
        <v>921.29425182992236</v>
      </c>
      <c r="GE130" s="59">
        <f ca="1">AVERAGE(OFFSET($GD$3,0,0,'Données projet'!$E$17+1,1))-AVERAGE(OFFSET($H$3,0,0,'Données projet'!$E$17+1,1))</f>
        <v>511.7458522930001</v>
      </c>
      <c r="GF130" s="59">
        <f t="shared" si="104"/>
        <v>332.37317679966122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60.875695310570933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60.875695310570933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-1.7053025658242404E-13</v>
      </c>
      <c r="GV130" s="17">
        <f>GU130*VLOOKUP('Données projet'!$B$18,Paramètres!$A$1:$I$89,3,0)*VLOOKUP('Données projet'!$B$18,Paramètres!$A$1:$I$89,5,0)</f>
        <v>-1.4897523215040567E-13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348.77506423101278</v>
      </c>
      <c r="HA130" s="59">
        <f t="shared" si="106"/>
        <v>336.13747591329548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52.669712031777152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52.669712031777152</v>
      </c>
    </row>
    <row r="131" spans="1:218" x14ac:dyDescent="0.2">
      <c r="A131" s="10">
        <f t="shared" si="85"/>
        <v>128</v>
      </c>
      <c r="B131" s="71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5">
        <f t="shared" si="56"/>
        <v>183.33333333333334</v>
      </c>
      <c r="I131" s="6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-2.1282176021486519E-13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387.50901594883317</v>
      </c>
      <c r="T131" s="59">
        <f t="shared" si="88"/>
        <v>361.3623790401972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140.85260113099829</v>
      </c>
      <c r="AA131" s="21">
        <f>EXP(-LN(2)/25)*AA130+(1-EXP(-LN(2)/25))/(LN(2)/25)*Calculateur!V131*Calculateur!X131*VLOOKUP('Données projet'!$B$9,Paramètres!$A$1:$I$89,3,0)*0.475*44/12</f>
        <v>19.599796470606289</v>
      </c>
      <c r="AB131" s="21">
        <f>EXP(-LN(2)/2)*AB130+(1-EXP(-LN(2)/2))/(LN(2)/2)*V131*Y131*VLOOKUP('Données projet'!$B$9,Paramètres!$A$1:$I$89,3,0)*0.475*44/12</f>
        <v>6.0143303472510934E-3</v>
      </c>
      <c r="AC131" s="22">
        <f t="shared" si="57"/>
        <v>160.45841193195184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373.47758082856359</v>
      </c>
      <c r="AO131" s="59">
        <f t="shared" si="90"/>
        <v>277.24895424120166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74.277628970053897</v>
      </c>
      <c r="AV131" s="21">
        <f>EXP(-LN(2)/25)*AV130+(1-EXP(-LN(2)/25))/(LN(2)/25)*Calculateur!AQ131*Calculateur!AS131*VLOOKUP('Données projet'!$B$10,Paramètres!$A$1:$I$89,3,0)*0.475*44/12</f>
        <v>9.5012311634069206</v>
      </c>
      <c r="AW131" s="21">
        <f>EXP(-LN(2)/2)*AW130+(1-EXP(-LN(2)/2))/(LN(2)/2)*AQ131*AT131*VLOOKUP('Données projet'!$B$10,Paramètres!$A$1:$I$89,3,0)*0.475*44/12</f>
        <v>1.9003395810372607E-6</v>
      </c>
      <c r="AX131" s="21">
        <f t="shared" si="60"/>
        <v>83.778862033800408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-6.8212102632969618E-13</v>
      </c>
      <c r="BE131" s="13">
        <f>BD131*VLOOKUP('Données projet'!$B$11,Paramètres!$A$1:$I$89,3,0)*VLOOKUP('Données projet'!$B$11,Paramètres!$A$1:$I$89,5,0)</f>
        <v>-4.0790837374515837E-13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460.88622650237176</v>
      </c>
      <c r="BJ131" s="59">
        <f t="shared" si="92"/>
        <v>396.05161661639647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86.801706822494651</v>
      </c>
      <c r="BQ131" s="21">
        <f>EXP(-LN(2)/25)*BQ130+(1-EXP(-LN(2)/25))/(LN(2)/25)*Calculateur!BL131*Calculateur!BN131*VLOOKUP('Données projet'!$B$11,Paramètres!$A$1:$I$89,3,0)*0.475*44/12</f>
        <v>10.416376303700869</v>
      </c>
      <c r="BR131" s="21">
        <f>EXP(-LN(2)/2)*BR130+(1-EXP(-LN(2)/2))/(LN(2)/2)*BL131*BO131*VLOOKUP('Données projet'!$B$11,Paramètres!$A$1:$I$89,3,0)*0.475*44/12</f>
        <v>6.1354740643118588E-7</v>
      </c>
      <c r="BS131" s="22">
        <f t="shared" si="63"/>
        <v>97.218083739742923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-5.1727511163335289E-14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341.60063595566282</v>
      </c>
      <c r="CE131" s="59">
        <f t="shared" si="94"/>
        <v>317.05609766344219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71.240933196691017</v>
      </c>
      <c r="CL131" s="21">
        <f>EXP(-LN(2)/25)*CL130+(1-EXP(-LN(2)/25))/(LN(2)/25)*Calculateur!CG131*Calculateur!CI131*VLOOKUP('Données projet'!$B$12,Paramètres!$A$1:$I$89,3,0)*0.475*44/12</f>
        <v>9.6746110926515225</v>
      </c>
      <c r="CM131" s="21">
        <f>EXP(-LN(2)/2)*CM130+(1-EXP(-LN(2)/2))/(LN(2)/2)*CG131*CJ131*VLOOKUP('Données projet'!$B$12,Paramètres!$A$1:$I$89,3,0)*0.475*44/12</f>
        <v>5.1852379287411658E-8</v>
      </c>
      <c r="CN131" s="22">
        <f t="shared" si="66"/>
        <v>80.915544341194916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8.5265128291212022E-14</v>
      </c>
      <c r="CU131" s="17">
        <f>CT131*VLOOKUP('Données projet'!$B$13,Paramètres!$A$1:$I$89,3,0)*VLOOKUP('Données projet'!$B$13,Paramètres!$A$1:$I$89,5,0)</f>
        <v>8.9119112089974823E-14</v>
      </c>
      <c r="CV131" s="13">
        <f t="shared" si="95"/>
        <v>1.3568952080113142E-12</v>
      </c>
      <c r="CW131" s="20">
        <f t="shared" si="67"/>
        <v>2.5184749408430782E-12</v>
      </c>
      <c r="CX131" s="59">
        <f t="shared" si="68"/>
        <v>283.57463709857103</v>
      </c>
      <c r="CY131" s="59">
        <f ca="1">AVERAGE(OFFSET($CX$3,0,0,'Données projet'!$E$13+1,1))-AVERAGE(OFFSET($H$3,0,0,'Données projet'!$E$13+1,1))</f>
        <v>287.73449456153207</v>
      </c>
      <c r="CZ131" s="59">
        <f t="shared" si="96"/>
        <v>296.74833899433281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37.789119872389357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37.789119872389357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6.7133333333333338</v>
      </c>
      <c r="DO131" s="12">
        <f>IF('Données projet'!$A$166&gt;35,DO130+DN131-DW130,IF(A131&lt;'Données projet'!$A$166,$DL$205^A131,IF(A131='Données projet'!$A$166,'Données projet'!$B$166,DO130+DN131-DW130)))</f>
        <v>312.68000000000018</v>
      </c>
      <c r="DP131" s="17">
        <f>DO131*VLOOKUP('Données projet'!$B$14,Paramètres!$A$1:$I$89,3,0)*VLOOKUP('Données projet'!$B$14,Paramètres!$A$1:$I$89,5,0)</f>
        <v>317.05752000000024</v>
      </c>
      <c r="DQ131" s="13">
        <f t="shared" si="97"/>
        <v>74.740784698775741</v>
      </c>
      <c r="DR131" s="20">
        <f t="shared" si="70"/>
        <v>682.38204735036811</v>
      </c>
      <c r="DS131" s="59">
        <f t="shared" si="71"/>
        <v>965.95668444893658</v>
      </c>
      <c r="DT131" s="59">
        <f ca="1">AVERAGE(OFFSET($DS$3,0,0,'Données projet'!$E$14+1,1))-AVERAGE(OFFSET($H$3,0,0,'Données projet'!$E$14+1,1))</f>
        <v>532.34688562681413</v>
      </c>
      <c r="DU131" s="59">
        <f t="shared" si="98"/>
        <v>345.42627129678556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62.569796832943545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62.569796832943545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-5.1431925385259088E-14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256.20286603823035</v>
      </c>
      <c r="EP131" s="59">
        <f t="shared" si="100"/>
        <v>364.83827155069434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9.729601262219985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9.729601262219985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6.7133333333333338</v>
      </c>
      <c r="FE131" s="12">
        <f>IF('Données projet'!$A$218&gt;35,FE130+FD131-FM130,IF(A131&lt;'Données projet'!$A$218,$FB$205^A131,IF(A131='Données projet'!$A$218,'Données projet'!$B$218,FE130+FD131-FM130)))</f>
        <v>312.68000000000018</v>
      </c>
      <c r="FF131" s="17">
        <f>FE131*VLOOKUP('Données projet'!$B$16,Paramètres!$A$1:$I$89,3,0)*VLOOKUP('Données projet'!$B$16,Paramètres!$A$1:$I$89,5,0)</f>
        <v>209.74574400000012</v>
      </c>
      <c r="FG131" s="13">
        <f t="shared" si="101"/>
        <v>51.880020448405745</v>
      </c>
      <c r="FH131" s="20">
        <f t="shared" si="76"/>
        <v>455.66487308097345</v>
      </c>
      <c r="FI131" s="59">
        <f t="shared" si="77"/>
        <v>739.23951017954198</v>
      </c>
      <c r="FJ131" s="59">
        <f ca="1">AVERAGE(OFFSET($FI$3,0,0,'Données projet'!$E$16+1,1))-AVERAGE(OFFSET($H$3,0,0,'Données projet'!$E$16+1,1))</f>
        <v>380.73695370216979</v>
      </c>
      <c r="FK131" s="59">
        <f t="shared" si="102"/>
        <v>249.34467160415713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51.018449725323194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51.018449725323194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6.7133333333333338</v>
      </c>
      <c r="FZ131" s="12">
        <f>IF('Données projet'!$A$244&gt;35,FZ130+FY131-GH130,IF(A131&lt;'Données projet'!$A$244,$FW$205^A131,IF(A131='Données projet'!$A$244,'Données projet'!$B$244,FZ130+FY131-GH130)))</f>
        <v>312.68000000000018</v>
      </c>
      <c r="GA131" s="17">
        <f>FZ131*VLOOKUP('Données projet'!$B$17,Paramètres!$A$1:$I$89,3,0)*VLOOKUP('Données projet'!$B$17,Paramètres!$A$1:$I$89,5,0)</f>
        <v>302.42409600000013</v>
      </c>
      <c r="GB131" s="13">
        <f t="shared" si="103"/>
        <v>71.684408837539451</v>
      </c>
      <c r="GC131" s="20">
        <f t="shared" si="79"/>
        <v>651.57231259204821</v>
      </c>
      <c r="GD131" s="59">
        <f t="shared" si="80"/>
        <v>935.14694969061679</v>
      </c>
      <c r="GE131" s="59">
        <f ca="1">AVERAGE(OFFSET($GD$3,0,0,'Données projet'!$E$17+1,1))-AVERAGE(OFFSET($H$3,0,0,'Données projet'!$E$17+1,1))</f>
        <v>511.7458522930001</v>
      </c>
      <c r="GF131" s="59">
        <f t="shared" si="104"/>
        <v>332.37317679966122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59.681960056038442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59.681960056038442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-1.7053025658242404E-13</v>
      </c>
      <c r="GV131" s="17">
        <f>GU131*VLOOKUP('Données projet'!$B$18,Paramètres!$A$1:$I$89,3,0)*VLOOKUP('Données projet'!$B$18,Paramètres!$A$1:$I$89,5,0)</f>
        <v>-1.4897523215040567E-13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348.77506423101278</v>
      </c>
      <c r="HA131" s="59">
        <f t="shared" si="106"/>
        <v>336.13747591329548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51.636891104186226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51.636891104186226</v>
      </c>
    </row>
    <row r="132" spans="1:218" x14ac:dyDescent="0.2">
      <c r="A132" s="10">
        <f t="shared" si="85"/>
        <v>129</v>
      </c>
      <c r="B132" s="71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5">
        <f t="shared" ref="H132:H195" si="110">(B132+E132+F132)*44/12+(C132+D132)*0.475*44/12</f>
        <v>183.33333333333334</v>
      </c>
      <c r="I132" s="6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-2.1282176021486519E-13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387.50901594883317</v>
      </c>
      <c r="T132" s="59">
        <f t="shared" si="88"/>
        <v>361.3623790401972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138.09056753442303</v>
      </c>
      <c r="AA132" s="21">
        <f>EXP(-LN(2)/25)*AA131+(1-EXP(-LN(2)/25))/(LN(2)/25)*Calculateur!V132*Calculateur!X132*VLOOKUP('Données projet'!$B$9,Paramètres!$A$1:$I$89,3,0)*0.475*44/12</f>
        <v>19.063839005409061</v>
      </c>
      <c r="AB132" s="21">
        <f>EXP(-LN(2)/2)*AB131+(1-EXP(-LN(2)/2))/(LN(2)/2)*V132*Y132*VLOOKUP('Données projet'!$B$9,Paramètres!$A$1:$I$89,3,0)*0.475*44/12</f>
        <v>4.2527737728372912E-3</v>
      </c>
      <c r="AC132" s="22">
        <f t="shared" ref="AC132:AC153" si="111">SUM(Z132:AB132)</f>
        <v>157.15865931360491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373.47758082856359</v>
      </c>
      <c r="AO132" s="59">
        <f t="shared" si="90"/>
        <v>277.24895424120166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72.821089970831324</v>
      </c>
      <c r="AV132" s="21">
        <f>EXP(-LN(2)/25)*AV131+(1-EXP(-LN(2)/25))/(LN(2)/25)*Calculateur!AQ132*Calculateur!AS132*VLOOKUP('Données projet'!$B$10,Paramètres!$A$1:$I$89,3,0)*0.475*44/12</f>
        <v>9.2414194975955262</v>
      </c>
      <c r="AW132" s="21">
        <f>EXP(-LN(2)/2)*AW131+(1-EXP(-LN(2)/2))/(LN(2)/2)*AQ132*AT132*VLOOKUP('Données projet'!$B$10,Paramètres!$A$1:$I$89,3,0)*0.475*44/12</f>
        <v>1.3437430043086498E-6</v>
      </c>
      <c r="AX132" s="21">
        <f t="shared" ref="AX132:AX153" si="114">SUM(AU132:AW132)</f>
        <v>82.062510812169862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-6.8212102632969618E-13</v>
      </c>
      <c r="BE132" s="13">
        <f>BD132*VLOOKUP('Données projet'!$B$11,Paramètres!$A$1:$I$89,3,0)*VLOOKUP('Données projet'!$B$11,Paramètres!$A$1:$I$89,5,0)</f>
        <v>-4.0790837374515837E-13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460.88622650237176</v>
      </c>
      <c r="BJ132" s="59">
        <f t="shared" si="92"/>
        <v>396.05161661639647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85.099578295518924</v>
      </c>
      <c r="BQ132" s="21">
        <f>EXP(-LN(2)/25)*BQ131+(1-EXP(-LN(2)/25))/(LN(2)/25)*Calculateur!BL132*Calculateur!BN132*VLOOKUP('Données projet'!$B$11,Paramètres!$A$1:$I$89,3,0)*0.475*44/12</f>
        <v>10.131539945902745</v>
      </c>
      <c r="BR132" s="21">
        <f>EXP(-LN(2)/2)*BR131+(1-EXP(-LN(2)/2))/(LN(2)/2)*BL132*BO132*VLOOKUP('Données projet'!$B$11,Paramètres!$A$1:$I$89,3,0)*0.475*44/12</f>
        <v>4.338435316669103E-7</v>
      </c>
      <c r="BS132" s="22">
        <f t="shared" ref="BS132:BS153" si="117">SUM(BP132:BR132)</f>
        <v>95.231118675265193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-5.1727511163335289E-14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341.60063595566282</v>
      </c>
      <c r="CE132" s="59">
        <f t="shared" si="94"/>
        <v>317.05609766344219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69.843941949382554</v>
      </c>
      <c r="CL132" s="21">
        <f>EXP(-LN(2)/25)*CL131+(1-EXP(-LN(2)/25))/(LN(2)/25)*Calculateur!CG132*Calculateur!CI132*VLOOKUP('Données projet'!$B$12,Paramètres!$A$1:$I$89,3,0)*0.475*44/12</f>
        <v>9.4100583435572815</v>
      </c>
      <c r="CM132" s="21">
        <f>EXP(-LN(2)/2)*CM131+(1-EXP(-LN(2)/2))/(LN(2)/2)*CG132*CJ132*VLOOKUP('Données projet'!$B$12,Paramètres!$A$1:$I$89,3,0)*0.475*44/12</f>
        <v>3.6665169014785664E-8</v>
      </c>
      <c r="CN132" s="22">
        <f t="shared" ref="CN132:CN153" si="120">SUM(CK132:CM132)</f>
        <v>79.254000329605006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8.5265128291212022E-14</v>
      </c>
      <c r="CU132" s="17">
        <f>CT132*VLOOKUP('Données projet'!$B$13,Paramètres!$A$1:$I$89,3,0)*VLOOKUP('Données projet'!$B$13,Paramètres!$A$1:$I$89,5,0)</f>
        <v>8.9119112089974823E-14</v>
      </c>
      <c r="CV132" s="13">
        <f t="shared" si="95"/>
        <v>1.3568952080113142E-12</v>
      </c>
      <c r="CW132" s="20">
        <f t="shared" ref="CW132:CW153" si="121">(CU132+CV132)*0.475*44/12</f>
        <v>2.5184749408430782E-12</v>
      </c>
      <c r="CX132" s="59">
        <f t="shared" ref="CX132:CX195" si="122">CW132+(CO132+CP132)*44/12</f>
        <v>283.74392866106786</v>
      </c>
      <c r="CY132" s="59">
        <f ca="1">AVERAGE(OFFSET($CX$3,0,0,'Données projet'!$E$13+1,1))-AVERAGE(OFFSET($H$3,0,0,'Données projet'!$E$13+1,1))</f>
        <v>287.73449456153207</v>
      </c>
      <c r="CZ132" s="59">
        <f t="shared" si="96"/>
        <v>296.74833899433281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37.048098280779016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37.048098280779016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6.7133333333333338</v>
      </c>
      <c r="DO132" s="12">
        <f>IF('Données projet'!$A$166&gt;35,DO131+DN132-DW131,IF(A132&lt;'Données projet'!$A$166,$DL$205^A132,IF(A132='Données projet'!$A$166,'Données projet'!$B$166,DO131+DN132-DW131)))</f>
        <v>319.39333333333349</v>
      </c>
      <c r="DP132" s="17">
        <f>DO132*VLOOKUP('Données projet'!$B$14,Paramètres!$A$1:$I$89,3,0)*VLOOKUP('Données projet'!$B$14,Paramètres!$A$1:$I$89,5,0)</f>
        <v>323.86484000000019</v>
      </c>
      <c r="DQ132" s="13">
        <f t="shared" si="97"/>
        <v>76.15694605695667</v>
      </c>
      <c r="DR132" s="20">
        <f t="shared" ref="DR132:DR153" si="124">(DP132+DQ132)*0.475*44/12</f>
        <v>696.70461071586658</v>
      </c>
      <c r="DS132" s="59">
        <f t="shared" ref="DS132:DS195" si="125">DR132+(DJ132+DK132)*44/12</f>
        <v>980.44853937693188</v>
      </c>
      <c r="DT132" s="59">
        <f ca="1">AVERAGE(OFFSET($DS$3,0,0,'Données projet'!$E$14+1,1))-AVERAGE(OFFSET($H$3,0,0,'Données projet'!$E$14+1,1))</f>
        <v>532.34688562681413</v>
      </c>
      <c r="DU132" s="59">
        <f t="shared" si="98"/>
        <v>345.42627129678556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61.342841280857229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61.342841280857229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-5.1431925385259088E-14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256.20286603823035</v>
      </c>
      <c r="EP132" s="59">
        <f t="shared" si="100"/>
        <v>364.83827155069434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9.5388097159386405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9.5388097159386405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6.7133333333333338</v>
      </c>
      <c r="FE132" s="12">
        <f>IF('Données projet'!$A$218&gt;35,FE131+FD132-FM131,IF(A132&lt;'Données projet'!$A$218,$FB$205^A132,IF(A132='Données projet'!$A$218,'Données projet'!$B$218,FE131+FD132-FM131)))</f>
        <v>319.39333333333349</v>
      </c>
      <c r="FF132" s="17">
        <f>FE132*VLOOKUP('Données projet'!$B$16,Paramètres!$A$1:$I$89,3,0)*VLOOKUP('Données projet'!$B$16,Paramètres!$A$1:$I$89,5,0)</f>
        <v>214.2490480000001</v>
      </c>
      <c r="FG132" s="13">
        <f t="shared" si="101"/>
        <v>52.863024313253689</v>
      </c>
      <c r="FH132" s="20">
        <f t="shared" ref="FH132:FH153" si="130">(FF132+FG132)*0.475*44/12</f>
        <v>465.22019261225029</v>
      </c>
      <c r="FI132" s="59">
        <f t="shared" ref="FI132:FI195" si="131">FH132+(EZ132+FA132)*44/12</f>
        <v>748.96412127331564</v>
      </c>
      <c r="FJ132" s="59">
        <f ca="1">AVERAGE(OFFSET($FI$3,0,0,'Données projet'!$E$16+1,1))-AVERAGE(OFFSET($H$3,0,0,'Données projet'!$E$16+1,1))</f>
        <v>380.73695370216979</v>
      </c>
      <c r="FK132" s="59">
        <f t="shared" si="102"/>
        <v>249.34467160415713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50.01800904439127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50.01800904439127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6.7133333333333338</v>
      </c>
      <c r="FZ132" s="12">
        <f>IF('Données projet'!$A$244&gt;35,FZ131+FY132-GH131,IF(A132&lt;'Données projet'!$A$244,$FW$205^A132,IF(A132='Données projet'!$A$244,'Données projet'!$B$244,FZ131+FY132-GH131)))</f>
        <v>319.39333333333349</v>
      </c>
      <c r="GA132" s="17">
        <f>FZ132*VLOOKUP('Données projet'!$B$17,Paramètres!$A$1:$I$89,3,0)*VLOOKUP('Données projet'!$B$17,Paramètres!$A$1:$I$89,5,0)</f>
        <v>308.91723200000013</v>
      </c>
      <c r="GB132" s="13">
        <f t="shared" si="103"/>
        <v>73.042659091251721</v>
      </c>
      <c r="GC132" s="20">
        <f t="shared" ref="GC132:GC153" si="133">(GA132+GB132)*0.475*44/12</f>
        <v>665.24681031726357</v>
      </c>
      <c r="GD132" s="59">
        <f t="shared" ref="GD132:GD195" si="134">GC132+(FU132+FV132)*44/12</f>
        <v>948.99073897832886</v>
      </c>
      <c r="GE132" s="59">
        <f ca="1">AVERAGE(OFFSET($GD$3,0,0,'Données projet'!$E$17+1,1))-AVERAGE(OFFSET($H$3,0,0,'Données projet'!$E$17+1,1))</f>
        <v>511.7458522930001</v>
      </c>
      <c r="GF132" s="59">
        <f t="shared" si="104"/>
        <v>332.37317679966122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58.511633221740723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58.511633221740723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-1.7053025658242404E-13</v>
      </c>
      <c r="GV132" s="17">
        <f>GU132*VLOOKUP('Données projet'!$B$18,Paramètres!$A$1:$I$89,3,0)*VLOOKUP('Données projet'!$B$18,Paramètres!$A$1:$I$89,5,0)</f>
        <v>-1.4897523215040567E-13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348.77506423101278</v>
      </c>
      <c r="HA132" s="59">
        <f t="shared" si="106"/>
        <v>336.13747591329548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50.624323165026794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50.624323165026794</v>
      </c>
    </row>
    <row r="133" spans="1:218" x14ac:dyDescent="0.2">
      <c r="A133" s="10">
        <f t="shared" ref="A133:A152" si="139">A132+1</f>
        <v>130</v>
      </c>
      <c r="B133" s="71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5">
        <f t="shared" si="110"/>
        <v>183.33333333333334</v>
      </c>
      <c r="I133" s="6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-2.1282176021486519E-13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387.50901594883317</v>
      </c>
      <c r="T133" s="59">
        <f t="shared" ref="T133:T196" si="142">$T$3</f>
        <v>361.3623790401972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135.38269573200247</v>
      </c>
      <c r="AA133" s="21">
        <f>EXP(-LN(2)/25)*AA132+(1-EXP(-LN(2)/25))/(LN(2)/25)*Calculateur!V133*Calculateur!X133*VLOOKUP('Données projet'!$B$9,Paramètres!$A$1:$I$89,3,0)*0.475*44/12</f>
        <v>18.542537325282428</v>
      </c>
      <c r="AB133" s="21">
        <f>EXP(-LN(2)/2)*AB132+(1-EXP(-LN(2)/2))/(LN(2)/2)*V133*Y133*VLOOKUP('Données projet'!$B$9,Paramètres!$A$1:$I$89,3,0)*0.475*44/12</f>
        <v>3.0071651736255467E-3</v>
      </c>
      <c r="AC133" s="22">
        <f t="shared" si="111"/>
        <v>153.92824022245853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373.47758082856359</v>
      </c>
      <c r="AO133" s="59">
        <f t="shared" ref="AO133:AO196" si="144">$AO$3</f>
        <v>277.24895424120166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71.393112812982437</v>
      </c>
      <c r="AV133" s="21">
        <f>EXP(-LN(2)/25)*AV132+(1-EXP(-LN(2)/25))/(LN(2)/25)*Calculateur!AQ133*Calculateur!AS133*VLOOKUP('Données projet'!$B$10,Paramètres!$A$1:$I$89,3,0)*0.475*44/12</f>
        <v>8.9887123954486459</v>
      </c>
      <c r="AW133" s="21">
        <f>EXP(-LN(2)/2)*AW132+(1-EXP(-LN(2)/2))/(LN(2)/2)*AQ133*AT133*VLOOKUP('Données projet'!$B$10,Paramètres!$A$1:$I$89,3,0)*0.475*44/12</f>
        <v>9.5016979051863046E-7</v>
      </c>
      <c r="AX133" s="21">
        <f t="shared" si="114"/>
        <v>80.381826158600873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-6.8212102632969618E-13</v>
      </c>
      <c r="BE133" s="13">
        <f>BD133*VLOOKUP('Données projet'!$B$11,Paramètres!$A$1:$I$89,3,0)*VLOOKUP('Données projet'!$B$11,Paramètres!$A$1:$I$89,5,0)</f>
        <v>-4.0790837374515837E-13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460.88622650237176</v>
      </c>
      <c r="BJ133" s="59">
        <f t="shared" ref="BJ133:BJ196" si="146">$BJ$3</f>
        <v>396.05161661639647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83.430827470761301</v>
      </c>
      <c r="BQ133" s="21">
        <f>EXP(-LN(2)/25)*BQ132+(1-EXP(-LN(2)/25))/(LN(2)/25)*Calculateur!BL133*Calculateur!BN133*VLOOKUP('Données projet'!$B$11,Paramètres!$A$1:$I$89,3,0)*0.475*44/12</f>
        <v>9.854492453287504</v>
      </c>
      <c r="BR133" s="21">
        <f>EXP(-LN(2)/2)*BR132+(1-EXP(-LN(2)/2))/(LN(2)/2)*BL133*BO133*VLOOKUP('Données projet'!$B$11,Paramètres!$A$1:$I$89,3,0)*0.475*44/12</f>
        <v>3.0677370321559294E-7</v>
      </c>
      <c r="BS133" s="22">
        <f t="shared" si="117"/>
        <v>93.285320230822506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-5.1727511163335289E-14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341.60063595566282</v>
      </c>
      <c r="CE133" s="59">
        <f t="shared" ref="CE133:CE196" si="148">$CE$3</f>
        <v>317.05609766344219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68.474344848353297</v>
      </c>
      <c r="CL133" s="21">
        <f>EXP(-LN(2)/25)*CL132+(1-EXP(-LN(2)/25))/(LN(2)/25)*Calculateur!CG133*Calculateur!CI133*VLOOKUP('Données projet'!$B$12,Paramètres!$A$1:$I$89,3,0)*0.475*44/12</f>
        <v>9.1527398032992462</v>
      </c>
      <c r="CM133" s="21">
        <f>EXP(-LN(2)/2)*CM132+(1-EXP(-LN(2)/2))/(LN(2)/2)*CG133*CJ133*VLOOKUP('Données projet'!$B$12,Paramètres!$A$1:$I$89,3,0)*0.475*44/12</f>
        <v>2.5926189643705829E-8</v>
      </c>
      <c r="CN133" s="22">
        <f t="shared" si="120"/>
        <v>77.627084677578722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8.5265128291212022E-14</v>
      </c>
      <c r="CU133" s="17">
        <f>CT133*VLOOKUP('Données projet'!$B$13,Paramètres!$A$1:$I$89,3,0)*VLOOKUP('Données projet'!$B$13,Paramètres!$A$1:$I$89,5,0)</f>
        <v>8.9119112089974823E-14</v>
      </c>
      <c r="CV133" s="13">
        <f t="shared" ref="CV133:CV153" si="149">EXP(-1.0587+0.8836*LN(CU133)+0.284)</f>
        <v>1.3568952080113142E-12</v>
      </c>
      <c r="CW133" s="20">
        <f t="shared" si="121"/>
        <v>2.5184749408430782E-12</v>
      </c>
      <c r="CX133" s="59">
        <f t="shared" si="122"/>
        <v>283.91028339343461</v>
      </c>
      <c r="CY133" s="59">
        <f ca="1">AVERAGE(OFFSET($CX$3,0,0,'Données projet'!$E$13+1,1))-AVERAGE(OFFSET($H$3,0,0,'Données projet'!$E$13+1,1))</f>
        <v>287.73449456153207</v>
      </c>
      <c r="CZ133" s="59">
        <f t="shared" ref="CZ133:CZ196" si="150">$CZ$3</f>
        <v>296.74833899433281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36.321607670601608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36.321607670601608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6.7133333333333338</v>
      </c>
      <c r="DO133" s="12">
        <f>IF('Données projet'!$A$166&gt;35,DO132+DN133-DW132,IF(A133&lt;'Données projet'!$A$166,$DL$205^A133,IF(A133='Données projet'!$A$166,'Données projet'!$B$166,DO132+DN133-DW132)))</f>
        <v>326.1066666666668</v>
      </c>
      <c r="DP133" s="17">
        <f>DO133*VLOOKUP('Données projet'!$B$14,Paramètres!$A$1:$I$89,3,0)*VLOOKUP('Données projet'!$B$14,Paramètres!$A$1:$I$89,5,0)</f>
        <v>330.67216000000013</v>
      </c>
      <c r="DQ133" s="13">
        <f t="shared" ref="DQ133:DQ153" si="151">EXP(-1.0587+0.8836*LN(DP133)+0.284)</f>
        <v>77.569646581518043</v>
      </c>
      <c r="DR133" s="20">
        <f t="shared" si="124"/>
        <v>711.02114646281086</v>
      </c>
      <c r="DS133" s="59">
        <f t="shared" si="125"/>
        <v>994.93142985624297</v>
      </c>
      <c r="DT133" s="59">
        <f ca="1">AVERAGE(OFFSET($DS$3,0,0,'Données projet'!$E$14+1,1))-AVERAGE(OFFSET($H$3,0,0,'Données projet'!$E$14+1,1))</f>
        <v>532.34688562681413</v>
      </c>
      <c r="DU133" s="59">
        <f t="shared" ref="DU133:DU196" si="152">$DU$3</f>
        <v>345.42627129678556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60.139945578778331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60.139945578778331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-5.1431925385259088E-14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256.20286603823035</v>
      </c>
      <c r="EP133" s="59">
        <f t="shared" ref="EP133:EP196" si="154">$EP$3</f>
        <v>364.83827155069434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9.3517594755085209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9.3517594755085209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6.7133333333333338</v>
      </c>
      <c r="FE133" s="12">
        <f>IF('Données projet'!$A$218&gt;35,FE132+FD133-FM132,IF(A133&lt;'Données projet'!$A$218,$FB$205^A133,IF(A133='Données projet'!$A$218,'Données projet'!$B$218,FE132+FD133-FM132)))</f>
        <v>326.1066666666668</v>
      </c>
      <c r="FF133" s="17">
        <f>FE133*VLOOKUP('Données projet'!$B$16,Paramètres!$A$1:$I$89,3,0)*VLOOKUP('Données projet'!$B$16,Paramètres!$A$1:$I$89,5,0)</f>
        <v>218.75235200000009</v>
      </c>
      <c r="FG133" s="13">
        <f t="shared" ref="FG133:FG153" si="155">EXP(-1.0587+0.8836*LN(FF133)+0.284)</f>
        <v>53.843625900420626</v>
      </c>
      <c r="FH133" s="20">
        <f t="shared" si="130"/>
        <v>474.7713281765661</v>
      </c>
      <c r="FI133" s="59">
        <f t="shared" si="131"/>
        <v>758.68161156999827</v>
      </c>
      <c r="FJ133" s="59">
        <f ca="1">AVERAGE(OFFSET($FI$3,0,0,'Données projet'!$E$16+1,1))-AVERAGE(OFFSET($H$3,0,0,'Données projet'!$E$16+1,1))</f>
        <v>380.73695370216979</v>
      </c>
      <c r="FK133" s="59">
        <f t="shared" ref="FK133:FK196" si="156">$FK$3</f>
        <v>249.34467160415713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49.037186395003864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49.037186395003864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6.7133333333333338</v>
      </c>
      <c r="FZ133" s="12">
        <f>IF('Données projet'!$A$244&gt;35,FZ132+FY133-GH132,IF(A133&lt;'Données projet'!$A$244,$FW$205^A133,IF(A133='Données projet'!$A$244,'Données projet'!$B$244,FZ132+FY133-GH132)))</f>
        <v>326.1066666666668</v>
      </c>
      <c r="GA133" s="17">
        <f>FZ133*VLOOKUP('Données projet'!$B$17,Paramètres!$A$1:$I$89,3,0)*VLOOKUP('Données projet'!$B$17,Paramètres!$A$1:$I$89,5,0)</f>
        <v>315.41036800000012</v>
      </c>
      <c r="GB133" s="13">
        <f t="shared" ref="GB133:GB153" si="157">EXP(-1.0587+0.8836*LN(GA133)+0.284)</f>
        <v>74.397590035257764</v>
      </c>
      <c r="GC133" s="20">
        <f t="shared" si="133"/>
        <v>678.91552691140748</v>
      </c>
      <c r="GD133" s="59">
        <f t="shared" si="134"/>
        <v>962.82581030483959</v>
      </c>
      <c r="GE133" s="59">
        <f ca="1">AVERAGE(OFFSET($GD$3,0,0,'Données projet'!$E$17+1,1))-AVERAGE(OFFSET($H$3,0,0,'Données projet'!$E$17+1,1))</f>
        <v>511.7458522930001</v>
      </c>
      <c r="GF133" s="59">
        <f t="shared" ref="GF133:GF196" si="158">$GF$3</f>
        <v>332.37317679966122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57.364255782834697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57.364255782834697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-1.7053025658242404E-13</v>
      </c>
      <c r="GV133" s="17">
        <f>GU133*VLOOKUP('Données projet'!$B$18,Paramètres!$A$1:$I$89,3,0)*VLOOKUP('Données projet'!$B$18,Paramètres!$A$1:$I$89,5,0)</f>
        <v>-1.4897523215040567E-13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348.77506423101278</v>
      </c>
      <c r="HA133" s="59">
        <f t="shared" ref="HA133:HA196" si="160">$HA$3</f>
        <v>336.13747591329548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49.631611065548825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49.631611065548825</v>
      </c>
    </row>
    <row r="134" spans="1:218" x14ac:dyDescent="0.2">
      <c r="A134" s="10">
        <f t="shared" si="139"/>
        <v>131</v>
      </c>
      <c r="B134" s="71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5">
        <f t="shared" si="110"/>
        <v>183.33333333333334</v>
      </c>
      <c r="I134" s="6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-2.1282176021486519E-13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387.50901594883317</v>
      </c>
      <c r="T134" s="59">
        <f t="shared" si="142"/>
        <v>361.3623790401972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132.72792364398867</v>
      </c>
      <c r="AA134" s="21">
        <f>EXP(-LN(2)/25)*AA133+(1-EXP(-LN(2)/25))/(LN(2)/25)*Calculateur!V134*Calculateur!X134*VLOOKUP('Données projet'!$B$9,Paramètres!$A$1:$I$89,3,0)*0.475*44/12</f>
        <v>18.035490667012922</v>
      </c>
      <c r="AB134" s="21">
        <f>EXP(-LN(2)/2)*AB133+(1-EXP(-LN(2)/2))/(LN(2)/2)*V134*Y134*VLOOKUP('Données projet'!$B$9,Paramètres!$A$1:$I$89,3,0)*0.475*44/12</f>
        <v>2.1263868864186456E-3</v>
      </c>
      <c r="AC134" s="22">
        <f t="shared" si="111"/>
        <v>150.76554069788804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373.47758082856359</v>
      </c>
      <c r="AO134" s="59">
        <f t="shared" si="144"/>
        <v>277.24895424120166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69.9931374162189</v>
      </c>
      <c r="AV134" s="21">
        <f>EXP(-LN(2)/25)*AV133+(1-EXP(-LN(2)/25))/(LN(2)/25)*Calculateur!AQ134*Calculateur!AS134*VLOOKUP('Données projet'!$B$10,Paramètres!$A$1:$I$89,3,0)*0.475*44/12</f>
        <v>8.7429155822992612</v>
      </c>
      <c r="AW134" s="21">
        <f>EXP(-LN(2)/2)*AW133+(1-EXP(-LN(2)/2))/(LN(2)/2)*AQ134*AT134*VLOOKUP('Données projet'!$B$10,Paramètres!$A$1:$I$89,3,0)*0.475*44/12</f>
        <v>6.71871502154325E-7</v>
      </c>
      <c r="AX134" s="21">
        <f t="shared" si="114"/>
        <v>78.736053670389666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-6.8212102632969618E-13</v>
      </c>
      <c r="BE134" s="13">
        <f>BD134*VLOOKUP('Données projet'!$B$11,Paramètres!$A$1:$I$89,3,0)*VLOOKUP('Données projet'!$B$11,Paramètres!$A$1:$I$89,5,0)</f>
        <v>-4.0790837374515837E-13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460.88622650237176</v>
      </c>
      <c r="BJ134" s="59">
        <f t="shared" si="146"/>
        <v>396.05161661639647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81.794799831839683</v>
      </c>
      <c r="BQ134" s="21">
        <f>EXP(-LN(2)/25)*BQ133+(1-EXP(-LN(2)/25))/(LN(2)/25)*Calculateur!BL134*Calculateur!BN134*VLOOKUP('Données projet'!$B$11,Paramètres!$A$1:$I$89,3,0)*0.475*44/12</f>
        <v>9.5850208389271216</v>
      </c>
      <c r="BR134" s="21">
        <f>EXP(-LN(2)/2)*BR133+(1-EXP(-LN(2)/2))/(LN(2)/2)*BL134*BO134*VLOOKUP('Données projet'!$B$11,Paramètres!$A$1:$I$89,3,0)*0.475*44/12</f>
        <v>2.1692176583345515E-7</v>
      </c>
      <c r="BS134" s="22">
        <f t="shared" si="117"/>
        <v>91.379820887688567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-5.1727511163335289E-14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341.60063595566282</v>
      </c>
      <c r="CE134" s="59">
        <f t="shared" si="148"/>
        <v>317.05609766344219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67.131604711103478</v>
      </c>
      <c r="CL134" s="21">
        <f>EXP(-LN(2)/25)*CL133+(1-EXP(-LN(2)/25))/(LN(2)/25)*Calculateur!CG134*Calculateur!CI134*VLOOKUP('Données projet'!$B$12,Paramètres!$A$1:$I$89,3,0)*0.475*44/12</f>
        <v>8.902457652056361</v>
      </c>
      <c r="CM134" s="21">
        <f>EXP(-LN(2)/2)*CM133+(1-EXP(-LN(2)/2))/(LN(2)/2)*CG134*CJ134*VLOOKUP('Données projet'!$B$12,Paramètres!$A$1:$I$89,3,0)*0.475*44/12</f>
        <v>1.8332584507392832E-8</v>
      </c>
      <c r="CN134" s="22">
        <f t="shared" si="120"/>
        <v>76.034062381492419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8.5265128291212022E-14</v>
      </c>
      <c r="CU134" s="17">
        <f>CT134*VLOOKUP('Données projet'!$B$13,Paramètres!$A$1:$I$89,3,0)*VLOOKUP('Données projet'!$B$13,Paramètres!$A$1:$I$89,5,0)</f>
        <v>8.9119112089974823E-14</v>
      </c>
      <c r="CV134" s="13">
        <f t="shared" si="149"/>
        <v>1.3568952080113142E-12</v>
      </c>
      <c r="CW134" s="20">
        <f t="shared" si="121"/>
        <v>2.5184749408430782E-12</v>
      </c>
      <c r="CX134" s="59">
        <f t="shared" si="122"/>
        <v>284.07375224310823</v>
      </c>
      <c r="CY134" s="59">
        <f ca="1">AVERAGE(OFFSET($CX$3,0,0,'Données projet'!$E$13+1,1))-AVERAGE(OFFSET($H$3,0,0,'Données projet'!$E$13+1,1))</f>
        <v>287.73449456153207</v>
      </c>
      <c r="CZ134" s="59">
        <f t="shared" si="150"/>
        <v>296.74833899433281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35.609363098174263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35.609363098174263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6.7133333333333338</v>
      </c>
      <c r="DO134" s="12">
        <f>IF('Données projet'!$A$166&gt;35,DO133+DN134-DW133,IF(A134&lt;'Données projet'!$A$166,$DL$205^A134,IF(A134='Données projet'!$A$166,'Données projet'!$B$166,DO133+DN134-DW133)))</f>
        <v>332.82000000000011</v>
      </c>
      <c r="DP134" s="17">
        <f>DO134*VLOOKUP('Données projet'!$B$14,Paramètres!$A$1:$I$89,3,0)*VLOOKUP('Données projet'!$B$14,Paramètres!$A$1:$I$89,5,0)</f>
        <v>337.47948000000014</v>
      </c>
      <c r="DQ134" s="13">
        <f t="shared" si="151"/>
        <v>78.9789657273773</v>
      </c>
      <c r="DR134" s="20">
        <f t="shared" si="124"/>
        <v>725.33179297518234</v>
      </c>
      <c r="DS134" s="59">
        <f t="shared" si="125"/>
        <v>1009.4055452182881</v>
      </c>
      <c r="DT134" s="59">
        <f ca="1">AVERAGE(OFFSET($DS$3,0,0,'Données projet'!$E$14+1,1))-AVERAGE(OFFSET($H$3,0,0,'Données projet'!$E$14+1,1))</f>
        <v>532.34688562681413</v>
      </c>
      <c r="DU134" s="59">
        <f t="shared" si="152"/>
        <v>345.42627129678556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58.960637927723269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58.960637927723269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-5.1431925385259088E-14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256.20286603823035</v>
      </c>
      <c r="EP134" s="59">
        <f t="shared" si="154"/>
        <v>364.83827155069434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9.1683771762038546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9.1683771762038546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6.7133333333333338</v>
      </c>
      <c r="FE134" s="12">
        <f>IF('Données projet'!$A$218&gt;35,FE133+FD134-FM133,IF(A134&lt;'Données projet'!$A$218,$FB$205^A134,IF(A134='Données projet'!$A$218,'Données projet'!$B$218,FE133+FD134-FM133)))</f>
        <v>332.82000000000011</v>
      </c>
      <c r="FF134" s="17">
        <f>FE134*VLOOKUP('Données projet'!$B$16,Paramètres!$A$1:$I$89,3,0)*VLOOKUP('Données projet'!$B$16,Paramètres!$A$1:$I$89,5,0)</f>
        <v>223.25565600000007</v>
      </c>
      <c r="FG134" s="13">
        <f t="shared" si="155"/>
        <v>54.821880362160378</v>
      </c>
      <c r="FH134" s="20">
        <f t="shared" si="130"/>
        <v>484.31837583076282</v>
      </c>
      <c r="FI134" s="59">
        <f t="shared" si="131"/>
        <v>768.39212807386855</v>
      </c>
      <c r="FJ134" s="59">
        <f ca="1">AVERAGE(OFFSET($FI$3,0,0,'Données projet'!$E$16+1,1))-AVERAGE(OFFSET($H$3,0,0,'Données projet'!$E$16+1,1))</f>
        <v>380.73695370216979</v>
      </c>
      <c r="FK134" s="59">
        <f t="shared" si="156"/>
        <v>249.34467160415713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48.075597079528201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48.075597079528201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6.7133333333333338</v>
      </c>
      <c r="FZ134" s="12">
        <f>IF('Données projet'!$A$244&gt;35,FZ133+FY134-GH133,IF(A134&lt;'Données projet'!$A$244,$FW$205^A134,IF(A134='Données projet'!$A$244,'Données projet'!$B$244,FZ133+FY134-GH133)))</f>
        <v>332.82000000000011</v>
      </c>
      <c r="GA134" s="17">
        <f>FZ134*VLOOKUP('Données projet'!$B$17,Paramètres!$A$1:$I$89,3,0)*VLOOKUP('Données projet'!$B$17,Paramètres!$A$1:$I$89,5,0)</f>
        <v>321.90350400000011</v>
      </c>
      <c r="GB134" s="13">
        <f t="shared" si="157"/>
        <v>75.74927787532404</v>
      </c>
      <c r="GC134" s="20">
        <f t="shared" si="133"/>
        <v>692.57859509952289</v>
      </c>
      <c r="GD134" s="59">
        <f t="shared" si="134"/>
        <v>976.65234734262867</v>
      </c>
      <c r="GE134" s="59">
        <f ca="1">AVERAGE(OFFSET($GD$3,0,0,'Données projet'!$E$17+1,1))-AVERAGE(OFFSET($H$3,0,0,'Données projet'!$E$17+1,1))</f>
        <v>511.7458522930001</v>
      </c>
      <c r="GF134" s="59">
        <f t="shared" si="158"/>
        <v>332.37317679966122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56.239377715674486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56.239377715674486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-1.7053025658242404E-13</v>
      </c>
      <c r="GV134" s="17">
        <f>GU134*VLOOKUP('Données projet'!$B$18,Paramètres!$A$1:$I$89,3,0)*VLOOKUP('Données projet'!$B$18,Paramètres!$A$1:$I$89,5,0)</f>
        <v>-1.4897523215040567E-13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348.77506423101278</v>
      </c>
      <c r="HA134" s="59">
        <f t="shared" si="160"/>
        <v>336.13747591329548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48.658365444847021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48.658365444847021</v>
      </c>
    </row>
    <row r="135" spans="1:218" x14ac:dyDescent="0.2">
      <c r="A135" s="10">
        <f t="shared" si="139"/>
        <v>132</v>
      </c>
      <c r="B135" s="71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5">
        <f t="shared" si="110"/>
        <v>183.33333333333334</v>
      </c>
      <c r="I135" s="6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-2.1282176021486519E-13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387.50901594883317</v>
      </c>
      <c r="T135" s="59">
        <f t="shared" si="142"/>
        <v>361.3623790401972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130.12521001736974</v>
      </c>
      <c r="AA135" s="21">
        <f>EXP(-LN(2)/25)*AA134+(1-EXP(-LN(2)/25))/(LN(2)/25)*Calculateur!V135*Calculateur!X135*VLOOKUP('Données projet'!$B$9,Paramètres!$A$1:$I$89,3,0)*0.475*44/12</f>
        <v>17.542309226278221</v>
      </c>
      <c r="AB135" s="21">
        <f>EXP(-LN(2)/2)*AB134+(1-EXP(-LN(2)/2))/(LN(2)/2)*V135*Y135*VLOOKUP('Données projet'!$B$9,Paramètres!$A$1:$I$89,3,0)*0.475*44/12</f>
        <v>1.5035825868127733E-3</v>
      </c>
      <c r="AC135" s="22">
        <f t="shared" si="111"/>
        <v>147.66902282623479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373.47758082856359</v>
      </c>
      <c r="AO135" s="59">
        <f t="shared" si="144"/>
        <v>277.24895424120166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68.620614683085222</v>
      </c>
      <c r="AV135" s="21">
        <f>EXP(-LN(2)/25)*AV134+(1-EXP(-LN(2)/25))/(LN(2)/25)*Calculateur!AQ135*Calculateur!AS135*VLOOKUP('Données projet'!$B$10,Paramètres!$A$1:$I$89,3,0)*0.475*44/12</f>
        <v>8.5038400959313396</v>
      </c>
      <c r="AW135" s="21">
        <f>EXP(-LN(2)/2)*AW134+(1-EXP(-LN(2)/2))/(LN(2)/2)*AQ135*AT135*VLOOKUP('Données projet'!$B$10,Paramètres!$A$1:$I$89,3,0)*0.475*44/12</f>
        <v>4.7508489525931534E-7</v>
      </c>
      <c r="AX135" s="21">
        <f t="shared" si="114"/>
        <v>77.124455254101449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-6.8212102632969618E-13</v>
      </c>
      <c r="BE135" s="13">
        <f>BD135*VLOOKUP('Données projet'!$B$11,Paramètres!$A$1:$I$89,3,0)*VLOOKUP('Données projet'!$B$11,Paramètres!$A$1:$I$89,5,0)</f>
        <v>-4.0790837374515837E-13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460.88622650237176</v>
      </c>
      <c r="BJ135" s="59">
        <f t="shared" si="146"/>
        <v>396.05161661639647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80.190853697038989</v>
      </c>
      <c r="BQ135" s="21">
        <f>EXP(-LN(2)/25)*BQ134+(1-EXP(-LN(2)/25))/(LN(2)/25)*Calculateur!BL135*Calculateur!BN135*VLOOKUP('Données projet'!$B$11,Paramètres!$A$1:$I$89,3,0)*0.475*44/12</f>
        <v>9.3229179400323208</v>
      </c>
      <c r="BR135" s="21">
        <f>EXP(-LN(2)/2)*BR134+(1-EXP(-LN(2)/2))/(LN(2)/2)*BL135*BO135*VLOOKUP('Données projet'!$B$11,Paramètres!$A$1:$I$89,3,0)*0.475*44/12</f>
        <v>1.5338685160779647E-7</v>
      </c>
      <c r="BS135" s="22">
        <f t="shared" si="117"/>
        <v>89.513771790458165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-5.1727511163335289E-14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341.60063595566282</v>
      </c>
      <c r="CE135" s="59">
        <f t="shared" si="148"/>
        <v>317.05609766344219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65.815194888954508</v>
      </c>
      <c r="CL135" s="21">
        <f>EXP(-LN(2)/25)*CL134+(1-EXP(-LN(2)/25))/(LN(2)/25)*Calculateur!CG135*Calculateur!CI135*VLOOKUP('Données projet'!$B$12,Paramètres!$A$1:$I$89,3,0)*0.475*44/12</f>
        <v>8.6590194794009783</v>
      </c>
      <c r="CM135" s="21">
        <f>EXP(-LN(2)/2)*CM134+(1-EXP(-LN(2)/2))/(LN(2)/2)*CG135*CJ135*VLOOKUP('Données projet'!$B$12,Paramètres!$A$1:$I$89,3,0)*0.475*44/12</f>
        <v>1.2963094821852914E-8</v>
      </c>
      <c r="CN135" s="22">
        <f t="shared" si="120"/>
        <v>74.474214381318589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8.5265128291212022E-14</v>
      </c>
      <c r="CU135" s="17">
        <f>CT135*VLOOKUP('Données projet'!$B$13,Paramètres!$A$1:$I$89,3,0)*VLOOKUP('Données projet'!$B$13,Paramètres!$A$1:$I$89,5,0)</f>
        <v>8.9119112089974823E-14</v>
      </c>
      <c r="CV135" s="13">
        <f t="shared" si="149"/>
        <v>1.3568952080113142E-12</v>
      </c>
      <c r="CW135" s="20">
        <f t="shared" si="121"/>
        <v>2.5184749408430782E-12</v>
      </c>
      <c r="CX135" s="59">
        <f t="shared" si="122"/>
        <v>284.23438527370166</v>
      </c>
      <c r="CY135" s="59">
        <f ca="1">AVERAGE(OFFSET($CX$3,0,0,'Données projet'!$E$13+1,1))-AVERAGE(OFFSET($H$3,0,0,'Données projet'!$E$13+1,1))</f>
        <v>287.73449456153207</v>
      </c>
      <c r="CZ135" s="59">
        <f t="shared" si="150"/>
        <v>296.74833899433281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34.911085207385923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34.911085207385923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6.7133333333333338</v>
      </c>
      <c r="DO135" s="12">
        <f>IF('Données projet'!$A$166&gt;35,DO134+DN135-DW134,IF(A135&lt;'Données projet'!$A$166,$DL$205^A135,IF(A135='Données projet'!$A$166,'Données projet'!$B$166,DO134+DN135-DW134)))</f>
        <v>339.53333333333342</v>
      </c>
      <c r="DP135" s="17">
        <f>DO135*VLOOKUP('Données projet'!$B$14,Paramètres!$A$1:$I$89,3,0)*VLOOKUP('Données projet'!$B$14,Paramètres!$A$1:$I$89,5,0)</f>
        <v>344.28680000000008</v>
      </c>
      <c r="DQ135" s="13">
        <f t="shared" si="151"/>
        <v>80.384979560807835</v>
      </c>
      <c r="DR135" s="20">
        <f t="shared" si="124"/>
        <v>739.6366827350738</v>
      </c>
      <c r="DS135" s="59">
        <f t="shared" si="125"/>
        <v>1023.8710680087729</v>
      </c>
      <c r="DT135" s="59">
        <f ca="1">AVERAGE(OFFSET($DS$3,0,0,'Données projet'!$E$14+1,1))-AVERAGE(OFFSET($H$3,0,0,'Données projet'!$E$14+1,1))</f>
        <v>532.34688562681413</v>
      </c>
      <c r="DU135" s="59">
        <f t="shared" si="152"/>
        <v>345.42627129678556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57.804455780398754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57.804455780398754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-5.1431925385259088E-14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256.20286603823035</v>
      </c>
      <c r="EP135" s="59">
        <f t="shared" si="154"/>
        <v>364.83827155069434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8.9885908919363953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8.9885908919363953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6.7133333333333338</v>
      </c>
      <c r="FE135" s="12">
        <f>IF('Données projet'!$A$218&gt;35,FE134+FD135-FM134,IF(A135&lt;'Données projet'!$A$218,$FB$205^A135,IF(A135='Données projet'!$A$218,'Données projet'!$B$218,FE134+FD135-FM134)))</f>
        <v>339.53333333333342</v>
      </c>
      <c r="FF135" s="17">
        <f>FE135*VLOOKUP('Données projet'!$B$16,Paramètres!$A$1:$I$89,3,0)*VLOOKUP('Données projet'!$B$16,Paramètres!$A$1:$I$89,5,0)</f>
        <v>227.75896000000006</v>
      </c>
      <c r="FG135" s="13">
        <f t="shared" si="155"/>
        <v>55.797840498558422</v>
      </c>
      <c r="FH135" s="20">
        <f t="shared" si="130"/>
        <v>493.86142753498933</v>
      </c>
      <c r="FI135" s="59">
        <f t="shared" si="131"/>
        <v>778.09581280868849</v>
      </c>
      <c r="FJ135" s="59">
        <f ca="1">AVERAGE(OFFSET($FI$3,0,0,'Données projet'!$E$16+1,1))-AVERAGE(OFFSET($H$3,0,0,'Données projet'!$E$16+1,1))</f>
        <v>380.73695370216979</v>
      </c>
      <c r="FK135" s="59">
        <f t="shared" si="156"/>
        <v>249.34467160415713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47.132863944017444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47.132863944017444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6.7133333333333338</v>
      </c>
      <c r="FZ135" s="12">
        <f>IF('Données projet'!$A$244&gt;35,FZ134+FY135-GH134,IF(A135&lt;'Données projet'!$A$244,$FW$205^A135,IF(A135='Données projet'!$A$244,'Données projet'!$B$244,FZ134+FY135-GH134)))</f>
        <v>339.53333333333342</v>
      </c>
      <c r="GA135" s="17">
        <f>FZ135*VLOOKUP('Données projet'!$B$17,Paramètres!$A$1:$I$89,3,0)*VLOOKUP('Données projet'!$B$17,Paramètres!$A$1:$I$89,5,0)</f>
        <v>328.39664000000005</v>
      </c>
      <c r="GB135" s="13">
        <f t="shared" si="157"/>
        <v>77.0977955671448</v>
      </c>
      <c r="GC135" s="20">
        <f t="shared" si="133"/>
        <v>706.23614194611048</v>
      </c>
      <c r="GD135" s="59">
        <f t="shared" si="134"/>
        <v>990.47052721980958</v>
      </c>
      <c r="GE135" s="59">
        <f ca="1">AVERAGE(OFFSET($GD$3,0,0,'Données projet'!$E$17+1,1))-AVERAGE(OFFSET($H$3,0,0,'Données projet'!$E$17+1,1))</f>
        <v>511.7458522930001</v>
      </c>
      <c r="GF135" s="59">
        <f t="shared" si="158"/>
        <v>332.37317679966122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55.136557821303413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55.136557821303413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-1.7053025658242404E-13</v>
      </c>
      <c r="GV135" s="17">
        <f>GU135*VLOOKUP('Données projet'!$B$18,Paramètres!$A$1:$I$89,3,0)*VLOOKUP('Données projet'!$B$18,Paramètres!$A$1:$I$89,5,0)</f>
        <v>-1.4897523215040567E-13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348.77506423101278</v>
      </c>
      <c r="HA135" s="59">
        <f t="shared" si="160"/>
        <v>336.13747591329548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47.704204577145966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47.704204577145966</v>
      </c>
    </row>
    <row r="136" spans="1:218" x14ac:dyDescent="0.2">
      <c r="A136" s="10">
        <f t="shared" si="139"/>
        <v>133</v>
      </c>
      <c r="B136" s="71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5">
        <f t="shared" si="110"/>
        <v>183.33333333333334</v>
      </c>
      <c r="I136" s="6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-2.1282176021486519E-13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387.50901594883317</v>
      </c>
      <c r="T136" s="59">
        <f t="shared" si="142"/>
        <v>361.3623790401972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127.57353401747024</v>
      </c>
      <c r="AA136" s="21">
        <f>EXP(-LN(2)/25)*AA135+(1-EXP(-LN(2)/25))/(LN(2)/25)*Calculateur!V136*Calculateur!X136*VLOOKUP('Données projet'!$B$9,Paramètres!$A$1:$I$89,3,0)*0.475*44/12</f>
        <v>17.062613857975695</v>
      </c>
      <c r="AB136" s="21">
        <f>EXP(-LN(2)/2)*AB135+(1-EXP(-LN(2)/2))/(LN(2)/2)*V136*Y136*VLOOKUP('Données projet'!$B$9,Paramètres!$A$1:$I$89,3,0)*0.475*44/12</f>
        <v>1.0631934432093228E-3</v>
      </c>
      <c r="AC136" s="22">
        <f t="shared" si="111"/>
        <v>144.63721106888914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373.47758082856359</v>
      </c>
      <c r="AO136" s="59">
        <f t="shared" si="144"/>
        <v>277.24895424120166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67.275006283592091</v>
      </c>
      <c r="AV136" s="21">
        <f>EXP(-LN(2)/25)*AV135+(1-EXP(-LN(2)/25))/(LN(2)/25)*Calculateur!AQ136*Calculateur!AS136*VLOOKUP('Données projet'!$B$10,Paramètres!$A$1:$I$89,3,0)*0.475*44/12</f>
        <v>8.2713021413105814</v>
      </c>
      <c r="AW136" s="21">
        <f>EXP(-LN(2)/2)*AW135+(1-EXP(-LN(2)/2))/(LN(2)/2)*AQ136*AT136*VLOOKUP('Données projet'!$B$10,Paramètres!$A$1:$I$89,3,0)*0.475*44/12</f>
        <v>3.3593575107716255E-7</v>
      </c>
      <c r="AX136" s="21">
        <f t="shared" si="114"/>
        <v>75.546308760838428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-6.8212102632969618E-13</v>
      </c>
      <c r="BE136" s="13">
        <f>BD136*VLOOKUP('Données projet'!$B$11,Paramètres!$A$1:$I$89,3,0)*VLOOKUP('Données projet'!$B$11,Paramètres!$A$1:$I$89,5,0)</f>
        <v>-4.0790837374515837E-13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460.88622650237176</v>
      </c>
      <c r="BJ136" s="59">
        <f t="shared" si="146"/>
        <v>396.05161661639647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78.618359967631193</v>
      </c>
      <c r="BQ136" s="21">
        <f>EXP(-LN(2)/25)*BQ135+(1-EXP(-LN(2)/25))/(LN(2)/25)*Calculateur!BL136*Calculateur!BN136*VLOOKUP('Données projet'!$B$11,Paramètres!$A$1:$I$89,3,0)*0.475*44/12</f>
        <v>9.06798225869119</v>
      </c>
      <c r="BR136" s="21">
        <f>EXP(-LN(2)/2)*BR135+(1-EXP(-LN(2)/2))/(LN(2)/2)*BL136*BO136*VLOOKUP('Données projet'!$B$11,Paramètres!$A$1:$I$89,3,0)*0.475*44/12</f>
        <v>1.0846088291672758E-7</v>
      </c>
      <c r="BS136" s="22">
        <f t="shared" si="117"/>
        <v>87.686342334783262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-5.1727511163335289E-14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341.60063595566282</v>
      </c>
      <c r="CE136" s="59">
        <f t="shared" si="148"/>
        <v>317.05609766344219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64.524599060487176</v>
      </c>
      <c r="CL136" s="21">
        <f>EXP(-LN(2)/25)*CL135+(1-EXP(-LN(2)/25))/(LN(2)/25)*Calculateur!CG136*Calculateur!CI136*VLOOKUP('Données projet'!$B$12,Paramètres!$A$1:$I$89,3,0)*0.475*44/12</f>
        <v>8.4222381363787147</v>
      </c>
      <c r="CM136" s="21">
        <f>EXP(-LN(2)/2)*CM135+(1-EXP(-LN(2)/2))/(LN(2)/2)*CG136*CJ136*VLOOKUP('Données projet'!$B$12,Paramètres!$A$1:$I$89,3,0)*0.475*44/12</f>
        <v>9.1662922536964159E-9</v>
      </c>
      <c r="CN136" s="22">
        <f t="shared" si="120"/>
        <v>72.946837206032171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8.5265128291212022E-14</v>
      </c>
      <c r="CU136" s="17">
        <f>CT136*VLOOKUP('Données projet'!$B$13,Paramètres!$A$1:$I$89,3,0)*VLOOKUP('Données projet'!$B$13,Paramètres!$A$1:$I$89,5,0)</f>
        <v>8.9119112089974823E-14</v>
      </c>
      <c r="CV136" s="13">
        <f t="shared" si="149"/>
        <v>1.3568952080113142E-12</v>
      </c>
      <c r="CW136" s="20">
        <f t="shared" si="121"/>
        <v>2.5184749408430782E-12</v>
      </c>
      <c r="CX136" s="59">
        <f t="shared" si="122"/>
        <v>284.3922316803359</v>
      </c>
      <c r="CY136" s="59">
        <f ca="1">AVERAGE(OFFSET($CX$3,0,0,'Données projet'!$E$13+1,1))-AVERAGE(OFFSET($H$3,0,0,'Données projet'!$E$13+1,1))</f>
        <v>287.73449456153207</v>
      </c>
      <c r="CZ136" s="59">
        <f t="shared" si="150"/>
        <v>296.74833899433281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34.226500120128485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34.226500120128485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6.7133333333333338</v>
      </c>
      <c r="DO136" s="12">
        <f>IF('Données projet'!$A$166&gt;35,DO135+DN136-DW135,IF(A136&lt;'Données projet'!$A$166,$DL$205^A136,IF(A136='Données projet'!$A$166,'Données projet'!$B$166,DO135+DN136-DW135)))</f>
        <v>346.24666666666673</v>
      </c>
      <c r="DP136" s="17">
        <f>DO136*VLOOKUP('Données projet'!$B$14,Paramètres!$A$1:$I$89,3,0)*VLOOKUP('Données projet'!$B$14,Paramètres!$A$1:$I$89,5,0)</f>
        <v>351.09412000000009</v>
      </c>
      <c r="DQ136" s="13">
        <f t="shared" si="151"/>
        <v>81.78776096805548</v>
      </c>
      <c r="DR136" s="20">
        <f t="shared" si="124"/>
        <v>753.9359426860301</v>
      </c>
      <c r="DS136" s="59">
        <f t="shared" si="125"/>
        <v>1038.3281743663636</v>
      </c>
      <c r="DT136" s="59">
        <f ca="1">AVERAGE(OFFSET($DS$3,0,0,'Données projet'!$E$14+1,1))-AVERAGE(OFFSET($H$3,0,0,'Données projet'!$E$14+1,1))</f>
        <v>532.34688562681413</v>
      </c>
      <c r="DU136" s="59">
        <f t="shared" si="152"/>
        <v>345.42627129678556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56.6709456597818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56.6709456597818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-5.1431925385259088E-14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256.20286603823035</v>
      </c>
      <c r="EP136" s="59">
        <f t="shared" si="154"/>
        <v>364.83827155069434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8.8123301070446143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8.8123301070446143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6.7133333333333338</v>
      </c>
      <c r="FE136" s="12">
        <f>IF('Données projet'!$A$218&gt;35,FE135+FD136-FM135,IF(A136&lt;'Données projet'!$A$218,$FB$205^A136,IF(A136='Données projet'!$A$218,'Données projet'!$B$218,FE135+FD136-FM135)))</f>
        <v>346.24666666666673</v>
      </c>
      <c r="FF136" s="17">
        <f>FE136*VLOOKUP('Données projet'!$B$16,Paramètres!$A$1:$I$89,3,0)*VLOOKUP('Données projet'!$B$16,Paramètres!$A$1:$I$89,5,0)</f>
        <v>232.26226400000004</v>
      </c>
      <c r="FG136" s="13">
        <f t="shared" si="155"/>
        <v>56.771556902339277</v>
      </c>
      <c r="FH136" s="20">
        <f t="shared" si="130"/>
        <v>503.40057140490757</v>
      </c>
      <c r="FI136" s="59">
        <f t="shared" si="131"/>
        <v>787.79280308524096</v>
      </c>
      <c r="FJ136" s="59">
        <f ca="1">AVERAGE(OFFSET($FI$3,0,0,'Données projet'!$E$16+1,1))-AVERAGE(OFFSET($H$3,0,0,'Données projet'!$E$16+1,1))</f>
        <v>380.73695370216979</v>
      </c>
      <c r="FK136" s="59">
        <f t="shared" si="156"/>
        <v>249.34467160415713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46.208617230283615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46.208617230283615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6.7133333333333338</v>
      </c>
      <c r="FZ136" s="12">
        <f>IF('Données projet'!$A$244&gt;35,FZ135+FY136-GH135,IF(A136&lt;'Données projet'!$A$244,$FW$205^A136,IF(A136='Données projet'!$A$244,'Données projet'!$B$244,FZ135+FY136-GH135)))</f>
        <v>346.24666666666673</v>
      </c>
      <c r="GA136" s="17">
        <f>FZ136*VLOOKUP('Données projet'!$B$17,Paramètres!$A$1:$I$89,3,0)*VLOOKUP('Données projet'!$B$17,Paramètres!$A$1:$I$89,5,0)</f>
        <v>334.88977600000004</v>
      </c>
      <c r="GB136" s="13">
        <f t="shared" si="157"/>
        <v>78.443213016427904</v>
      </c>
      <c r="GC136" s="20">
        <f t="shared" si="133"/>
        <v>719.88828920361209</v>
      </c>
      <c r="GD136" s="59">
        <f t="shared" si="134"/>
        <v>1004.2805208839454</v>
      </c>
      <c r="GE136" s="59">
        <f ca="1">AVERAGE(OFFSET($GD$3,0,0,'Données projet'!$E$17+1,1))-AVERAGE(OFFSET($H$3,0,0,'Données projet'!$E$17+1,1))</f>
        <v>511.7458522930001</v>
      </c>
      <c r="GF136" s="59">
        <f t="shared" si="158"/>
        <v>332.37317679966122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54.055363552407236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54.055363552407236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-1.7053025658242404E-13</v>
      </c>
      <c r="GV136" s="17">
        <f>GU136*VLOOKUP('Données projet'!$B$18,Paramètres!$A$1:$I$89,3,0)*VLOOKUP('Données projet'!$B$18,Paramètres!$A$1:$I$89,5,0)</f>
        <v>-1.4897523215040567E-13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348.77506423101278</v>
      </c>
      <c r="HA136" s="59">
        <f t="shared" si="160"/>
        <v>336.13747591329548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46.768754222079863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46.768754222079863</v>
      </c>
    </row>
    <row r="137" spans="1:218" x14ac:dyDescent="0.2">
      <c r="A137" s="10">
        <f t="shared" si="139"/>
        <v>134</v>
      </c>
      <c r="B137" s="71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5">
        <f t="shared" si="110"/>
        <v>183.33333333333334</v>
      </c>
      <c r="I137" s="6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-2.1282176021486519E-13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387.50901594883317</v>
      </c>
      <c r="T137" s="59">
        <f t="shared" si="142"/>
        <v>361.3623790401972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125.07189482756009</v>
      </c>
      <c r="AA137" s="21">
        <f>EXP(-LN(2)/25)*AA136+(1-EXP(-LN(2)/25))/(LN(2)/25)*Calculateur!V137*Calculateur!X137*VLOOKUP('Données projet'!$B$9,Paramètres!$A$1:$I$89,3,0)*0.475*44/12</f>
        <v>16.596035784745485</v>
      </c>
      <c r="AB137" s="21">
        <f>EXP(-LN(2)/2)*AB136+(1-EXP(-LN(2)/2))/(LN(2)/2)*V137*Y137*VLOOKUP('Données projet'!$B$9,Paramètres!$A$1:$I$89,3,0)*0.475*44/12</f>
        <v>7.5179129340638667E-4</v>
      </c>
      <c r="AC137" s="22">
        <f t="shared" si="111"/>
        <v>141.66868240359898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373.47758082856359</v>
      </c>
      <c r="AO137" s="59">
        <f t="shared" si="144"/>
        <v>277.24895424120166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65.955784444072947</v>
      </c>
      <c r="AV137" s="21">
        <f>EXP(-LN(2)/25)*AV136+(1-EXP(-LN(2)/25))/(LN(2)/25)*Calculateur!AQ137*Calculateur!AS137*VLOOKUP('Données projet'!$B$10,Paramètres!$A$1:$I$89,3,0)*0.475*44/12</f>
        <v>8.0451229492875687</v>
      </c>
      <c r="AW137" s="21">
        <f>EXP(-LN(2)/2)*AW136+(1-EXP(-LN(2)/2))/(LN(2)/2)*AQ137*AT137*VLOOKUP('Données projet'!$B$10,Paramètres!$A$1:$I$89,3,0)*0.475*44/12</f>
        <v>2.3754244762965769E-7</v>
      </c>
      <c r="AX137" s="21">
        <f t="shared" si="114"/>
        <v>74.000907630902972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-6.8212102632969618E-13</v>
      </c>
      <c r="BE137" s="13">
        <f>BD137*VLOOKUP('Données projet'!$B$11,Paramètres!$A$1:$I$89,3,0)*VLOOKUP('Données projet'!$B$11,Paramètres!$A$1:$I$89,5,0)</f>
        <v>-4.0790837374515837E-13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460.88622650237176</v>
      </c>
      <c r="BJ137" s="59">
        <f t="shared" si="146"/>
        <v>396.05161661639647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77.076701881130617</v>
      </c>
      <c r="BQ137" s="21">
        <f>EXP(-LN(2)/25)*BQ136+(1-EXP(-LN(2)/25))/(LN(2)/25)*Calculateur!BL137*Calculateur!BN137*VLOOKUP('Données projet'!$B$11,Paramètres!$A$1:$I$89,3,0)*0.475*44/12</f>
        <v>8.8200178069628183</v>
      </c>
      <c r="BR137" s="21">
        <f>EXP(-LN(2)/2)*BR136+(1-EXP(-LN(2)/2))/(LN(2)/2)*BL137*BO137*VLOOKUP('Données projet'!$B$11,Paramètres!$A$1:$I$89,3,0)*0.475*44/12</f>
        <v>7.6693425803898235E-8</v>
      </c>
      <c r="BS137" s="22">
        <f t="shared" si="117"/>
        <v>85.896719764786866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-5.1727511163335289E-14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341.60063595566282</v>
      </c>
      <c r="CE137" s="59">
        <f t="shared" si="148"/>
        <v>317.05609766344219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63.259311029030357</v>
      </c>
      <c r="CL137" s="21">
        <f>EXP(-LN(2)/25)*CL136+(1-EXP(-LN(2)/25))/(LN(2)/25)*Calculateur!CG137*Calculateur!CI137*VLOOKUP('Données projet'!$B$12,Paramètres!$A$1:$I$89,3,0)*0.475*44/12</f>
        <v>8.1919315916331836</v>
      </c>
      <c r="CM137" s="21">
        <f>EXP(-LN(2)/2)*CM136+(1-EXP(-LN(2)/2))/(LN(2)/2)*CG137*CJ137*VLOOKUP('Données projet'!$B$12,Paramètres!$A$1:$I$89,3,0)*0.475*44/12</f>
        <v>6.4815474109264572E-9</v>
      </c>
      <c r="CN137" s="22">
        <f t="shared" si="120"/>
        <v>71.451242627145078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8.5265128291212022E-14</v>
      </c>
      <c r="CU137" s="17">
        <f>CT137*VLOOKUP('Données projet'!$B$13,Paramètres!$A$1:$I$89,3,0)*VLOOKUP('Données projet'!$B$13,Paramètres!$A$1:$I$89,5,0)</f>
        <v>8.9119112089974823E-14</v>
      </c>
      <c r="CV137" s="13">
        <f t="shared" si="149"/>
        <v>1.3568952080113142E-12</v>
      </c>
      <c r="CW137" s="20">
        <f t="shared" si="121"/>
        <v>2.5184749408430782E-12</v>
      </c>
      <c r="CX137" s="59">
        <f t="shared" si="122"/>
        <v>284.54733980470678</v>
      </c>
      <c r="CY137" s="59">
        <f ca="1">AVERAGE(OFFSET($CX$3,0,0,'Données projet'!$E$13+1,1))-AVERAGE(OFFSET($H$3,0,0,'Données projet'!$E$13+1,1))</f>
        <v>287.73449456153207</v>
      </c>
      <c r="CZ137" s="59">
        <f t="shared" si="150"/>
        <v>296.74833899433281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33.555339328876492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33.555339328876492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6.7133333333333338</v>
      </c>
      <c r="DO137" s="12">
        <f>IF('Données projet'!$A$166&gt;35,DO136+DN137-DW136,IF(A137&lt;'Données projet'!$A$166,$DL$205^A137,IF(A137='Données projet'!$A$166,'Données projet'!$B$166,DO136+DN137-DW136)))</f>
        <v>352.96000000000004</v>
      </c>
      <c r="DP137" s="17">
        <f>DO137*VLOOKUP('Données projet'!$B$14,Paramètres!$A$1:$I$89,3,0)*VLOOKUP('Données projet'!$B$14,Paramètres!$A$1:$I$89,5,0)</f>
        <v>357.90144000000009</v>
      </c>
      <c r="DQ137" s="13">
        <f t="shared" si="151"/>
        <v>83.187379847318226</v>
      </c>
      <c r="DR137" s="20">
        <f t="shared" si="124"/>
        <v>768.22969456741259</v>
      </c>
      <c r="DS137" s="59">
        <f t="shared" si="125"/>
        <v>1052.7770343721168</v>
      </c>
      <c r="DT137" s="59">
        <f ca="1">AVERAGE(OFFSET($DS$3,0,0,'Données projet'!$E$14+1,1))-AVERAGE(OFFSET($H$3,0,0,'Données projet'!$E$14+1,1))</f>
        <v>532.34688562681413</v>
      </c>
      <c r="DU137" s="59">
        <f t="shared" si="152"/>
        <v>345.42627129678556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55.559662981257233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55.559662981257233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-5.1431925385259088E-14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256.20286603823035</v>
      </c>
      <c r="EP137" s="59">
        <f t="shared" si="154"/>
        <v>364.83827155069434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8.6395256886360983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8.6395256886360983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6.7133333333333338</v>
      </c>
      <c r="FE137" s="12">
        <f>IF('Données projet'!$A$218&gt;35,FE136+FD137-FM136,IF(A137&lt;'Données projet'!$A$218,$FB$205^A137,IF(A137='Données projet'!$A$218,'Données projet'!$B$218,FE136+FD137-FM136)))</f>
        <v>352.96000000000004</v>
      </c>
      <c r="FF137" s="17">
        <f>FE137*VLOOKUP('Données projet'!$B$16,Paramètres!$A$1:$I$89,3,0)*VLOOKUP('Données projet'!$B$16,Paramètres!$A$1:$I$89,5,0)</f>
        <v>236.76556800000003</v>
      </c>
      <c r="FG137" s="13">
        <f t="shared" si="155"/>
        <v>57.743078092125756</v>
      </c>
      <c r="FH137" s="20">
        <f t="shared" si="130"/>
        <v>512.93589194378569</v>
      </c>
      <c r="FI137" s="59">
        <f t="shared" si="131"/>
        <v>797.48323174848997</v>
      </c>
      <c r="FJ137" s="59">
        <f ca="1">AVERAGE(OFFSET($FI$3,0,0,'Données projet'!$E$16+1,1))-AVERAGE(OFFSET($H$3,0,0,'Données projet'!$E$16+1,1))</f>
        <v>380.73695370216979</v>
      </c>
      <c r="FK137" s="59">
        <f t="shared" si="156"/>
        <v>249.34467160415713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45.302494430871278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45.302494430871278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6.7133333333333338</v>
      </c>
      <c r="FZ137" s="12">
        <f>IF('Données projet'!$A$244&gt;35,FZ136+FY137-GH136,IF(A137&lt;'Données projet'!$A$244,$FW$205^A137,IF(A137='Données projet'!$A$244,'Données projet'!$B$244,FZ136+FY137-GH136)))</f>
        <v>352.96000000000004</v>
      </c>
      <c r="GA137" s="17">
        <f>FZ137*VLOOKUP('Données projet'!$B$17,Paramètres!$A$1:$I$89,3,0)*VLOOKUP('Données projet'!$B$17,Paramètres!$A$1:$I$89,5,0)</f>
        <v>341.38291200000003</v>
      </c>
      <c r="GB137" s="13">
        <f t="shared" si="157"/>
        <v>79.78559726302322</v>
      </c>
      <c r="GC137" s="20">
        <f t="shared" si="133"/>
        <v>733.53515363309873</v>
      </c>
      <c r="GD137" s="59">
        <f t="shared" si="134"/>
        <v>1018.082493437803</v>
      </c>
      <c r="GE137" s="59">
        <f ca="1">AVERAGE(OFFSET($GD$3,0,0,'Données projet'!$E$17+1,1))-AVERAGE(OFFSET($H$3,0,0,'Données projet'!$E$17+1,1))</f>
        <v>511.7458522930001</v>
      </c>
      <c r="GF137" s="59">
        <f t="shared" si="158"/>
        <v>332.37317679966122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52.99537084366073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52.99537084366073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-1.7053025658242404E-13</v>
      </c>
      <c r="GV137" s="17">
        <f>GU137*VLOOKUP('Données projet'!$B$18,Paramètres!$A$1:$I$89,3,0)*VLOOKUP('Données projet'!$B$18,Paramètres!$A$1:$I$89,5,0)</f>
        <v>-1.4897523215040567E-13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348.77506423101278</v>
      </c>
      <c r="HA137" s="59">
        <f t="shared" si="160"/>
        <v>336.13747591329548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45.85164747790823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45.85164747790823</v>
      </c>
    </row>
    <row r="138" spans="1:218" x14ac:dyDescent="0.2">
      <c r="A138" s="10">
        <f t="shared" si="139"/>
        <v>135</v>
      </c>
      <c r="B138" s="71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5">
        <f t="shared" si="110"/>
        <v>183.33333333333334</v>
      </c>
      <c r="I138" s="6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-2.1282176021486519E-13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387.50901594883317</v>
      </c>
      <c r="T138" s="59">
        <f t="shared" si="142"/>
        <v>361.3623790401972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122.61931125631483</v>
      </c>
      <c r="AA138" s="21">
        <f>EXP(-LN(2)/25)*AA137+(1-EXP(-LN(2)/25))/(LN(2)/25)*Calculateur!V138*Calculateur!X138*VLOOKUP('Données projet'!$B$9,Paramètres!$A$1:$I$89,3,0)*0.475*44/12</f>
        <v>16.142216313464029</v>
      </c>
      <c r="AB138" s="21">
        <f>EXP(-LN(2)/2)*AB137+(1-EXP(-LN(2)/2))/(LN(2)/2)*V138*Y138*VLOOKUP('Données projet'!$B$9,Paramètres!$A$1:$I$89,3,0)*0.475*44/12</f>
        <v>5.315967216046614E-4</v>
      </c>
      <c r="AC138" s="22">
        <f t="shared" si="111"/>
        <v>138.76205916650045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373.47758082856359</v>
      </c>
      <c r="AO138" s="59">
        <f t="shared" si="144"/>
        <v>277.24895424120166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64.662431740180892</v>
      </c>
      <c r="AV138" s="21">
        <f>EXP(-LN(2)/25)*AV137+(1-EXP(-LN(2)/25))/(LN(2)/25)*Calculateur!AQ138*Calculateur!AS138*VLOOKUP('Données projet'!$B$10,Paramètres!$A$1:$I$89,3,0)*0.475*44/12</f>
        <v>7.8251286391646717</v>
      </c>
      <c r="AW138" s="21">
        <f>EXP(-LN(2)/2)*AW137+(1-EXP(-LN(2)/2))/(LN(2)/2)*AQ138*AT138*VLOOKUP('Données projet'!$B$10,Paramètres!$A$1:$I$89,3,0)*0.475*44/12</f>
        <v>1.679678755385813E-7</v>
      </c>
      <c r="AX138" s="21">
        <f t="shared" si="114"/>
        <v>72.487560547313436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-6.8212102632969618E-13</v>
      </c>
      <c r="BE138" s="13">
        <f>BD138*VLOOKUP('Données projet'!$B$11,Paramètres!$A$1:$I$89,3,0)*VLOOKUP('Données projet'!$B$11,Paramètres!$A$1:$I$89,5,0)</f>
        <v>-4.0790837374515837E-13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460.88622650237176</v>
      </c>
      <c r="BJ138" s="59">
        <f t="shared" si="146"/>
        <v>396.05161661639647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75.565274769387727</v>
      </c>
      <c r="BQ138" s="21">
        <f>EXP(-LN(2)/25)*BQ137+(1-EXP(-LN(2)/25))/(LN(2)/25)*Calculateur!BL138*Calculateur!BN138*VLOOKUP('Données projet'!$B$11,Paramètres!$A$1:$I$89,3,0)*0.475*44/12</f>
        <v>8.5788339562068412</v>
      </c>
      <c r="BR138" s="21">
        <f>EXP(-LN(2)/2)*BR137+(1-EXP(-LN(2)/2))/(LN(2)/2)*BL138*BO138*VLOOKUP('Données projet'!$B$11,Paramètres!$A$1:$I$89,3,0)*0.475*44/12</f>
        <v>5.4230441458363788E-8</v>
      </c>
      <c r="BS138" s="22">
        <f t="shared" si="117"/>
        <v>84.144108779825004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-5.1727511163335289E-14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341.60063595566282</v>
      </c>
      <c r="CE138" s="59">
        <f t="shared" si="148"/>
        <v>317.05609766344219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62.018834524120912</v>
      </c>
      <c r="CL138" s="21">
        <f>EXP(-LN(2)/25)*CL137+(1-EXP(-LN(2)/25))/(LN(2)/25)*Calculateur!CG138*Calculateur!CI138*VLOOKUP('Données projet'!$B$12,Paramètres!$A$1:$I$89,3,0)*0.475*44/12</f>
        <v>7.967922791465015</v>
      </c>
      <c r="CM138" s="21">
        <f>EXP(-LN(2)/2)*CM137+(1-EXP(-LN(2)/2))/(LN(2)/2)*CG138*CJ138*VLOOKUP('Données projet'!$B$12,Paramètres!$A$1:$I$89,3,0)*0.475*44/12</f>
        <v>4.5831461268482079E-9</v>
      </c>
      <c r="CN138" s="22">
        <f t="shared" si="120"/>
        <v>69.986757320169076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8.5265128291212022E-14</v>
      </c>
      <c r="CU138" s="17">
        <f>CT138*VLOOKUP('Données projet'!$B$13,Paramètres!$A$1:$I$89,3,0)*VLOOKUP('Données projet'!$B$13,Paramètres!$A$1:$I$89,5,0)</f>
        <v>8.9119112089974823E-14</v>
      </c>
      <c r="CV138" s="13">
        <f t="shared" si="149"/>
        <v>1.3568952080113142E-12</v>
      </c>
      <c r="CW138" s="20">
        <f t="shared" si="121"/>
        <v>2.5184749408430782E-12</v>
      </c>
      <c r="CX138" s="59">
        <f t="shared" si="122"/>
        <v>284.69975714988965</v>
      </c>
      <c r="CY138" s="59">
        <f ca="1">AVERAGE(OFFSET($CX$3,0,0,'Données projet'!$E$13+1,1))-AVERAGE(OFFSET($H$3,0,0,'Données projet'!$E$13+1,1))</f>
        <v>287.73449456153207</v>
      </c>
      <c r="CZ138" s="59">
        <f t="shared" si="150"/>
        <v>296.74833899433281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32.897339591373296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32.897339591373296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6.7133333333333338</v>
      </c>
      <c r="DO138" s="12">
        <f>IF('Données projet'!$A$166&gt;35,DO137+DN138-DW137,IF(A138&lt;'Données projet'!$A$166,$DL$205^A138,IF(A138='Données projet'!$A$166,'Données projet'!$B$166,DO137+DN138-DW137)))</f>
        <v>359.67333333333335</v>
      </c>
      <c r="DP138" s="17">
        <f>DO138*VLOOKUP('Données projet'!$B$14,Paramètres!$A$1:$I$89,3,0)*VLOOKUP('Données projet'!$B$14,Paramètres!$A$1:$I$89,5,0)</f>
        <v>364.70876000000004</v>
      </c>
      <c r="DQ138" s="13">
        <f t="shared" si="151"/>
        <v>84.583903285707422</v>
      </c>
      <c r="DR138" s="20">
        <f t="shared" si="124"/>
        <v>782.51805522260713</v>
      </c>
      <c r="DS138" s="59">
        <f t="shared" si="125"/>
        <v>1067.2178123724943</v>
      </c>
      <c r="DT138" s="59">
        <f ca="1">AVERAGE(OFFSET($DS$3,0,0,'Données projet'!$E$14+1,1))-AVERAGE(OFFSET($H$3,0,0,'Données projet'!$E$14+1,1))</f>
        <v>532.34688562681413</v>
      </c>
      <c r="DU138" s="59">
        <f t="shared" si="152"/>
        <v>345.42627129678556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54.470171878243029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54.470171878243029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-5.1431925385259088E-14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256.20286603823035</v>
      </c>
      <c r="EP138" s="59">
        <f t="shared" si="154"/>
        <v>364.83827155069434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8.4701098594722861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8.4701098594722861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6.7133333333333338</v>
      </c>
      <c r="FE138" s="12">
        <f>IF('Données projet'!$A$218&gt;35,FE137+FD138-FM137,IF(A138&lt;'Données projet'!$A$218,$FB$205^A138,IF(A138='Données projet'!$A$218,'Données projet'!$B$218,FE137+FD138-FM137)))</f>
        <v>359.67333333333335</v>
      </c>
      <c r="FF138" s="17">
        <f>FE138*VLOOKUP('Données projet'!$B$16,Paramètres!$A$1:$I$89,3,0)*VLOOKUP('Données projet'!$B$16,Paramètres!$A$1:$I$89,5,0)</f>
        <v>241.26887200000002</v>
      </c>
      <c r="FG138" s="13">
        <f t="shared" si="155"/>
        <v>58.712450635273434</v>
      </c>
      <c r="FH138" s="20">
        <f t="shared" si="130"/>
        <v>522.46747025643447</v>
      </c>
      <c r="FI138" s="59">
        <f t="shared" si="131"/>
        <v>807.16722740632167</v>
      </c>
      <c r="FJ138" s="59">
        <f ca="1">AVERAGE(OFFSET($FI$3,0,0,'Données projet'!$E$16+1,1))-AVERAGE(OFFSET($H$3,0,0,'Données projet'!$E$16+1,1))</f>
        <v>380.73695370216979</v>
      </c>
      <c r="FK138" s="59">
        <f t="shared" si="156"/>
        <v>249.34467160415713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44.414140146875084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44.414140146875084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6.7133333333333338</v>
      </c>
      <c r="FZ138" s="12">
        <f>IF('Données projet'!$A$244&gt;35,FZ137+FY138-GH137,IF(A138&lt;'Données projet'!$A$244,$FW$205^A138,IF(A138='Données projet'!$A$244,'Données projet'!$B$244,FZ137+FY138-GH137)))</f>
        <v>359.67333333333335</v>
      </c>
      <c r="GA138" s="17">
        <f>FZ138*VLOOKUP('Données projet'!$B$17,Paramètres!$A$1:$I$89,3,0)*VLOOKUP('Données projet'!$B$17,Paramètres!$A$1:$I$89,5,0)</f>
        <v>347.87604800000003</v>
      </c>
      <c r="GB138" s="13">
        <f t="shared" si="157"/>
        <v>81.125012650648017</v>
      </c>
      <c r="GC138" s="20">
        <f t="shared" si="133"/>
        <v>747.17684729987866</v>
      </c>
      <c r="GD138" s="59">
        <f t="shared" si="134"/>
        <v>1031.8766044497659</v>
      </c>
      <c r="GE138" s="59">
        <f ca="1">AVERAGE(OFFSET($GD$3,0,0,'Données projet'!$E$17+1,1))-AVERAGE(OFFSET($H$3,0,0,'Données projet'!$E$17+1,1))</f>
        <v>511.7458522930001</v>
      </c>
      <c r="GF138" s="59">
        <f t="shared" si="158"/>
        <v>332.37317679966122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51.95616394540103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51.95616394540103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-1.7053025658242404E-13</v>
      </c>
      <c r="GV138" s="17">
        <f>GU138*VLOOKUP('Données projet'!$B$18,Paramètres!$A$1:$I$89,3,0)*VLOOKUP('Données projet'!$B$18,Paramètres!$A$1:$I$89,5,0)</f>
        <v>-1.4897523215040567E-13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348.77506423101278</v>
      </c>
      <c r="HA138" s="59">
        <f t="shared" si="160"/>
        <v>336.13747591329548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44.952524637609926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44.952524637609926</v>
      </c>
    </row>
    <row r="139" spans="1:218" x14ac:dyDescent="0.2">
      <c r="A139" s="10">
        <f t="shared" si="139"/>
        <v>136</v>
      </c>
      <c r="B139" s="71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5">
        <f t="shared" si="110"/>
        <v>183.33333333333334</v>
      </c>
      <c r="I139" s="6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-2.1282176021486519E-13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387.50901594883317</v>
      </c>
      <c r="T139" s="59">
        <f t="shared" si="142"/>
        <v>361.3623790401972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120.21482135297343</v>
      </c>
      <c r="AA139" s="21">
        <f>EXP(-LN(2)/25)*AA138+(1-EXP(-LN(2)/25))/(LN(2)/25)*Calculateur!V139*Calculateur!X139*VLOOKUP('Données projet'!$B$9,Paramètres!$A$1:$I$89,3,0)*0.475*44/12</f>
        <v>15.700806559490093</v>
      </c>
      <c r="AB139" s="21">
        <f>EXP(-LN(2)/2)*AB138+(1-EXP(-LN(2)/2))/(LN(2)/2)*V139*Y139*VLOOKUP('Données projet'!$B$9,Paramètres!$A$1:$I$89,3,0)*0.475*44/12</f>
        <v>3.7589564670319333E-4</v>
      </c>
      <c r="AC139" s="22">
        <f t="shared" si="111"/>
        <v>135.91600380811022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373.47758082856359</v>
      </c>
      <c r="AO139" s="59">
        <f t="shared" si="144"/>
        <v>277.24895424120166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63.39444089394491</v>
      </c>
      <c r="AV139" s="21">
        <f>EXP(-LN(2)/25)*AV138+(1-EXP(-LN(2)/25))/(LN(2)/25)*Calculateur!AQ139*Calculateur!AS139*VLOOKUP('Données projet'!$B$10,Paramètres!$A$1:$I$89,3,0)*0.475*44/12</f>
        <v>7.6111500850210829</v>
      </c>
      <c r="AW139" s="21">
        <f>EXP(-LN(2)/2)*AW138+(1-EXP(-LN(2)/2))/(LN(2)/2)*AQ139*AT139*VLOOKUP('Données projet'!$B$10,Paramètres!$A$1:$I$89,3,0)*0.475*44/12</f>
        <v>1.1877122381482886E-7</v>
      </c>
      <c r="AX139" s="21">
        <f t="shared" si="114"/>
        <v>71.005591097737224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-6.8212102632969618E-13</v>
      </c>
      <c r="BE139" s="13">
        <f>BD139*VLOOKUP('Données projet'!$B$11,Paramètres!$A$1:$I$89,3,0)*VLOOKUP('Données projet'!$B$11,Paramètres!$A$1:$I$89,5,0)</f>
        <v>-4.0790837374515837E-13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460.88622650237176</v>
      </c>
      <c r="BJ139" s="59">
        <f t="shared" si="146"/>
        <v>396.05161661639647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74.083485821426606</v>
      </c>
      <c r="BQ139" s="21">
        <f>EXP(-LN(2)/25)*BQ138+(1-EXP(-LN(2)/25))/(LN(2)/25)*Calculateur!BL139*Calculateur!BN139*VLOOKUP('Données projet'!$B$11,Paramètres!$A$1:$I$89,3,0)*0.475*44/12</f>
        <v>8.3442452905330953</v>
      </c>
      <c r="BR139" s="21">
        <f>EXP(-LN(2)/2)*BR138+(1-EXP(-LN(2)/2))/(LN(2)/2)*BL139*BO139*VLOOKUP('Données projet'!$B$11,Paramètres!$A$1:$I$89,3,0)*0.475*44/12</f>
        <v>3.8346712901949117E-8</v>
      </c>
      <c r="BS139" s="22">
        <f t="shared" si="117"/>
        <v>82.427731150306414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-5.1727511163335289E-14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341.60063595566282</v>
      </c>
      <c r="CE139" s="59">
        <f t="shared" si="148"/>
        <v>317.05609766344219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60.802683006856782</v>
      </c>
      <c r="CL139" s="21">
        <f>EXP(-LN(2)/25)*CL138+(1-EXP(-LN(2)/25))/(LN(2)/25)*Calculateur!CG139*Calculateur!CI139*VLOOKUP('Données projet'!$B$12,Paramètres!$A$1:$I$89,3,0)*0.475*44/12</f>
        <v>7.7500395237175557</v>
      </c>
      <c r="CM139" s="21">
        <f>EXP(-LN(2)/2)*CM138+(1-EXP(-LN(2)/2))/(LN(2)/2)*CG139*CJ139*VLOOKUP('Données projet'!$B$12,Paramètres!$A$1:$I$89,3,0)*0.475*44/12</f>
        <v>3.2407737054632286E-9</v>
      </c>
      <c r="CN139" s="22">
        <f t="shared" si="120"/>
        <v>68.552722533815114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8.5265128291212022E-14</v>
      </c>
      <c r="CU139" s="17">
        <f>CT139*VLOOKUP('Données projet'!$B$13,Paramètres!$A$1:$I$89,3,0)*VLOOKUP('Données projet'!$B$13,Paramètres!$A$1:$I$89,5,0)</f>
        <v>8.9119112089974823E-14</v>
      </c>
      <c r="CV139" s="13">
        <f t="shared" si="149"/>
        <v>1.3568952080113142E-12</v>
      </c>
      <c r="CW139" s="20">
        <f t="shared" si="121"/>
        <v>2.5184749408430782E-12</v>
      </c>
      <c r="CX139" s="59">
        <f t="shared" si="122"/>
        <v>284.84953039488772</v>
      </c>
      <c r="CY139" s="59">
        <f ca="1">AVERAGE(OFFSET($CX$3,0,0,'Données projet'!$E$13+1,1))-AVERAGE(OFFSET($H$3,0,0,'Données projet'!$E$13+1,1))</f>
        <v>287.73449456153207</v>
      </c>
      <c r="CZ139" s="59">
        <f t="shared" si="150"/>
        <v>296.74833899433281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32.252242827382325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32.252242827382325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6.7133333333333338</v>
      </c>
      <c r="DO139" s="12">
        <f>IF('Données projet'!$A$166&gt;35,DO138+DN139-DW138,IF(A139&lt;'Données projet'!$A$166,$DL$205^A139,IF(A139='Données projet'!$A$166,'Données projet'!$B$166,DO138+DN139-DW138)))</f>
        <v>366.38666666666666</v>
      </c>
      <c r="DP139" s="17">
        <f>DO139*VLOOKUP('Données projet'!$B$14,Paramètres!$A$1:$I$89,3,0)*VLOOKUP('Données projet'!$B$14,Paramètres!$A$1:$I$89,5,0)</f>
        <v>371.51607999999999</v>
      </c>
      <c r="DQ139" s="13">
        <f t="shared" si="151"/>
        <v>85.977395722622475</v>
      </c>
      <c r="DR139" s="20">
        <f t="shared" si="124"/>
        <v>796.80113688356744</v>
      </c>
      <c r="DS139" s="59">
        <f t="shared" si="125"/>
        <v>1081.6506672784526</v>
      </c>
      <c r="DT139" s="59">
        <f ca="1">AVERAGE(OFFSET($DS$3,0,0,'Données projet'!$E$14+1,1))-AVERAGE(OFFSET($H$3,0,0,'Données projet'!$E$14+1,1))</f>
        <v>532.34688562681413</v>
      </c>
      <c r="DU139" s="59">
        <f t="shared" si="152"/>
        <v>345.42627129678556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53.402045031234977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53.402045031234977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-5.1431925385259088E-14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256.20286603823035</v>
      </c>
      <c r="EP139" s="59">
        <f t="shared" si="154"/>
        <v>364.83827155069434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8.304016171384923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8.304016171384923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6.7133333333333338</v>
      </c>
      <c r="FE139" s="12">
        <f>IF('Données projet'!$A$218&gt;35,FE138+FD139-FM138,IF(A139&lt;'Données projet'!$A$218,$FB$205^A139,IF(A139='Données projet'!$A$218,'Données projet'!$B$218,FE138+FD139-FM138)))</f>
        <v>366.38666666666666</v>
      </c>
      <c r="FF139" s="17">
        <f>FE139*VLOOKUP('Données projet'!$B$16,Paramètres!$A$1:$I$89,3,0)*VLOOKUP('Données projet'!$B$16,Paramètres!$A$1:$I$89,5,0)</f>
        <v>245.772176</v>
      </c>
      <c r="FG139" s="13">
        <f t="shared" si="155"/>
        <v>59.67971926127484</v>
      </c>
      <c r="FH139" s="20">
        <f t="shared" si="130"/>
        <v>531.99538424672039</v>
      </c>
      <c r="FI139" s="59">
        <f t="shared" si="131"/>
        <v>816.84491464160556</v>
      </c>
      <c r="FJ139" s="59">
        <f ca="1">AVERAGE(OFFSET($FI$3,0,0,'Données projet'!$E$16+1,1))-AVERAGE(OFFSET($H$3,0,0,'Données projet'!$E$16+1,1))</f>
        <v>380.73695370216979</v>
      </c>
      <c r="FK139" s="59">
        <f t="shared" si="156"/>
        <v>249.34467160415713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43.543205948545442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43.543205948545442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6.7133333333333338</v>
      </c>
      <c r="FZ139" s="12">
        <f>IF('Données projet'!$A$244&gt;35,FZ138+FY139-GH138,IF(A139&lt;'Données projet'!$A$244,$FW$205^A139,IF(A139='Données projet'!$A$244,'Données projet'!$B$244,FZ138+FY139-GH138)))</f>
        <v>366.38666666666666</v>
      </c>
      <c r="GA139" s="17">
        <f>FZ139*VLOOKUP('Données projet'!$B$17,Paramètres!$A$1:$I$89,3,0)*VLOOKUP('Données projet'!$B$17,Paramètres!$A$1:$I$89,5,0)</f>
        <v>354.36918400000002</v>
      </c>
      <c r="GB139" s="13">
        <f t="shared" si="157"/>
        <v>82.461520983580655</v>
      </c>
      <c r="GC139" s="20">
        <f t="shared" si="133"/>
        <v>760.81347784640309</v>
      </c>
      <c r="GD139" s="59">
        <f t="shared" si="134"/>
        <v>1045.6630082412883</v>
      </c>
      <c r="GE139" s="59">
        <f ca="1">AVERAGE(OFFSET($GD$3,0,0,'Données projet'!$E$17+1,1))-AVERAGE(OFFSET($H$3,0,0,'Données projet'!$E$17+1,1))</f>
        <v>511.7458522930001</v>
      </c>
      <c r="GF139" s="59">
        <f t="shared" si="158"/>
        <v>332.37317679966122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50.937335260562584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50.937335260562584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-1.7053025658242404E-13</v>
      </c>
      <c r="GV139" s="17">
        <f>GU139*VLOOKUP('Données projet'!$B$18,Paramètres!$A$1:$I$89,3,0)*VLOOKUP('Données projet'!$B$18,Paramètres!$A$1:$I$89,5,0)</f>
        <v>-1.4897523215040567E-13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348.77506423101278</v>
      </c>
      <c r="HA139" s="59">
        <f t="shared" si="160"/>
        <v>336.13747591329548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44.071033047799091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44.071033047799091</v>
      </c>
    </row>
    <row r="140" spans="1:218" x14ac:dyDescent="0.2">
      <c r="A140" s="10">
        <f t="shared" si="139"/>
        <v>137</v>
      </c>
      <c r="B140" s="71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5">
        <f t="shared" si="110"/>
        <v>183.33333333333334</v>
      </c>
      <c r="I140" s="6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-2.1282176021486519E-13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387.50901594883317</v>
      </c>
      <c r="T140" s="59">
        <f t="shared" si="142"/>
        <v>361.3623790401972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117.85748203004252</v>
      </c>
      <c r="AA140" s="21">
        <f>EXP(-LN(2)/25)*AA139+(1-EXP(-LN(2)/25))/(LN(2)/25)*Calculateur!V140*Calculateur!X140*VLOOKUP('Données projet'!$B$9,Paramètres!$A$1:$I$89,3,0)*0.475*44/12</f>
        <v>15.271467178451305</v>
      </c>
      <c r="AB140" s="21">
        <f>EXP(-LN(2)/2)*AB139+(1-EXP(-LN(2)/2))/(LN(2)/2)*V140*Y140*VLOOKUP('Données projet'!$B$9,Paramètres!$A$1:$I$89,3,0)*0.475*44/12</f>
        <v>2.657983608023307E-4</v>
      </c>
      <c r="AC140" s="22">
        <f t="shared" si="111"/>
        <v>133.12921500685462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373.47758082856359</v>
      </c>
      <c r="AO140" s="59">
        <f t="shared" si="144"/>
        <v>277.24895424120166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62.151314574805568</v>
      </c>
      <c r="AV140" s="21">
        <f>EXP(-LN(2)/25)*AV139+(1-EXP(-LN(2)/25))/(LN(2)/25)*Calculateur!AQ140*Calculateur!AS140*VLOOKUP('Données projet'!$B$10,Paramètres!$A$1:$I$89,3,0)*0.475*44/12</f>
        <v>7.4030227856931941</v>
      </c>
      <c r="AW140" s="21">
        <f>EXP(-LN(2)/2)*AW139+(1-EXP(-LN(2)/2))/(LN(2)/2)*AQ140*AT140*VLOOKUP('Données projet'!$B$10,Paramètres!$A$1:$I$89,3,0)*0.475*44/12</f>
        <v>8.3983937769290665E-8</v>
      </c>
      <c r="AX140" s="21">
        <f t="shared" si="114"/>
        <v>69.554337444482698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-6.8212102632969618E-13</v>
      </c>
      <c r="BE140" s="13">
        <f>BD140*VLOOKUP('Données projet'!$B$11,Paramètres!$A$1:$I$89,3,0)*VLOOKUP('Données projet'!$B$11,Paramètres!$A$1:$I$89,5,0)</f>
        <v>-4.0790837374515837E-13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460.88622650237176</v>
      </c>
      <c r="BJ140" s="59">
        <f t="shared" si="146"/>
        <v>396.05161661639647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72.63075385093299</v>
      </c>
      <c r="BQ140" s="21">
        <f>EXP(-LN(2)/25)*BQ139+(1-EXP(-LN(2)/25))/(LN(2)/25)*Calculateur!BL140*Calculateur!BN140*VLOOKUP('Données projet'!$B$11,Paramètres!$A$1:$I$89,3,0)*0.475*44/12</f>
        <v>8.1160714642586793</v>
      </c>
      <c r="BR140" s="21">
        <f>EXP(-LN(2)/2)*BR139+(1-EXP(-LN(2)/2))/(LN(2)/2)*BL140*BO140*VLOOKUP('Données projet'!$B$11,Paramètres!$A$1:$I$89,3,0)*0.475*44/12</f>
        <v>2.7115220729181894E-8</v>
      </c>
      <c r="BS140" s="22">
        <f t="shared" si="117"/>
        <v>80.746825342306892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-5.1727511163335289E-14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341.60063595566282</v>
      </c>
      <c r="CE140" s="59">
        <f t="shared" si="148"/>
        <v>317.05609766344219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59.610379479067021</v>
      </c>
      <c r="CL140" s="21">
        <f>EXP(-LN(2)/25)*CL139+(1-EXP(-LN(2)/25))/(LN(2)/25)*Calculateur!CG140*Calculateur!CI140*VLOOKUP('Données projet'!$B$12,Paramètres!$A$1:$I$89,3,0)*0.475*44/12</f>
        <v>7.5381142853846335</v>
      </c>
      <c r="CM140" s="21">
        <f>EXP(-LN(2)/2)*CM139+(1-EXP(-LN(2)/2))/(LN(2)/2)*CG140*CJ140*VLOOKUP('Données projet'!$B$12,Paramètres!$A$1:$I$89,3,0)*0.475*44/12</f>
        <v>2.291573063424104E-9</v>
      </c>
      <c r="CN140" s="22">
        <f t="shared" si="120"/>
        <v>67.148493766743229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8.5265128291212022E-14</v>
      </c>
      <c r="CU140" s="17">
        <f>CT140*VLOOKUP('Données projet'!$B$13,Paramètres!$A$1:$I$89,3,0)*VLOOKUP('Données projet'!$B$13,Paramètres!$A$1:$I$89,5,0)</f>
        <v>8.9119112089974823E-14</v>
      </c>
      <c r="CV140" s="13">
        <f t="shared" si="149"/>
        <v>1.3568952080113142E-12</v>
      </c>
      <c r="CW140" s="20">
        <f t="shared" si="121"/>
        <v>2.5184749408430782E-12</v>
      </c>
      <c r="CX140" s="59">
        <f t="shared" si="122"/>
        <v>284.99670540892788</v>
      </c>
      <c r="CY140" s="59">
        <f ca="1">AVERAGE(OFFSET($CX$3,0,0,'Données projet'!$E$13+1,1))-AVERAGE(OFFSET($H$3,0,0,'Données projet'!$E$13+1,1))</f>
        <v>287.73449456153207</v>
      </c>
      <c r="CZ140" s="59">
        <f t="shared" si="150"/>
        <v>296.74833899433281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31.619796017463042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31.619796017463042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373.1</v>
      </c>
      <c r="DM140" s="12">
        <f>VLOOKUP(A140,'Données projet'!$A$165:$I$185,9,0)</f>
        <v>6.7133333333333338</v>
      </c>
      <c r="DN140" s="12">
        <f t="array" ref="DN140">INDEX(DM:DM,MIN(IF(ISNUMBER(DM140:DM336),ROW(DM140:DM336),"")))</f>
        <v>6.7133333333333338</v>
      </c>
      <c r="DO140" s="12">
        <f>IF('Données projet'!$A$166&gt;35,DO139+DN140-DW139,IF(A140&lt;'Données projet'!$A$166,$DL$205^A140,IF(A140='Données projet'!$A$166,'Données projet'!$B$166,DO139+DN140-DW139)))</f>
        <v>373.09999999999997</v>
      </c>
      <c r="DP140" s="17">
        <f>DO140*VLOOKUP('Données projet'!$B$14,Paramètres!$A$1:$I$89,3,0)*VLOOKUP('Données projet'!$B$14,Paramètres!$A$1:$I$89,5,0)</f>
        <v>378.32339999999999</v>
      </c>
      <c r="DQ140" s="13">
        <f t="shared" si="151"/>
        <v>87.367919100813992</v>
      </c>
      <c r="DR140" s="20">
        <f t="shared" si="124"/>
        <v>811.07904743391771</v>
      </c>
      <c r="DS140" s="59">
        <f t="shared" si="125"/>
        <v>1096.075752842843</v>
      </c>
      <c r="DT140" s="59">
        <f ca="1">AVERAGE(OFFSET($DS$3,0,0,'Données projet'!$E$14+1,1))-AVERAGE(OFFSET($H$3,0,0,'Données projet'!$E$14+1,1))</f>
        <v>532.34688562681413</v>
      </c>
      <c r="DU140" s="59">
        <f t="shared" si="152"/>
        <v>345.42627129678556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65.53</v>
      </c>
      <c r="DX140" s="16">
        <f>IF(ISNA(VLOOKUP(A140,'Données projet'!$A$165:$I$185,5,0)),0%,VLOOKUP(A140,'Données projet'!$A$165:$I$185,5,0)*VLOOKUP('Données projet'!$B$14,Paramètres!$A$1:$I$89,7,0))</f>
        <v>0.34400000000000003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77.623608684800274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77.623608684800274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-5.1431925385259088E-14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256.20286603823035</v>
      </c>
      <c r="EP140" s="59">
        <f t="shared" si="154"/>
        <v>364.83827155069434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8.1411794792138075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8.1411794792138075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>
        <f>VLOOKUP(A140,'Données projet'!$A$217:$I$237,2,0)</f>
        <v>373.1</v>
      </c>
      <c r="FC140" s="12">
        <f>VLOOKUP(A140,'Données projet'!$A$217:$I$237,9,0)</f>
        <v>6.7133333333333338</v>
      </c>
      <c r="FD140" s="12">
        <f t="array" ref="FD140">INDEX(FC:FC,MIN(IF(ISNUMBER(FC140:FC336),ROW(FC140:FC336),"")))</f>
        <v>6.7133333333333338</v>
      </c>
      <c r="FE140" s="12">
        <f>IF('Données projet'!$A$218&gt;35,FE139+FD140-FM139,IF(A140&lt;'Données projet'!$A$218,$FB$205^A140,IF(A140='Données projet'!$A$218,'Données projet'!$B$218,FE139+FD140-FM139)))</f>
        <v>373.09999999999997</v>
      </c>
      <c r="FF140" s="17">
        <f>FE140*VLOOKUP('Données projet'!$B$16,Paramètres!$A$1:$I$89,3,0)*VLOOKUP('Données projet'!$B$16,Paramètres!$A$1:$I$89,5,0)</f>
        <v>250.27547999999999</v>
      </c>
      <c r="FG140" s="13">
        <f t="shared" si="155"/>
        <v>60.644926966616787</v>
      </c>
      <c r="FH140" s="20">
        <f t="shared" si="130"/>
        <v>541.51970880019087</v>
      </c>
      <c r="FI140" s="59">
        <f t="shared" si="131"/>
        <v>826.51641420911619</v>
      </c>
      <c r="FJ140" s="59">
        <f ca="1">AVERAGE(OFFSET($FI$3,0,0,'Données projet'!$E$16+1,1))-AVERAGE(OFFSET($H$3,0,0,'Données projet'!$E$16+1,1))</f>
        <v>380.73695370216979</v>
      </c>
      <c r="FK140" s="59">
        <f t="shared" si="156"/>
        <v>249.34467160415713</v>
      </c>
      <c r="FL140" s="15">
        <f>IF(ISNA(VLOOKUP(A140,'Données projet'!$A$217:$I$237,3,0)),0,VLOOKUP(A140,'Données projet'!$A$217:$I$237,3,0))</f>
        <v>11</v>
      </c>
      <c r="FM140" s="15">
        <f>IF(ISNA(VLOOKUP(A140,'Données projet'!$A$217:$I$237,4,0)),0,VLOOKUP(A140,'Données projet'!$A$217:$I$237,4,0))</f>
        <v>65.53</v>
      </c>
      <c r="FN140" s="16">
        <f>IF(ISNA(VLOOKUP(A140,'Données projet'!$A$217:$I$237,5,0)),0%,VLOOKUP(A140,'Données projet'!$A$217:$I$237,5,0)*VLOOKUP('Données projet'!$B$16,Paramètres!$A$1:$I$89,7,0))</f>
        <v>0.42400000000000004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63.293096312221763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63.293096312221763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>
        <f>VLOOKUP(A140,'Données projet'!$A$243:$I$263,2,0)</f>
        <v>373.1</v>
      </c>
      <c r="FX140" s="12">
        <f>VLOOKUP(A140,'Données projet'!$A$243:$I$263,9,0)</f>
        <v>6.7133333333333338</v>
      </c>
      <c r="FY140" s="12">
        <f t="array" ref="FY140">INDEX(FX:FX,MIN(IF(ISNUMBER(FX140:FX336),ROW(FX140:FX336),"")))</f>
        <v>6.7133333333333338</v>
      </c>
      <c r="FZ140" s="12">
        <f>IF('Données projet'!$A$244&gt;35,FZ139+FY140-GH139,IF(A140&lt;'Données projet'!$A$244,$FW$205^A140,IF(A140='Données projet'!$A$244,'Données projet'!$B$244,FZ139+FY140-GH139)))</f>
        <v>373.09999999999997</v>
      </c>
      <c r="GA140" s="17">
        <f>FZ140*VLOOKUP('Données projet'!$B$17,Paramètres!$A$1:$I$89,3,0)*VLOOKUP('Données projet'!$B$17,Paramètres!$A$1:$I$89,5,0)</f>
        <v>360.86231999999995</v>
      </c>
      <c r="GB140" s="13">
        <f t="shared" si="157"/>
        <v>83.795181671546032</v>
      </c>
      <c r="GC140" s="20">
        <f t="shared" si="133"/>
        <v>774.44514874460936</v>
      </c>
      <c r="GD140" s="59">
        <f t="shared" si="134"/>
        <v>1059.4418541535347</v>
      </c>
      <c r="GE140" s="59">
        <f ca="1">AVERAGE(OFFSET($GD$3,0,0,'Données projet'!$E$17+1,1))-AVERAGE(OFFSET($H$3,0,0,'Données projet'!$E$17+1,1))</f>
        <v>511.7458522930001</v>
      </c>
      <c r="GF140" s="59">
        <f t="shared" si="158"/>
        <v>332.37317679966122</v>
      </c>
      <c r="GG140" s="15">
        <f>IF(ISNA(VLOOKUP(A140,'Données projet'!$A$243:$I$263,3,0)),0,VLOOKUP(A140,'Données projet'!$A$243:$I$263,3,0))</f>
        <v>11</v>
      </c>
      <c r="GH140" s="15">
        <f>IF(ISNA(VLOOKUP(A140,'Données projet'!$A$243:$I$263,4,0)),0,VLOOKUP(A140,'Données projet'!$A$243:$I$263,4,0))</f>
        <v>65.53</v>
      </c>
      <c r="GI140" s="16">
        <f>IF(ISNA(VLOOKUP(A140,'Données projet'!$A$243:$I$263,5,0)),0%,VLOOKUP(A140,'Données projet'!$A$243:$I$263,5,0)*VLOOKUP('Données projet'!$B$17,Paramètres!$A$1:$I$89,7,0))</f>
        <v>0.34400000000000003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74.040980591655625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74.040980591655625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-1.7053025658242404E-13</v>
      </c>
      <c r="GV140" s="17">
        <f>GU140*VLOOKUP('Données projet'!$B$18,Paramètres!$A$1:$I$89,3,0)*VLOOKUP('Données projet'!$B$18,Paramètres!$A$1:$I$89,5,0)</f>
        <v>-1.4897523215040567E-13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348.77506423101278</v>
      </c>
      <c r="HA140" s="59">
        <f t="shared" si="160"/>
        <v>336.13747591329548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43.206826970407661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43.206826970407661</v>
      </c>
    </row>
    <row r="141" spans="1:218" x14ac:dyDescent="0.2">
      <c r="A141" s="10">
        <f t="shared" si="139"/>
        <v>138</v>
      </c>
      <c r="B141" s="71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5">
        <f t="shared" si="110"/>
        <v>183.33333333333334</v>
      </c>
      <c r="I141" s="6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-2.1282176021486519E-13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387.50901594883317</v>
      </c>
      <c r="T141" s="59">
        <f t="shared" si="142"/>
        <v>361.3623790401972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115.54636869339927</v>
      </c>
      <c r="AA141" s="21">
        <f>EXP(-LN(2)/25)*AA140+(1-EXP(-LN(2)/25))/(LN(2)/25)*Calculateur!V141*Calculateur!X141*VLOOKUP('Données projet'!$B$9,Paramètres!$A$1:$I$89,3,0)*0.475*44/12</f>
        <v>14.853868105364999</v>
      </c>
      <c r="AB141" s="21">
        <f>EXP(-LN(2)/2)*AB140+(1-EXP(-LN(2)/2))/(LN(2)/2)*V141*Y141*VLOOKUP('Données projet'!$B$9,Paramètres!$A$1:$I$89,3,0)*0.475*44/12</f>
        <v>1.8794782335159667E-4</v>
      </c>
      <c r="AC141" s="22">
        <f t="shared" si="111"/>
        <v>130.40042474658762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373.47758082856359</v>
      </c>
      <c r="AO141" s="59">
        <f t="shared" si="144"/>
        <v>277.24895424120166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60.932565204552361</v>
      </c>
      <c r="AV141" s="21">
        <f>EXP(-LN(2)/25)*AV140+(1-EXP(-LN(2)/25))/(LN(2)/25)*Calculateur!AQ141*Calculateur!AS141*VLOOKUP('Données projet'!$B$10,Paramètres!$A$1:$I$89,3,0)*0.475*44/12</f>
        <v>7.2005867383103652</v>
      </c>
      <c r="AW141" s="21">
        <f>EXP(-LN(2)/2)*AW140+(1-EXP(-LN(2)/2))/(LN(2)/2)*AQ141*AT141*VLOOKUP('Données projet'!$B$10,Paramètres!$A$1:$I$89,3,0)*0.475*44/12</f>
        <v>5.9385611907414444E-8</v>
      </c>
      <c r="AX141" s="21">
        <f t="shared" si="114"/>
        <v>68.133152002248337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-6.8212102632969618E-13</v>
      </c>
      <c r="BE141" s="13">
        <f>BD141*VLOOKUP('Données projet'!$B$11,Paramètres!$A$1:$I$89,3,0)*VLOOKUP('Données projet'!$B$11,Paramètres!$A$1:$I$89,5,0)</f>
        <v>-4.0790837374515837E-13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460.88622650237176</v>
      </c>
      <c r="BJ141" s="59">
        <f t="shared" si="146"/>
        <v>396.05161661639647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71.206509068301742</v>
      </c>
      <c r="BQ141" s="21">
        <f>EXP(-LN(2)/25)*BQ140+(1-EXP(-LN(2)/25))/(LN(2)/25)*Calculateur!BL141*Calculateur!BN141*VLOOKUP('Données projet'!$B$11,Paramètres!$A$1:$I$89,3,0)*0.475*44/12</f>
        <v>7.8941370632628773</v>
      </c>
      <c r="BR141" s="21">
        <f>EXP(-LN(2)/2)*BR140+(1-EXP(-LN(2)/2))/(LN(2)/2)*BL141*BO141*VLOOKUP('Données projet'!$B$11,Paramètres!$A$1:$I$89,3,0)*0.475*44/12</f>
        <v>1.9173356450974559E-8</v>
      </c>
      <c r="BS141" s="22">
        <f t="shared" si="117"/>
        <v>79.100646150737973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-5.1727511163335289E-14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341.60063595566282</v>
      </c>
      <c r="CE141" s="59">
        <f t="shared" si="148"/>
        <v>317.05609766344219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58.441456296223869</v>
      </c>
      <c r="CL141" s="21">
        <f>EXP(-LN(2)/25)*CL140+(1-EXP(-LN(2)/25))/(LN(2)/25)*Calculateur!CG141*Calculateur!CI141*VLOOKUP('Données projet'!$B$12,Paramètres!$A$1:$I$89,3,0)*0.475*44/12</f>
        <v>7.3319841538385893</v>
      </c>
      <c r="CM141" s="21">
        <f>EXP(-LN(2)/2)*CM140+(1-EXP(-LN(2)/2))/(LN(2)/2)*CG141*CJ141*VLOOKUP('Données projet'!$B$12,Paramètres!$A$1:$I$89,3,0)*0.475*44/12</f>
        <v>1.6203868527316143E-9</v>
      </c>
      <c r="CN141" s="22">
        <f t="shared" si="120"/>
        <v>65.773440451682845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8.5265128291212022E-14</v>
      </c>
      <c r="CU141" s="17">
        <f>CT141*VLOOKUP('Données projet'!$B$13,Paramètres!$A$1:$I$89,3,0)*VLOOKUP('Données projet'!$B$13,Paramètres!$A$1:$I$89,5,0)</f>
        <v>8.9119112089974823E-14</v>
      </c>
      <c r="CV141" s="13">
        <f t="shared" si="149"/>
        <v>1.3568952080113142E-12</v>
      </c>
      <c r="CW141" s="20">
        <f t="shared" si="121"/>
        <v>2.5184749408430782E-12</v>
      </c>
      <c r="CX141" s="59">
        <f t="shared" si="122"/>
        <v>285.14132726550844</v>
      </c>
      <c r="CY141" s="59">
        <f ca="1">AVERAGE(OFFSET($CX$3,0,0,'Données projet'!$E$13+1,1))-AVERAGE(OFFSET($H$3,0,0,'Données projet'!$E$13+1,1))</f>
        <v>287.73449456153207</v>
      </c>
      <c r="CZ141" s="59">
        <f t="shared" si="150"/>
        <v>296.74833899433281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30.999751103731811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30.999751103731811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6.5224999999999937</v>
      </c>
      <c r="DO141" s="12">
        <f>IF('Données projet'!$A$166&gt;35,DO140+DN141-DW140,IF(A141&lt;'Données projet'!$A$166,$DL$205^A141,IF(A141='Données projet'!$A$166,'Données projet'!$B$166,DO140+DN141-DW140)))</f>
        <v>314.09249999999997</v>
      </c>
      <c r="DP141" s="17">
        <f>DO141*VLOOKUP('Données projet'!$B$14,Paramètres!$A$1:$I$89,3,0)*VLOOKUP('Données projet'!$B$14,Paramètres!$A$1:$I$89,5,0)</f>
        <v>318.48979500000002</v>
      </c>
      <c r="DQ141" s="13">
        <f t="shared" si="151"/>
        <v>75.039039682041533</v>
      </c>
      <c r="DR141" s="20">
        <f t="shared" si="124"/>
        <v>685.39605373788902</v>
      </c>
      <c r="DS141" s="59">
        <f t="shared" si="125"/>
        <v>970.53738100339501</v>
      </c>
      <c r="DT141" s="59">
        <f ca="1">AVERAGE(OFFSET($DS$3,0,0,'Données projet'!$E$14+1,1))-AVERAGE(OFFSET($H$3,0,0,'Données projet'!$E$14+1,1))</f>
        <v>532.34688562681413</v>
      </c>
      <c r="DU141" s="59">
        <f t="shared" si="152"/>
        <v>345.42627129678556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76.101457064217641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76.101457064217641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-5.1431925385259088E-14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256.20286603823035</v>
      </c>
      <c r="EP141" s="59">
        <f t="shared" si="154"/>
        <v>364.83827155069434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7.9815359152555923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7.9815359152555923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6.5224999999999937</v>
      </c>
      <c r="FE141" s="12">
        <f>IF('Données projet'!$A$218&gt;35,FE140+FD141-FM140,IF(A141&lt;'Données projet'!$A$218,$FB$205^A141,IF(A141='Données projet'!$A$218,'Données projet'!$B$218,FE140+FD141-FM140)))</f>
        <v>314.09249999999997</v>
      </c>
      <c r="FF141" s="17">
        <f>FE141*VLOOKUP('Données projet'!$B$16,Paramètres!$A$1:$I$89,3,0)*VLOOKUP('Données projet'!$B$16,Paramètres!$A$1:$I$89,5,0)</f>
        <v>210.69324899999995</v>
      </c>
      <c r="FG141" s="13">
        <f t="shared" si="155"/>
        <v>52.087048976310868</v>
      </c>
      <c r="FH141" s="20">
        <f t="shared" si="130"/>
        <v>457.6756856420746</v>
      </c>
      <c r="FI141" s="59">
        <f t="shared" si="131"/>
        <v>742.81701290758053</v>
      </c>
      <c r="FJ141" s="59">
        <f ca="1">AVERAGE(OFFSET($FI$3,0,0,'Données projet'!$E$16+1,1))-AVERAGE(OFFSET($H$3,0,0,'Données projet'!$E$16+1,1))</f>
        <v>380.73695370216979</v>
      </c>
      <c r="FK141" s="59">
        <f t="shared" si="156"/>
        <v>249.34467160415713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62.051957298515923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62.051957298515923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6.5224999999999937</v>
      </c>
      <c r="FZ141" s="12">
        <f>IF('Données projet'!$A$244&gt;35,FZ140+FY141-GH140,IF(A141&lt;'Données projet'!$A$244,$FW$205^A141,IF(A141='Données projet'!$A$244,'Données projet'!$B$244,FZ140+FY141-GH140)))</f>
        <v>314.09249999999997</v>
      </c>
      <c r="GA141" s="17">
        <f>FZ141*VLOOKUP('Données projet'!$B$17,Paramètres!$A$1:$I$89,3,0)*VLOOKUP('Données projet'!$B$17,Paramètres!$A$1:$I$89,5,0)</f>
        <v>303.79026599999997</v>
      </c>
      <c r="GB141" s="13">
        <f t="shared" si="157"/>
        <v>71.97046727597332</v>
      </c>
      <c r="GC141" s="20">
        <f t="shared" si="133"/>
        <v>654.44994378898684</v>
      </c>
      <c r="GD141" s="59">
        <f t="shared" si="134"/>
        <v>939.59127105449284</v>
      </c>
      <c r="GE141" s="59">
        <f ca="1">AVERAGE(OFFSET($GD$3,0,0,'Données projet'!$E$17+1,1))-AVERAGE(OFFSET($H$3,0,0,'Données projet'!$E$17+1,1))</f>
        <v>511.7458522930001</v>
      </c>
      <c r="GF141" s="59">
        <f t="shared" si="158"/>
        <v>332.37317679966122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72.589082122792192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72.589082122792192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-1.7053025658242404E-13</v>
      </c>
      <c r="GV141" s="17">
        <f>GU141*VLOOKUP('Données projet'!$B$18,Paramètres!$A$1:$I$89,3,0)*VLOOKUP('Données projet'!$B$18,Paramètres!$A$1:$I$89,5,0)</f>
        <v>-1.4897523215040567E-13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348.77506423101278</v>
      </c>
      <c r="HA141" s="59">
        <f t="shared" si="160"/>
        <v>336.13747591329548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42.359567447080224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42.359567447080224</v>
      </c>
    </row>
    <row r="142" spans="1:218" x14ac:dyDescent="0.2">
      <c r="A142" s="10">
        <f t="shared" si="139"/>
        <v>139</v>
      </c>
      <c r="B142" s="71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5">
        <f t="shared" si="110"/>
        <v>183.33333333333334</v>
      </c>
      <c r="I142" s="6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-2.1282176021486519E-13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387.50901594883317</v>
      </c>
      <c r="T142" s="59">
        <f t="shared" si="142"/>
        <v>361.3623790401972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113.28057487964766</v>
      </c>
      <c r="AA142" s="21">
        <f>EXP(-LN(2)/25)*AA141+(1-EXP(-LN(2)/25))/(LN(2)/25)*Calculateur!V142*Calculateur!X142*VLOOKUP('Données projet'!$B$9,Paramètres!$A$1:$I$89,3,0)*0.475*44/12</f>
        <v>14.447688300892818</v>
      </c>
      <c r="AB142" s="21">
        <f>EXP(-LN(2)/2)*AB141+(1-EXP(-LN(2)/2))/(LN(2)/2)*V142*Y142*VLOOKUP('Données projet'!$B$9,Paramètres!$A$1:$I$89,3,0)*0.475*44/12</f>
        <v>1.3289918040116535E-4</v>
      </c>
      <c r="AC142" s="22">
        <f t="shared" si="111"/>
        <v>127.72839607972088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373.47758082856359</v>
      </c>
      <c r="AO142" s="59">
        <f t="shared" si="144"/>
        <v>277.24895424120166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59.737714766086107</v>
      </c>
      <c r="AV142" s="21">
        <f>EXP(-LN(2)/25)*AV141+(1-EXP(-LN(2)/25))/(LN(2)/25)*Calculateur!AQ142*Calculateur!AS142*VLOOKUP('Données projet'!$B$10,Paramètres!$A$1:$I$89,3,0)*0.475*44/12</f>
        <v>7.0036863152888689</v>
      </c>
      <c r="AW142" s="21">
        <f>EXP(-LN(2)/2)*AW141+(1-EXP(-LN(2)/2))/(LN(2)/2)*AQ142*AT142*VLOOKUP('Données projet'!$B$10,Paramètres!$A$1:$I$89,3,0)*0.475*44/12</f>
        <v>4.1991968884645339E-8</v>
      </c>
      <c r="AX142" s="21">
        <f t="shared" si="114"/>
        <v>66.741401123366941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-6.8212102632969618E-13</v>
      </c>
      <c r="BE142" s="13">
        <f>BD142*VLOOKUP('Données projet'!$B$11,Paramètres!$A$1:$I$89,3,0)*VLOOKUP('Données projet'!$B$11,Paramètres!$A$1:$I$89,5,0)</f>
        <v>-4.0790837374515837E-13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460.88622650237176</v>
      </c>
      <c r="BJ142" s="59">
        <f t="shared" si="146"/>
        <v>396.05161661639647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69.810192857154348</v>
      </c>
      <c r="BQ142" s="21">
        <f>EXP(-LN(2)/25)*BQ141+(1-EXP(-LN(2)/25))/(LN(2)/25)*Calculateur!BL142*Calculateur!BN142*VLOOKUP('Données projet'!$B$11,Paramètres!$A$1:$I$89,3,0)*0.475*44/12</f>
        <v>7.6782714701333283</v>
      </c>
      <c r="BR142" s="21">
        <f>EXP(-LN(2)/2)*BR141+(1-EXP(-LN(2)/2))/(LN(2)/2)*BL142*BO142*VLOOKUP('Données projet'!$B$11,Paramètres!$A$1:$I$89,3,0)*0.475*44/12</f>
        <v>1.3557610364590947E-8</v>
      </c>
      <c r="BS142" s="22">
        <f t="shared" si="117"/>
        <v>77.488464340845283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-5.1727511163335289E-14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341.60063595566282</v>
      </c>
      <c r="CE142" s="59">
        <f t="shared" si="148"/>
        <v>317.05609766344219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57.295454984023536</v>
      </c>
      <c r="CL142" s="21">
        <f>EXP(-LN(2)/25)*CL141+(1-EXP(-LN(2)/25))/(LN(2)/25)*Calculateur!CG142*Calculateur!CI142*VLOOKUP('Données projet'!$B$12,Paramètres!$A$1:$I$89,3,0)*0.475*44/12</f>
        <v>7.1314906615795834</v>
      </c>
      <c r="CM142" s="21">
        <f>EXP(-LN(2)/2)*CM141+(1-EXP(-LN(2)/2))/(LN(2)/2)*CG142*CJ142*VLOOKUP('Données projet'!$B$12,Paramètres!$A$1:$I$89,3,0)*0.475*44/12</f>
        <v>1.145786531712052E-9</v>
      </c>
      <c r="CN142" s="22">
        <f t="shared" si="120"/>
        <v>64.426945646748919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8.5265128291212022E-14</v>
      </c>
      <c r="CU142" s="17">
        <f>CT142*VLOOKUP('Données projet'!$B$13,Paramètres!$A$1:$I$89,3,0)*VLOOKUP('Données projet'!$B$13,Paramètres!$A$1:$I$89,5,0)</f>
        <v>8.9119112089974823E-14</v>
      </c>
      <c r="CV142" s="13">
        <f t="shared" si="149"/>
        <v>1.3568952080113142E-12</v>
      </c>
      <c r="CW142" s="20">
        <f t="shared" si="121"/>
        <v>2.5184749408430782E-12</v>
      </c>
      <c r="CX142" s="59">
        <f t="shared" si="122"/>
        <v>285.28344025620339</v>
      </c>
      <c r="CY142" s="59">
        <f ca="1">AVERAGE(OFFSET($CX$3,0,0,'Données projet'!$E$13+1,1))-AVERAGE(OFFSET($H$3,0,0,'Données projet'!$E$13+1,1))</f>
        <v>287.73449456153207</v>
      </c>
      <c r="CZ142" s="59">
        <f t="shared" si="150"/>
        <v>296.74833899433281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30.391864892568794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30.391864892568794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6.5224999999999937</v>
      </c>
      <c r="DO142" s="12">
        <f>IF('Données projet'!$A$166&gt;35,DO141+DN142-DW141,IF(A142&lt;'Données projet'!$A$166,$DL$205^A142,IF(A142='Données projet'!$A$166,'Données projet'!$B$166,DO141+DN142-DW141)))</f>
        <v>320.61499999999995</v>
      </c>
      <c r="DP142" s="17">
        <f>DO142*VLOOKUP('Données projet'!$B$14,Paramètres!$A$1:$I$89,3,0)*VLOOKUP('Données projet'!$B$14,Paramètres!$A$1:$I$89,5,0)</f>
        <v>325.10361</v>
      </c>
      <c r="DQ142" s="13">
        <f t="shared" si="151"/>
        <v>76.41427909776796</v>
      </c>
      <c r="DR142" s="20">
        <f t="shared" si="124"/>
        <v>699.31032351194574</v>
      </c>
      <c r="DS142" s="59">
        <f t="shared" si="125"/>
        <v>984.59376376814657</v>
      </c>
      <c r="DT142" s="59">
        <f ca="1">AVERAGE(OFFSET($DS$3,0,0,'Données projet'!$E$14+1,1))-AVERAGE(OFFSET($H$3,0,0,'Données projet'!$E$14+1,1))</f>
        <v>532.34688562681413</v>
      </c>
      <c r="DU142" s="59">
        <f t="shared" si="152"/>
        <v>345.42627129678556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74.609153908493809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74.609153908493809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-5.1431925385259088E-14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256.20286603823035</v>
      </c>
      <c r="EP142" s="59">
        <f t="shared" si="154"/>
        <v>364.83827155069434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7.8250228642136381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7.8250228642136381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6.5224999999999937</v>
      </c>
      <c r="FE142" s="12">
        <f>IF('Données projet'!$A$218&gt;35,FE141+FD142-FM141,IF(A142&lt;'Données projet'!$A$218,$FB$205^A142,IF(A142='Données projet'!$A$218,'Données projet'!$B$218,FE141+FD142-FM141)))</f>
        <v>320.61499999999995</v>
      </c>
      <c r="FF142" s="17">
        <f>FE142*VLOOKUP('Données projet'!$B$16,Paramètres!$A$1:$I$89,3,0)*VLOOKUP('Données projet'!$B$16,Paramètres!$A$1:$I$89,5,0)</f>
        <v>215.06854199999998</v>
      </c>
      <c r="FG142" s="13">
        <f t="shared" si="155"/>
        <v>53.041647583977294</v>
      </c>
      <c r="FH142" s="20">
        <f t="shared" si="130"/>
        <v>466.95858019209373</v>
      </c>
      <c r="FI142" s="59">
        <f t="shared" si="131"/>
        <v>752.24202044829462</v>
      </c>
      <c r="FJ142" s="59">
        <f ca="1">AVERAGE(OFFSET($FI$3,0,0,'Données projet'!$E$16+1,1))-AVERAGE(OFFSET($H$3,0,0,'Données projet'!$E$16+1,1))</f>
        <v>380.73695370216979</v>
      </c>
      <c r="FK142" s="59">
        <f t="shared" si="156"/>
        <v>249.34467160415713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60.835156263848802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60.835156263848802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6.5224999999999937</v>
      </c>
      <c r="FZ142" s="12">
        <f>IF('Données projet'!$A$244&gt;35,FZ141+FY142-GH141,IF(A142&lt;'Données projet'!$A$244,$FW$205^A142,IF(A142='Données projet'!$A$244,'Données projet'!$B$244,FZ141+FY142-GH141)))</f>
        <v>320.61499999999995</v>
      </c>
      <c r="GA142" s="17">
        <f>FZ142*VLOOKUP('Données projet'!$B$17,Paramètres!$A$1:$I$89,3,0)*VLOOKUP('Données projet'!$B$17,Paramètres!$A$1:$I$89,5,0)</f>
        <v>310.09882799999997</v>
      </c>
      <c r="GB142" s="13">
        <f t="shared" si="157"/>
        <v>73.289469008745556</v>
      </c>
      <c r="GC142" s="20">
        <f t="shared" si="133"/>
        <v>667.73461729023177</v>
      </c>
      <c r="GD142" s="59">
        <f t="shared" si="134"/>
        <v>953.0180575464326</v>
      </c>
      <c r="GE142" s="59">
        <f ca="1">AVERAGE(OFFSET($GD$3,0,0,'Données projet'!$E$17+1,1))-AVERAGE(OFFSET($H$3,0,0,'Données projet'!$E$17+1,1))</f>
        <v>511.7458522930001</v>
      </c>
      <c r="GF142" s="59">
        <f t="shared" si="158"/>
        <v>332.37317679966122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71.16565449733254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71.16565449733254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-1.7053025658242404E-13</v>
      </c>
      <c r="GV142" s="17">
        <f>GU142*VLOOKUP('Données projet'!$B$18,Paramètres!$A$1:$I$89,3,0)*VLOOKUP('Données projet'!$B$18,Paramètres!$A$1:$I$89,5,0)</f>
        <v>-1.4897523215040567E-13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348.77506423101278</v>
      </c>
      <c r="HA142" s="59">
        <f t="shared" si="160"/>
        <v>336.13747591329548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41.52892216622795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41.52892216622795</v>
      </c>
    </row>
    <row r="143" spans="1:218" x14ac:dyDescent="0.2">
      <c r="A143" s="10">
        <f t="shared" si="139"/>
        <v>140</v>
      </c>
      <c r="B143" s="71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5">
        <f t="shared" si="110"/>
        <v>183.33333333333334</v>
      </c>
      <c r="I143" s="6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-2.1282176021486519E-13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387.50901594883317</v>
      </c>
      <c r="T143" s="59">
        <f t="shared" si="142"/>
        <v>361.3623790401972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111.05921190058595</v>
      </c>
      <c r="AA143" s="21">
        <f>EXP(-LN(2)/25)*AA142+(1-EXP(-LN(2)/25))/(LN(2)/25)*Calculateur!V143*Calculateur!X143*VLOOKUP('Données projet'!$B$9,Paramètres!$A$1:$I$89,3,0)*0.475*44/12</f>
        <v>14.052615504533996</v>
      </c>
      <c r="AB143" s="21">
        <f>EXP(-LN(2)/2)*AB142+(1-EXP(-LN(2)/2))/(LN(2)/2)*V143*Y143*VLOOKUP('Données projet'!$B$9,Paramètres!$A$1:$I$89,3,0)*0.475*44/12</f>
        <v>9.3973911675798334E-5</v>
      </c>
      <c r="AC143" s="22">
        <f t="shared" si="111"/>
        <v>125.11192137903163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373.47758082856359</v>
      </c>
      <c r="AO143" s="59">
        <f t="shared" si="144"/>
        <v>277.24895424120166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58.566294615931369</v>
      </c>
      <c r="AV143" s="21">
        <f>EXP(-LN(2)/25)*AV142+(1-EXP(-LN(2)/25))/(LN(2)/25)*Calculateur!AQ143*Calculateur!AS143*VLOOKUP('Données projet'!$B$10,Paramètres!$A$1:$I$89,3,0)*0.475*44/12</f>
        <v>6.8121701446894383</v>
      </c>
      <c r="AW143" s="21">
        <f>EXP(-LN(2)/2)*AW142+(1-EXP(-LN(2)/2))/(LN(2)/2)*AQ143*AT143*VLOOKUP('Données projet'!$B$10,Paramètres!$A$1:$I$89,3,0)*0.475*44/12</f>
        <v>2.9692805953707225E-8</v>
      </c>
      <c r="AX143" s="21">
        <f t="shared" si="114"/>
        <v>65.3784647903136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-6.8212102632969618E-13</v>
      </c>
      <c r="BE143" s="13">
        <f>BD143*VLOOKUP('Données projet'!$B$11,Paramètres!$A$1:$I$89,3,0)*VLOOKUP('Données projet'!$B$11,Paramètres!$A$1:$I$89,5,0)</f>
        <v>-4.0790837374515837E-13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460.88622650237176</v>
      </c>
      <c r="BJ143" s="59">
        <f t="shared" si="146"/>
        <v>396.05161661639647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68.441257555238764</v>
      </c>
      <c r="BQ143" s="21">
        <f>EXP(-LN(2)/25)*BQ142+(1-EXP(-LN(2)/25))/(LN(2)/25)*Calculateur!BL143*Calculateur!BN143*VLOOKUP('Données projet'!$B$11,Paramètres!$A$1:$I$89,3,0)*0.475*44/12</f>
        <v>7.4683087329997848</v>
      </c>
      <c r="BR143" s="21">
        <f>EXP(-LN(2)/2)*BR142+(1-EXP(-LN(2)/2))/(LN(2)/2)*BL143*BO143*VLOOKUP('Données projet'!$B$11,Paramètres!$A$1:$I$89,3,0)*0.475*44/12</f>
        <v>9.5866782254872794E-9</v>
      </c>
      <c r="BS143" s="22">
        <f t="shared" si="117"/>
        <v>75.909566297825236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-5.1727511163335289E-14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341.60063595566282</v>
      </c>
      <c r="CE143" s="59">
        <f t="shared" si="148"/>
        <v>317.05609766344219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56.17192605856367</v>
      </c>
      <c r="CL143" s="21">
        <f>EXP(-LN(2)/25)*CL142+(1-EXP(-LN(2)/25))/(LN(2)/25)*Calculateur!CG143*Calculateur!CI143*VLOOKUP('Données projet'!$B$12,Paramètres!$A$1:$I$89,3,0)*0.475*44/12</f>
        <v>6.9364796744098953</v>
      </c>
      <c r="CM143" s="21">
        <f>EXP(-LN(2)/2)*CM142+(1-EXP(-LN(2)/2))/(LN(2)/2)*CG143*CJ143*VLOOKUP('Données projet'!$B$12,Paramètres!$A$1:$I$89,3,0)*0.475*44/12</f>
        <v>8.1019342636580715E-10</v>
      </c>
      <c r="CN143" s="22">
        <f t="shared" si="120"/>
        <v>63.108405733783762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8.5265128291212022E-14</v>
      </c>
      <c r="CU143" s="17">
        <f>CT143*VLOOKUP('Données projet'!$B$13,Paramètres!$A$1:$I$89,3,0)*VLOOKUP('Données projet'!$B$13,Paramètres!$A$1:$I$89,5,0)</f>
        <v>8.9119112089974823E-14</v>
      </c>
      <c r="CV143" s="13">
        <f t="shared" si="149"/>
        <v>1.3568952080113142E-12</v>
      </c>
      <c r="CW143" s="20">
        <f t="shared" si="121"/>
        <v>2.5184749408430782E-12</v>
      </c>
      <c r="CX143" s="59">
        <f t="shared" si="122"/>
        <v>285.42308790422686</v>
      </c>
      <c r="CY143" s="59">
        <f ca="1">AVERAGE(OFFSET($CX$3,0,0,'Données projet'!$E$13+1,1))-AVERAGE(OFFSET($H$3,0,0,'Données projet'!$E$13+1,1))</f>
        <v>287.73449456153207</v>
      </c>
      <c r="CZ143" s="59">
        <f t="shared" si="150"/>
        <v>296.74833899433281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29.795898959232709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29.795898959232709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6.5224999999999937</v>
      </c>
      <c r="DO143" s="12">
        <f>IF('Données projet'!$A$166&gt;35,DO142+DN143-DW142,IF(A143&lt;'Données projet'!$A$166,$DL$205^A143,IF(A143='Données projet'!$A$166,'Données projet'!$B$166,DO142+DN143-DW142)))</f>
        <v>327.13749999999993</v>
      </c>
      <c r="DP143" s="17">
        <f>DO143*VLOOKUP('Données projet'!$B$14,Paramètres!$A$1:$I$89,3,0)*VLOOKUP('Données projet'!$B$14,Paramètres!$A$1:$I$89,5,0)</f>
        <v>331.71742499999999</v>
      </c>
      <c r="DQ143" s="13">
        <f t="shared" si="151"/>
        <v>77.786265550639342</v>
      </c>
      <c r="DR143" s="20">
        <f t="shared" si="124"/>
        <v>713.21892770903014</v>
      </c>
      <c r="DS143" s="59">
        <f t="shared" si="125"/>
        <v>998.64201561325444</v>
      </c>
      <c r="DT143" s="59">
        <f ca="1">AVERAGE(OFFSET($DS$3,0,0,'Données projet'!$E$14+1,1))-AVERAGE(OFFSET($H$3,0,0,'Données projet'!$E$14+1,1))</f>
        <v>532.34688562681413</v>
      </c>
      <c r="DU143" s="59">
        <f t="shared" si="152"/>
        <v>345.42627129678556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73.146113907438675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73.146113907438675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-5.1431925385259088E-14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256.20286603823035</v>
      </c>
      <c r="EP143" s="59">
        <f t="shared" si="154"/>
        <v>364.83827155069434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7.6715789386390814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7.6715789386390814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6.5224999999999937</v>
      </c>
      <c r="FE143" s="12">
        <f>IF('Données projet'!$A$218&gt;35,FE142+FD143-FM142,IF(A143&lt;'Données projet'!$A$218,$FB$205^A143,IF(A143='Données projet'!$A$218,'Données projet'!$B$218,FE142+FD143-FM142)))</f>
        <v>327.13749999999993</v>
      </c>
      <c r="FF143" s="17">
        <f>FE143*VLOOKUP('Données projet'!$B$16,Paramètres!$A$1:$I$89,3,0)*VLOOKUP('Données projet'!$B$16,Paramètres!$A$1:$I$89,5,0)</f>
        <v>219.44383499999998</v>
      </c>
      <c r="FG143" s="13">
        <f t="shared" si="155"/>
        <v>53.993988203851316</v>
      </c>
      <c r="FH143" s="20">
        <f t="shared" si="130"/>
        <v>476.23754208004101</v>
      </c>
      <c r="FI143" s="59">
        <f t="shared" si="131"/>
        <v>761.66062998426537</v>
      </c>
      <c r="FJ143" s="59">
        <f ca="1">AVERAGE(OFFSET($FI$3,0,0,'Données projet'!$E$16+1,1))-AVERAGE(OFFSET($H$3,0,0,'Données projet'!$E$16+1,1))</f>
        <v>380.73695370216979</v>
      </c>
      <c r="FK143" s="59">
        <f t="shared" si="156"/>
        <v>249.34467160415713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59.642215955296159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59.642215955296159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6.5224999999999937</v>
      </c>
      <c r="FZ143" s="12">
        <f>IF('Données projet'!$A$244&gt;35,FZ142+FY143-GH142,IF(A143&lt;'Données projet'!$A$244,$FW$205^A143,IF(A143='Données projet'!$A$244,'Données projet'!$B$244,FZ142+FY143-GH142)))</f>
        <v>327.13749999999993</v>
      </c>
      <c r="GA143" s="17">
        <f>FZ143*VLOOKUP('Données projet'!$B$17,Paramètres!$A$1:$I$89,3,0)*VLOOKUP('Données projet'!$B$17,Paramètres!$A$1:$I$89,5,0)</f>
        <v>316.40738999999996</v>
      </c>
      <c r="GB143" s="13">
        <f t="shared" si="157"/>
        <v>74.605350802114032</v>
      </c>
      <c r="GC143" s="20">
        <f t="shared" si="133"/>
        <v>681.01385689701522</v>
      </c>
      <c r="GD143" s="59">
        <f t="shared" si="134"/>
        <v>966.43694480123963</v>
      </c>
      <c r="GE143" s="59">
        <f ca="1">AVERAGE(OFFSET($GD$3,0,0,'Données projet'!$E$17+1,1))-AVERAGE(OFFSET($H$3,0,0,'Données projet'!$E$17+1,1))</f>
        <v>511.7458522930001</v>
      </c>
      <c r="GF143" s="59">
        <f t="shared" si="158"/>
        <v>332.37317679966122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69.770139419403023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69.770139419403023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-1.7053025658242404E-13</v>
      </c>
      <c r="GV143" s="17">
        <f>GU143*VLOOKUP('Données projet'!$B$18,Paramètres!$A$1:$I$89,3,0)*VLOOKUP('Données projet'!$B$18,Paramètres!$A$1:$I$89,5,0)</f>
        <v>-1.4897523215040567E-13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348.77506423101278</v>
      </c>
      <c r="HA143" s="59">
        <f t="shared" si="160"/>
        <v>336.13747591329548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40.714565332689595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40.714565332689595</v>
      </c>
    </row>
    <row r="144" spans="1:218" x14ac:dyDescent="0.2">
      <c r="A144" s="10">
        <f t="shared" si="139"/>
        <v>141</v>
      </c>
      <c r="B144" s="71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5">
        <f t="shared" si="110"/>
        <v>183.33333333333334</v>
      </c>
      <c r="I144" s="6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-2.1282176021486519E-13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387.50901594883317</v>
      </c>
      <c r="T144" s="59">
        <f t="shared" si="142"/>
        <v>361.3623790401972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108.88140849464601</v>
      </c>
      <c r="AA144" s="21">
        <f>EXP(-LN(2)/25)*AA143+(1-EXP(-LN(2)/25))/(LN(2)/25)*Calculateur!V144*Calculateur!X144*VLOOKUP('Données projet'!$B$9,Paramètres!$A$1:$I$89,3,0)*0.475*44/12</f>
        <v>13.668345994567582</v>
      </c>
      <c r="AB144" s="21">
        <f>EXP(-LN(2)/2)*AB143+(1-EXP(-LN(2)/2))/(LN(2)/2)*V144*Y144*VLOOKUP('Données projet'!$B$9,Paramètres!$A$1:$I$89,3,0)*0.475*44/12</f>
        <v>6.6449590200582675E-5</v>
      </c>
      <c r="AC144" s="22">
        <f t="shared" si="111"/>
        <v>122.5498209388038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373.47758082856359</v>
      </c>
      <c r="AO144" s="59">
        <f t="shared" si="144"/>
        <v>277.24895424120166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57.417845300425427</v>
      </c>
      <c r="AV144" s="21">
        <f>EXP(-LN(2)/25)*AV143+(1-EXP(-LN(2)/25))/(LN(2)/25)*Calculateur!AQ144*Calculateur!AS144*VLOOKUP('Données projet'!$B$10,Paramètres!$A$1:$I$89,3,0)*0.475*44/12</f>
        <v>6.625890993846447</v>
      </c>
      <c r="AW144" s="21">
        <f>EXP(-LN(2)/2)*AW143+(1-EXP(-LN(2)/2))/(LN(2)/2)*AQ144*AT144*VLOOKUP('Données projet'!$B$10,Paramètres!$A$1:$I$89,3,0)*0.475*44/12</f>
        <v>2.0995984442322673E-8</v>
      </c>
      <c r="AX144" s="21">
        <f t="shared" si="114"/>
        <v>64.04373631526785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-6.8212102632969618E-13</v>
      </c>
      <c r="BE144" s="13">
        <f>BD144*VLOOKUP('Données projet'!$B$11,Paramètres!$A$1:$I$89,3,0)*VLOOKUP('Données projet'!$B$11,Paramètres!$A$1:$I$89,5,0)</f>
        <v>-4.0790837374515837E-13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460.88622650237176</v>
      </c>
      <c r="BJ144" s="59">
        <f t="shared" si="146"/>
        <v>396.05161661639647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67.09916623962566</v>
      </c>
      <c r="BQ144" s="21">
        <f>EXP(-LN(2)/25)*BQ143+(1-EXP(-LN(2)/25))/(LN(2)/25)*Calculateur!BL144*Calculateur!BN144*VLOOKUP('Données projet'!$B$11,Paramètres!$A$1:$I$89,3,0)*0.475*44/12</f>
        <v>7.2640874379546183</v>
      </c>
      <c r="BR144" s="21">
        <f>EXP(-LN(2)/2)*BR143+(1-EXP(-LN(2)/2))/(LN(2)/2)*BL144*BO144*VLOOKUP('Données projet'!$B$11,Paramètres!$A$1:$I$89,3,0)*0.475*44/12</f>
        <v>6.7788051822954735E-9</v>
      </c>
      <c r="BS144" s="22">
        <f t="shared" si="117"/>
        <v>74.36325368435908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-5.1727511163335289E-14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341.60063595566282</v>
      </c>
      <c r="CE144" s="59">
        <f t="shared" si="148"/>
        <v>317.05609766344219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55.070428850047094</v>
      </c>
      <c r="CL144" s="21">
        <f>EXP(-LN(2)/25)*CL143+(1-EXP(-LN(2)/25))/(LN(2)/25)*Calculateur!CG144*Calculateur!CI144*VLOOKUP('Données projet'!$B$12,Paramètres!$A$1:$I$89,3,0)*0.475*44/12</f>
        <v>6.7468012729395443</v>
      </c>
      <c r="CM144" s="21">
        <f>EXP(-LN(2)/2)*CM143+(1-EXP(-LN(2)/2))/(LN(2)/2)*CG144*CJ144*VLOOKUP('Données projet'!$B$12,Paramètres!$A$1:$I$89,3,0)*0.475*44/12</f>
        <v>5.7289326585602599E-10</v>
      </c>
      <c r="CN144" s="22">
        <f t="shared" si="120"/>
        <v>61.817230123559533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8.5265128291212022E-14</v>
      </c>
      <c r="CU144" s="17">
        <f>CT144*VLOOKUP('Données projet'!$B$13,Paramètres!$A$1:$I$89,3,0)*VLOOKUP('Données projet'!$B$13,Paramètres!$A$1:$I$89,5,0)</f>
        <v>8.9119112089974823E-14</v>
      </c>
      <c r="CV144" s="13">
        <f t="shared" si="149"/>
        <v>1.3568952080113142E-12</v>
      </c>
      <c r="CW144" s="20">
        <f t="shared" si="121"/>
        <v>2.5184749408430782E-12</v>
      </c>
      <c r="CX144" s="59">
        <f t="shared" si="122"/>
        <v>285.56031297776252</v>
      </c>
      <c r="CY144" s="59">
        <f ca="1">AVERAGE(OFFSET($CX$3,0,0,'Données projet'!$E$13+1,1))-AVERAGE(OFFSET($H$3,0,0,'Données projet'!$E$13+1,1))</f>
        <v>287.73449456153207</v>
      </c>
      <c r="CZ144" s="59">
        <f t="shared" si="150"/>
        <v>296.74833899433281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29.211619554346015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29.211619554346015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6.5224999999999937</v>
      </c>
      <c r="DO144" s="12">
        <f>IF('Données projet'!$A$166&gt;35,DO143+DN144-DW143,IF(A144&lt;'Données projet'!$A$166,$DL$205^A144,IF(A144='Données projet'!$A$166,'Données projet'!$B$166,DO143+DN144-DW143)))</f>
        <v>333.65999999999991</v>
      </c>
      <c r="DP144" s="17">
        <f>DO144*VLOOKUP('Données projet'!$B$14,Paramètres!$A$1:$I$89,3,0)*VLOOKUP('Données projet'!$B$14,Paramètres!$A$1:$I$89,5,0)</f>
        <v>338.33123999999998</v>
      </c>
      <c r="DQ144" s="13">
        <f t="shared" si="151"/>
        <v>79.155071373727068</v>
      </c>
      <c r="DR144" s="20">
        <f t="shared" si="124"/>
        <v>727.12199230924125</v>
      </c>
      <c r="DS144" s="59">
        <f t="shared" si="125"/>
        <v>1012.6823052870013</v>
      </c>
      <c r="DT144" s="59">
        <f ca="1">AVERAGE(OFFSET($DS$3,0,0,'Données projet'!$E$14+1,1))-AVERAGE(OFFSET($H$3,0,0,'Données projet'!$E$14+1,1))</f>
        <v>532.34688562681413</v>
      </c>
      <c r="DU144" s="59">
        <f t="shared" si="152"/>
        <v>345.42627129678556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71.711763228437945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71.711763228437945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-5.1431925385259088E-14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256.20286603823035</v>
      </c>
      <c r="EP144" s="59">
        <f t="shared" si="154"/>
        <v>364.83827155069434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7.5211439548534891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7.5211439548534891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6.5224999999999937</v>
      </c>
      <c r="FE144" s="12">
        <f>IF('Données projet'!$A$218&gt;35,FE143+FD144-FM143,IF(A144&lt;'Données projet'!$A$218,$FB$205^A144,IF(A144='Données projet'!$A$218,'Données projet'!$B$218,FE143+FD144-FM143)))</f>
        <v>333.65999999999991</v>
      </c>
      <c r="FF144" s="17">
        <f>FE144*VLOOKUP('Données projet'!$B$16,Paramètres!$A$1:$I$89,3,0)*VLOOKUP('Données projet'!$B$16,Paramètres!$A$1:$I$89,5,0)</f>
        <v>223.81912799999995</v>
      </c>
      <c r="FG144" s="13">
        <f t="shared" si="155"/>
        <v>54.944121044680962</v>
      </c>
      <c r="FH144" s="20">
        <f t="shared" si="130"/>
        <v>485.51265875281916</v>
      </c>
      <c r="FI144" s="59">
        <f t="shared" si="131"/>
        <v>771.07297173057918</v>
      </c>
      <c r="FJ144" s="59">
        <f ca="1">AVERAGE(OFFSET($FI$3,0,0,'Données projet'!$E$16+1,1))-AVERAGE(OFFSET($H$3,0,0,'Données projet'!$E$16+1,1))</f>
        <v>380.73695370216979</v>
      </c>
      <c r="FK144" s="59">
        <f t="shared" si="156"/>
        <v>249.34467160415713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58.472668478572487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58.472668478572487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6.5224999999999937</v>
      </c>
      <c r="FZ144" s="12">
        <f>IF('Données projet'!$A$244&gt;35,FZ143+FY144-GH143,IF(A144&lt;'Données projet'!$A$244,$FW$205^A144,IF(A144='Données projet'!$A$244,'Données projet'!$B$244,FZ143+FY144-GH143)))</f>
        <v>333.65999999999991</v>
      </c>
      <c r="GA144" s="17">
        <f>FZ144*VLOOKUP('Données projet'!$B$17,Paramètres!$A$1:$I$89,3,0)*VLOOKUP('Données projet'!$B$17,Paramètres!$A$1:$I$89,5,0)</f>
        <v>322.71595199999996</v>
      </c>
      <c r="GB144" s="13">
        <f t="shared" si="157"/>
        <v>75.918182031233215</v>
      </c>
      <c r="GC144" s="20">
        <f t="shared" si="133"/>
        <v>694.28778343773104</v>
      </c>
      <c r="GD144" s="59">
        <f t="shared" si="134"/>
        <v>979.848096415491</v>
      </c>
      <c r="GE144" s="59">
        <f ca="1">AVERAGE(OFFSET($GD$3,0,0,'Données projet'!$E$17+1,1))-AVERAGE(OFFSET($H$3,0,0,'Données projet'!$E$17+1,1))</f>
        <v>511.7458522930001</v>
      </c>
      <c r="GF144" s="59">
        <f t="shared" si="158"/>
        <v>332.37317679966122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68.401989540971556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68.401989540971556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-1.7053025658242404E-13</v>
      </c>
      <c r="GV144" s="17">
        <f>GU144*VLOOKUP('Données projet'!$B$18,Paramètres!$A$1:$I$89,3,0)*VLOOKUP('Données projet'!$B$18,Paramètres!$A$1:$I$89,5,0)</f>
        <v>-1.4897523215040567E-13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348.77506423101278</v>
      </c>
      <c r="HA144" s="59">
        <f t="shared" si="160"/>
        <v>336.13747591329548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39.916177539948308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39.916177539948308</v>
      </c>
    </row>
    <row r="145" spans="1:218" x14ac:dyDescent="0.2">
      <c r="A145" s="10">
        <f t="shared" si="139"/>
        <v>142</v>
      </c>
      <c r="B145" s="71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5">
        <f t="shared" si="110"/>
        <v>183.33333333333334</v>
      </c>
      <c r="I145" s="6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-2.1282176021486519E-13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387.50901594883317</v>
      </c>
      <c r="T145" s="59">
        <f t="shared" si="142"/>
        <v>361.3623790401972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106.74631048516763</v>
      </c>
      <c r="AA145" s="21">
        <f>EXP(-LN(2)/25)*AA144+(1-EXP(-LN(2)/25))/(LN(2)/25)*Calculateur!V145*Calculateur!X145*VLOOKUP('Données projet'!$B$9,Paramètres!$A$1:$I$89,3,0)*0.475*44/12</f>
        <v>13.294584354559056</v>
      </c>
      <c r="AB145" s="21">
        <f>EXP(-LN(2)/2)*AB144+(1-EXP(-LN(2)/2))/(LN(2)/2)*V145*Y145*VLOOKUP('Données projet'!$B$9,Paramètres!$A$1:$I$89,3,0)*0.475*44/12</f>
        <v>4.6986955837899167E-5</v>
      </c>
      <c r="AC145" s="22">
        <f t="shared" si="111"/>
        <v>120.04094182668253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373.47758082856359</v>
      </c>
      <c r="AO145" s="59">
        <f t="shared" si="144"/>
        <v>277.24895424120166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56.29191637551164</v>
      </c>
      <c r="AV145" s="21">
        <f>EXP(-LN(2)/25)*AV144+(1-EXP(-LN(2)/25))/(LN(2)/25)*Calculateur!AQ145*Calculateur!AS145*VLOOKUP('Données projet'!$B$10,Paramètres!$A$1:$I$89,3,0)*0.475*44/12</f>
        <v>6.4447056561792522</v>
      </c>
      <c r="AW145" s="21">
        <f>EXP(-LN(2)/2)*AW144+(1-EXP(-LN(2)/2))/(LN(2)/2)*AQ145*AT145*VLOOKUP('Données projet'!$B$10,Paramètres!$A$1:$I$89,3,0)*0.475*44/12</f>
        <v>1.4846402976853616E-8</v>
      </c>
      <c r="AX145" s="21">
        <f t="shared" si="114"/>
        <v>62.736622046537292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-6.8212102632969618E-13</v>
      </c>
      <c r="BE145" s="13">
        <f>BD145*VLOOKUP('Données projet'!$B$11,Paramètres!$A$1:$I$89,3,0)*VLOOKUP('Données projet'!$B$11,Paramètres!$A$1:$I$89,5,0)</f>
        <v>-4.0790837374515837E-13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460.88622650237176</v>
      </c>
      <c r="BJ145" s="59">
        <f t="shared" si="146"/>
        <v>396.05161661639647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65.783392516116862</v>
      </c>
      <c r="BQ145" s="21">
        <f>EXP(-LN(2)/25)*BQ144+(1-EXP(-LN(2)/25))/(LN(2)/25)*Calculateur!BL145*Calculateur!BN145*VLOOKUP('Données projet'!$B$11,Paramètres!$A$1:$I$89,3,0)*0.475*44/12</f>
        <v>7.0654505849619929</v>
      </c>
      <c r="BR145" s="21">
        <f>EXP(-LN(2)/2)*BR144+(1-EXP(-LN(2)/2))/(LN(2)/2)*BL145*BO145*VLOOKUP('Données projet'!$B$11,Paramètres!$A$1:$I$89,3,0)*0.475*44/12</f>
        <v>4.7933391127436397E-9</v>
      </c>
      <c r="BS145" s="22">
        <f t="shared" si="117"/>
        <v>72.848843105872191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-5.1727511163335289E-14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341.60063595566282</v>
      </c>
      <c r="CE145" s="59">
        <f t="shared" si="148"/>
        <v>317.05609766344219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53.99053132994257</v>
      </c>
      <c r="CL145" s="21">
        <f>EXP(-LN(2)/25)*CL144+(1-EXP(-LN(2)/25))/(LN(2)/25)*Calculateur!CG145*Calculateur!CI145*VLOOKUP('Données projet'!$B$12,Paramètres!$A$1:$I$89,3,0)*0.475*44/12</f>
        <v>6.5623096373321532</v>
      </c>
      <c r="CM145" s="21">
        <f>EXP(-LN(2)/2)*CM144+(1-EXP(-LN(2)/2))/(LN(2)/2)*CG145*CJ145*VLOOKUP('Données projet'!$B$12,Paramètres!$A$1:$I$89,3,0)*0.475*44/12</f>
        <v>4.0509671318290358E-10</v>
      </c>
      <c r="CN145" s="22">
        <f t="shared" si="120"/>
        <v>60.55284096767982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8.5265128291212022E-14</v>
      </c>
      <c r="CU145" s="17">
        <f>CT145*VLOOKUP('Données projet'!$B$13,Paramètres!$A$1:$I$89,3,0)*VLOOKUP('Données projet'!$B$13,Paramètres!$A$1:$I$89,5,0)</f>
        <v>8.9119112089974823E-14</v>
      </c>
      <c r="CV145" s="13">
        <f t="shared" si="149"/>
        <v>1.3568952080113142E-12</v>
      </c>
      <c r="CW145" s="20">
        <f t="shared" si="121"/>
        <v>2.5184749408430782E-12</v>
      </c>
      <c r="CX145" s="59">
        <f t="shared" si="122"/>
        <v>285.69515750306158</v>
      </c>
      <c r="CY145" s="59">
        <f ca="1">AVERAGE(OFFSET($CX$3,0,0,'Données projet'!$E$13+1,1))-AVERAGE(OFFSET($H$3,0,0,'Données projet'!$E$13+1,1))</f>
        <v>287.73449456153207</v>
      </c>
      <c r="CZ145" s="59">
        <f t="shared" si="150"/>
        <v>296.74833899433281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28.638797512213902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28.638797512213902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6.5224999999999937</v>
      </c>
      <c r="DO145" s="12">
        <f>IF('Données projet'!$A$166&gt;35,DO144+DN145-DW144,IF(A145&lt;'Données projet'!$A$166,$DL$205^A145,IF(A145='Données projet'!$A$166,'Données projet'!$B$166,DO144+DN145-DW144)))</f>
        <v>340.18249999999989</v>
      </c>
      <c r="DP145" s="17">
        <f>DO145*VLOOKUP('Données projet'!$B$14,Paramètres!$A$1:$I$89,3,0)*VLOOKUP('Données projet'!$B$14,Paramètres!$A$1:$I$89,5,0)</f>
        <v>344.94505499999991</v>
      </c>
      <c r="DQ145" s="13">
        <f t="shared" si="151"/>
        <v>80.520765910362144</v>
      </c>
      <c r="DR145" s="20">
        <f t="shared" si="124"/>
        <v>741.01963808554717</v>
      </c>
      <c r="DS145" s="59">
        <f t="shared" si="125"/>
        <v>1026.7147955886062</v>
      </c>
      <c r="DT145" s="59">
        <f ca="1">AVERAGE(OFFSET($DS$3,0,0,'Données projet'!$E$14+1,1))-AVERAGE(OFFSET($H$3,0,0,'Données projet'!$E$14+1,1))</f>
        <v>532.34688562681413</v>
      </c>
      <c r="DU145" s="59">
        <f t="shared" si="152"/>
        <v>345.42627129678556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70.305539291384889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70.305539291384889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-5.1431925385259088E-14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256.20286603823035</v>
      </c>
      <c r="EP145" s="59">
        <f t="shared" si="154"/>
        <v>364.83827155069434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7.3736589093436518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7.3736589093436518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6.5224999999999937</v>
      </c>
      <c r="FE145" s="12">
        <f>IF('Données projet'!$A$218&gt;35,FE144+FD145-FM144,IF(A145&lt;'Données projet'!$A$218,$FB$205^A145,IF(A145='Données projet'!$A$218,'Données projet'!$B$218,FE144+FD145-FM144)))</f>
        <v>340.18249999999989</v>
      </c>
      <c r="FF145" s="17">
        <f>FE145*VLOOKUP('Données projet'!$B$16,Paramètres!$A$1:$I$89,3,0)*VLOOKUP('Données projet'!$B$16,Paramètres!$A$1:$I$89,5,0)</f>
        <v>228.19442099999995</v>
      </c>
      <c r="FG145" s="13">
        <f t="shared" si="155"/>
        <v>55.892094239937869</v>
      </c>
      <c r="FH145" s="20">
        <f t="shared" si="130"/>
        <v>494.78401404289161</v>
      </c>
      <c r="FI145" s="59">
        <f t="shared" si="131"/>
        <v>780.47917154595075</v>
      </c>
      <c r="FJ145" s="59">
        <f ca="1">AVERAGE(OFFSET($FI$3,0,0,'Données projet'!$E$16+1,1))-AVERAGE(OFFSET($H$3,0,0,'Données projet'!$E$16+1,1))</f>
        <v>380.73695370216979</v>
      </c>
      <c r="FK145" s="59">
        <f t="shared" si="156"/>
        <v>249.34467160415713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57.326055114513842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57.326055114513842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6.5224999999999937</v>
      </c>
      <c r="FZ145" s="12">
        <f>IF('Données projet'!$A$244&gt;35,FZ144+FY145-GH144,IF(A145&lt;'Données projet'!$A$244,$FW$205^A145,IF(A145='Données projet'!$A$244,'Données projet'!$B$244,FZ144+FY145-GH144)))</f>
        <v>340.18249999999989</v>
      </c>
      <c r="GA145" s="17">
        <f>FZ145*VLOOKUP('Données projet'!$B$17,Paramètres!$A$1:$I$89,3,0)*VLOOKUP('Données projet'!$B$17,Paramètres!$A$1:$I$89,5,0)</f>
        <v>329.0245139999999</v>
      </c>
      <c r="GB145" s="13">
        <f t="shared" si="157"/>
        <v>77.228029203776288</v>
      </c>
      <c r="GC145" s="20">
        <f t="shared" si="133"/>
        <v>707.55651274657691</v>
      </c>
      <c r="GD145" s="59">
        <f t="shared" si="134"/>
        <v>993.25167024963594</v>
      </c>
      <c r="GE145" s="59">
        <f ca="1">AVERAGE(OFFSET($GD$3,0,0,'Données projet'!$E$17+1,1))-AVERAGE(OFFSET($H$3,0,0,'Données projet'!$E$17+1,1))</f>
        <v>511.7458522930001</v>
      </c>
      <c r="GF145" s="59">
        <f t="shared" si="158"/>
        <v>332.37317679966122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67.060668247167115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67.060668247167115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-1.7053025658242404E-13</v>
      </c>
      <c r="GV145" s="17">
        <f>GU145*VLOOKUP('Données projet'!$B$18,Paramètres!$A$1:$I$89,3,0)*VLOOKUP('Données projet'!$B$18,Paramètres!$A$1:$I$89,5,0)</f>
        <v>-1.4897523215040567E-13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348.77506423101278</v>
      </c>
      <c r="HA145" s="59">
        <f t="shared" si="160"/>
        <v>336.13747591329548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39.133445644854206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39.133445644854206</v>
      </c>
    </row>
    <row r="146" spans="1:218" x14ac:dyDescent="0.2">
      <c r="A146" s="10">
        <f t="shared" si="139"/>
        <v>143</v>
      </c>
      <c r="B146" s="71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5">
        <f t="shared" si="110"/>
        <v>183.33333333333334</v>
      </c>
      <c r="I146" s="6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-2.1282176021486519E-13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387.50901594883317</v>
      </c>
      <c r="T146" s="59">
        <f t="shared" si="142"/>
        <v>361.3623790401972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104.65308044537392</v>
      </c>
      <c r="AA146" s="21">
        <f>EXP(-LN(2)/25)*AA145+(1-EXP(-LN(2)/25))/(LN(2)/25)*Calculateur!V146*Calculateur!X146*VLOOKUP('Données projet'!$B$9,Paramètres!$A$1:$I$89,3,0)*0.475*44/12</f>
        <v>12.931043246251832</v>
      </c>
      <c r="AB146" s="21">
        <f>EXP(-LN(2)/2)*AB145+(1-EXP(-LN(2)/2))/(LN(2)/2)*V146*Y146*VLOOKUP('Données projet'!$B$9,Paramètres!$A$1:$I$89,3,0)*0.475*44/12</f>
        <v>3.3224795100291337E-5</v>
      </c>
      <c r="AC146" s="22">
        <f t="shared" si="111"/>
        <v>117.58415691642085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373.47758082856359</v>
      </c>
      <c r="AO146" s="59">
        <f t="shared" si="144"/>
        <v>277.24895424120166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55.188066230066575</v>
      </c>
      <c r="AV146" s="21">
        <f>EXP(-LN(2)/25)*AV145+(1-EXP(-LN(2)/25))/(LN(2)/25)*Calculateur!AQ146*Calculateur!AS146*VLOOKUP('Données projet'!$B$10,Paramètres!$A$1:$I$89,3,0)*0.475*44/12</f>
        <v>6.2684748410986897</v>
      </c>
      <c r="AW146" s="21">
        <f>EXP(-LN(2)/2)*AW145+(1-EXP(-LN(2)/2))/(LN(2)/2)*AQ146*AT146*VLOOKUP('Données projet'!$B$10,Paramètres!$A$1:$I$89,3,0)*0.475*44/12</f>
        <v>1.0497992221161338E-8</v>
      </c>
      <c r="AX146" s="21">
        <f t="shared" si="114"/>
        <v>61.456541081663254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-6.8212102632969618E-13</v>
      </c>
      <c r="BE146" s="13">
        <f>BD146*VLOOKUP('Données projet'!$B$11,Paramètres!$A$1:$I$89,3,0)*VLOOKUP('Données projet'!$B$11,Paramètres!$A$1:$I$89,5,0)</f>
        <v>-4.0790837374515837E-13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460.88622650237176</v>
      </c>
      <c r="BJ146" s="59">
        <f t="shared" si="146"/>
        <v>396.05161661639647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64.493420312783343</v>
      </c>
      <c r="BQ146" s="21">
        <f>EXP(-LN(2)/25)*BQ145+(1-EXP(-LN(2)/25))/(LN(2)/25)*Calculateur!BL146*Calculateur!BN146*VLOOKUP('Données projet'!$B$11,Paramètres!$A$1:$I$89,3,0)*0.475*44/12</f>
        <v>6.872245467160309</v>
      </c>
      <c r="BR146" s="21">
        <f>EXP(-LN(2)/2)*BR145+(1-EXP(-LN(2)/2))/(LN(2)/2)*BL146*BO146*VLOOKUP('Données projet'!$B$11,Paramètres!$A$1:$I$89,3,0)*0.475*44/12</f>
        <v>3.3894025911477367E-9</v>
      </c>
      <c r="BS146" s="22">
        <f t="shared" si="117"/>
        <v>71.365665783333057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-5.1727511163335289E-14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341.60063595566282</v>
      </c>
      <c r="CE146" s="59">
        <f t="shared" si="148"/>
        <v>317.05609766344219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52.931809941534844</v>
      </c>
      <c r="CL146" s="21">
        <f>EXP(-LN(2)/25)*CL145+(1-EXP(-LN(2)/25))/(LN(2)/25)*Calculateur!CG146*Calculateur!CI146*VLOOKUP('Données projet'!$B$12,Paramètres!$A$1:$I$89,3,0)*0.475*44/12</f>
        <v>6.3828629352024402</v>
      </c>
      <c r="CM146" s="21">
        <f>EXP(-LN(2)/2)*CM145+(1-EXP(-LN(2)/2))/(LN(2)/2)*CG146*CJ146*VLOOKUP('Données projet'!$B$12,Paramètres!$A$1:$I$89,3,0)*0.475*44/12</f>
        <v>2.86446632928013E-10</v>
      </c>
      <c r="CN146" s="22">
        <f t="shared" si="120"/>
        <v>59.314672877023732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8.5265128291212022E-14</v>
      </c>
      <c r="CU146" s="17">
        <f>CT146*VLOOKUP('Données projet'!$B$13,Paramètres!$A$1:$I$89,3,0)*VLOOKUP('Données projet'!$B$13,Paramètres!$A$1:$I$89,5,0)</f>
        <v>8.9119112089974823E-14</v>
      </c>
      <c r="CV146" s="13">
        <f t="shared" si="149"/>
        <v>1.3568952080113142E-12</v>
      </c>
      <c r="CW146" s="20">
        <f t="shared" si="121"/>
        <v>2.5184749408430782E-12</v>
      </c>
      <c r="CX146" s="59">
        <f t="shared" si="122"/>
        <v>285.82766277731395</v>
      </c>
      <c r="CY146" s="59">
        <f ca="1">AVERAGE(OFFSET($CX$3,0,0,'Données projet'!$E$13+1,1))-AVERAGE(OFFSET($H$3,0,0,'Données projet'!$E$13+1,1))</f>
        <v>287.73449456153207</v>
      </c>
      <c r="CZ146" s="59">
        <f t="shared" si="150"/>
        <v>296.74833899433281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28.077208160941055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28.077208160941055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6.5224999999999937</v>
      </c>
      <c r="DO146" s="12">
        <f>IF('Données projet'!$A$166&gt;35,DO145+DN146-DW145,IF(A146&lt;'Données projet'!$A$166,$DL$205^A146,IF(A146='Données projet'!$A$166,'Données projet'!$B$166,DO145+DN146-DW145)))</f>
        <v>346.70499999999987</v>
      </c>
      <c r="DP146" s="17">
        <f>DO146*VLOOKUP('Données projet'!$B$14,Paramètres!$A$1:$I$89,3,0)*VLOOKUP('Données projet'!$B$14,Paramètres!$A$1:$I$89,5,0)</f>
        <v>351.5588699999999</v>
      </c>
      <c r="DQ146" s="13">
        <f t="shared" si="151"/>
        <v>81.88341569262343</v>
      </c>
      <c r="DR146" s="20">
        <f t="shared" si="124"/>
        <v>754.9119809146523</v>
      </c>
      <c r="DS146" s="59">
        <f t="shared" si="125"/>
        <v>1040.7396436919637</v>
      </c>
      <c r="DT146" s="59">
        <f ca="1">AVERAGE(OFFSET($DS$3,0,0,'Données projet'!$E$14+1,1))-AVERAGE(OFFSET($H$3,0,0,'Données projet'!$E$14+1,1))</f>
        <v>532.34688562681413</v>
      </c>
      <c r="DU146" s="59">
        <f t="shared" si="152"/>
        <v>345.42627129678556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68.92689054802554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68.92689054802554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-5.1431925385259088E-14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256.20286603823035</v>
      </c>
      <c r="EP146" s="59">
        <f t="shared" si="154"/>
        <v>364.83827155069434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7.2290659556192676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7.2290659556192676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6.5224999999999937</v>
      </c>
      <c r="FE146" s="12">
        <f>IF('Données projet'!$A$218&gt;35,FE145+FD146-FM145,IF(A146&lt;'Données projet'!$A$218,$FB$205^A146,IF(A146='Données projet'!$A$218,'Données projet'!$B$218,FE145+FD146-FM145)))</f>
        <v>346.70499999999987</v>
      </c>
      <c r="FF146" s="17">
        <f>FE146*VLOOKUP('Données projet'!$B$16,Paramètres!$A$1:$I$89,3,0)*VLOOKUP('Données projet'!$B$16,Paramètres!$A$1:$I$89,5,0)</f>
        <v>232.56971399999989</v>
      </c>
      <c r="FG146" s="13">
        <f t="shared" si="155"/>
        <v>56.837953971711407</v>
      </c>
      <c r="FH146" s="20">
        <f t="shared" si="130"/>
        <v>504.05168838406388</v>
      </c>
      <c r="FI146" s="59">
        <f t="shared" si="131"/>
        <v>789.87935116137533</v>
      </c>
      <c r="FJ146" s="59">
        <f ca="1">AVERAGE(OFFSET($FI$3,0,0,'Données projet'!$E$16+1,1))-AVERAGE(OFFSET($H$3,0,0,'Données projet'!$E$16+1,1))</f>
        <v>380.73695370216979</v>
      </c>
      <c r="FK146" s="59">
        <f t="shared" si="156"/>
        <v>249.34467160415713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56.201926139159298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56.201926139159298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6.5224999999999937</v>
      </c>
      <c r="FZ146" s="12">
        <f>IF('Données projet'!$A$244&gt;35,FZ145+FY146-GH145,IF(A146&lt;'Données projet'!$A$244,$FW$205^A146,IF(A146='Données projet'!$A$244,'Données projet'!$B$244,FZ145+FY146-GH145)))</f>
        <v>346.70499999999987</v>
      </c>
      <c r="GA146" s="17">
        <f>FZ146*VLOOKUP('Données projet'!$B$17,Paramètres!$A$1:$I$89,3,0)*VLOOKUP('Données projet'!$B$17,Paramètres!$A$1:$I$89,5,0)</f>
        <v>335.33307599999989</v>
      </c>
      <c r="GB146" s="13">
        <f t="shared" si="157"/>
        <v>78.534956131124929</v>
      </c>
      <c r="GC146" s="20">
        <f t="shared" si="133"/>
        <v>720.82015596170902</v>
      </c>
      <c r="GD146" s="59">
        <f t="shared" si="134"/>
        <v>1006.6478187390205</v>
      </c>
      <c r="GE146" s="59">
        <f ca="1">AVERAGE(OFFSET($GD$3,0,0,'Données projet'!$E$17+1,1))-AVERAGE(OFFSET($H$3,0,0,'Données projet'!$E$17+1,1))</f>
        <v>511.7458522930001</v>
      </c>
      <c r="GF146" s="59">
        <f t="shared" si="158"/>
        <v>332.37317679966122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65.745649445808965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65.745649445808965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-1.7053025658242404E-13</v>
      </c>
      <c r="GV146" s="17">
        <f>GU146*VLOOKUP('Données projet'!$B$18,Paramètres!$A$1:$I$89,3,0)*VLOOKUP('Données projet'!$B$18,Paramètres!$A$1:$I$89,5,0)</f>
        <v>-1.4897523215040567E-13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348.77506423101278</v>
      </c>
      <c r="HA146" s="59">
        <f t="shared" si="160"/>
        <v>336.13747591329548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38.366062644803584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38.366062644803584</v>
      </c>
    </row>
    <row r="147" spans="1:218" x14ac:dyDescent="0.2">
      <c r="A147" s="10">
        <f t="shared" si="139"/>
        <v>144</v>
      </c>
      <c r="B147" s="71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5">
        <f t="shared" si="110"/>
        <v>183.33333333333334</v>
      </c>
      <c r="I147" s="6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-2.1282176021486519E-13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387.50901594883317</v>
      </c>
      <c r="T147" s="59">
        <f t="shared" si="142"/>
        <v>361.3623790401972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102.60089736991631</v>
      </c>
      <c r="AA147" s="21">
        <f>EXP(-LN(2)/25)*AA146+(1-EXP(-LN(2)/25))/(LN(2)/25)*Calculateur!V147*Calculateur!X147*VLOOKUP('Données projet'!$B$9,Paramètres!$A$1:$I$89,3,0)*0.475*44/12</f>
        <v>12.577443188669065</v>
      </c>
      <c r="AB147" s="21">
        <f>EXP(-LN(2)/2)*AB146+(1-EXP(-LN(2)/2))/(LN(2)/2)*V147*Y147*VLOOKUP('Données projet'!$B$9,Paramètres!$A$1:$I$89,3,0)*0.475*44/12</f>
        <v>2.3493477918949583E-5</v>
      </c>
      <c r="AC147" s="22">
        <f t="shared" si="111"/>
        <v>115.1783640520633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373.47758082856359</v>
      </c>
      <c r="AO147" s="59">
        <f t="shared" si="144"/>
        <v>277.24895424120166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54.10586191269158</v>
      </c>
      <c r="AV147" s="21">
        <f>EXP(-LN(2)/25)*AV146+(1-EXP(-LN(2)/25))/(LN(2)/25)*Calculateur!AQ147*Calculateur!AS147*VLOOKUP('Données projet'!$B$10,Paramètres!$A$1:$I$89,3,0)*0.475*44/12</f>
        <v>6.0970630669240808</v>
      </c>
      <c r="AW147" s="21">
        <f>EXP(-LN(2)/2)*AW146+(1-EXP(-LN(2)/2))/(LN(2)/2)*AQ147*AT147*VLOOKUP('Données projet'!$B$10,Paramètres!$A$1:$I$89,3,0)*0.475*44/12</f>
        <v>7.4232014884268088E-9</v>
      </c>
      <c r="AX147" s="21">
        <f t="shared" si="114"/>
        <v>60.202924987038863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-6.8212102632969618E-13</v>
      </c>
      <c r="BE147" s="13">
        <f>BD147*VLOOKUP('Données projet'!$B$11,Paramètres!$A$1:$I$89,3,0)*VLOOKUP('Données projet'!$B$11,Paramètres!$A$1:$I$89,5,0)</f>
        <v>-4.0790837374515837E-13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460.88622650237176</v>
      </c>
      <c r="BJ147" s="59">
        <f t="shared" si="146"/>
        <v>396.05161661639647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63.228743677551833</v>
      </c>
      <c r="BQ147" s="21">
        <f>EXP(-LN(2)/25)*BQ146+(1-EXP(-LN(2)/25))/(LN(2)/25)*Calculateur!BL147*Calculateur!BN147*VLOOKUP('Données projet'!$B$11,Paramètres!$A$1:$I$89,3,0)*0.475*44/12</f>
        <v>6.684323553465128</v>
      </c>
      <c r="BR147" s="21">
        <f>EXP(-LN(2)/2)*BR146+(1-EXP(-LN(2)/2))/(LN(2)/2)*BL147*BO147*VLOOKUP('Données projet'!$B$11,Paramètres!$A$1:$I$89,3,0)*0.475*44/12</f>
        <v>2.3966695563718198E-9</v>
      </c>
      <c r="BS147" s="22">
        <f t="shared" si="117"/>
        <v>69.913067233413642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-5.1727511163335289E-14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341.60063595566282</v>
      </c>
      <c r="CE147" s="59">
        <f t="shared" si="148"/>
        <v>317.05609766344219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51.893849433797513</v>
      </c>
      <c r="CL147" s="21">
        <f>EXP(-LN(2)/25)*CL146+(1-EXP(-LN(2)/25))/(LN(2)/25)*Calculateur!CG147*Calculateur!CI147*VLOOKUP('Données projet'!$B$12,Paramètres!$A$1:$I$89,3,0)*0.475*44/12</f>
        <v>6.2083232125791561</v>
      </c>
      <c r="CM147" s="21">
        <f>EXP(-LN(2)/2)*CM146+(1-EXP(-LN(2)/2))/(LN(2)/2)*CG147*CJ147*VLOOKUP('Données projet'!$B$12,Paramètres!$A$1:$I$89,3,0)*0.475*44/12</f>
        <v>2.0254835659145179E-10</v>
      </c>
      <c r="CN147" s="22">
        <f t="shared" si="120"/>
        <v>58.10217264657922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8.5265128291212022E-14</v>
      </c>
      <c r="CU147" s="17">
        <f>CT147*VLOOKUP('Données projet'!$B$13,Paramètres!$A$1:$I$89,3,0)*VLOOKUP('Données projet'!$B$13,Paramètres!$A$1:$I$89,5,0)</f>
        <v>8.9119112089974823E-14</v>
      </c>
      <c r="CV147" s="13">
        <f t="shared" si="149"/>
        <v>1.3568952080113142E-12</v>
      </c>
      <c r="CW147" s="20">
        <f t="shared" si="121"/>
        <v>2.5184749408430782E-12</v>
      </c>
      <c r="CX147" s="59">
        <f t="shared" si="122"/>
        <v>285.95786938129538</v>
      </c>
      <c r="CY147" s="59">
        <f ca="1">AVERAGE(OFFSET($CX$3,0,0,'Données projet'!$E$13+1,1))-AVERAGE(OFFSET($H$3,0,0,'Données projet'!$E$13+1,1))</f>
        <v>287.73449456153207</v>
      </c>
      <c r="CZ147" s="59">
        <f t="shared" si="150"/>
        <v>296.74833899433281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27.526631234310987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27.526631234310987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6.5224999999999937</v>
      </c>
      <c r="DO147" s="12">
        <f>IF('Données projet'!$A$166&gt;35,DO146+DN147-DW146,IF(A147&lt;'Données projet'!$A$166,$DL$205^A147,IF(A147='Données projet'!$A$166,'Données projet'!$B$166,DO146+DN147-DW146)))</f>
        <v>353.22749999999985</v>
      </c>
      <c r="DP147" s="17">
        <f>DO147*VLOOKUP('Données projet'!$B$14,Paramètres!$A$1:$I$89,3,0)*VLOOKUP('Données projet'!$B$14,Paramètres!$A$1:$I$89,5,0)</f>
        <v>358.17268499999989</v>
      </c>
      <c r="DQ147" s="13">
        <f t="shared" si="151"/>
        <v>83.243084606014889</v>
      </c>
      <c r="DR147" s="20">
        <f t="shared" si="124"/>
        <v>768.79913206380922</v>
      </c>
      <c r="DS147" s="59">
        <f t="shared" si="125"/>
        <v>1054.7570014451021</v>
      </c>
      <c r="DT147" s="59">
        <f ca="1">AVERAGE(OFFSET($DS$3,0,0,'Données projet'!$E$14+1,1))-AVERAGE(OFFSET($H$3,0,0,'Données projet'!$E$14+1,1))</f>
        <v>532.34688562681413</v>
      </c>
      <c r="DU147" s="59">
        <f t="shared" si="152"/>
        <v>345.42627129678556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67.575276265630762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67.575276265630762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-5.1431925385259088E-14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256.20286603823035</v>
      </c>
      <c r="EP147" s="59">
        <f t="shared" si="154"/>
        <v>364.83827155069434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7.0873083815244247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7.0873083815244247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6.5224999999999937</v>
      </c>
      <c r="FE147" s="12">
        <f>IF('Données projet'!$A$218&gt;35,FE146+FD147-FM146,IF(A147&lt;'Données projet'!$A$218,$FB$205^A147,IF(A147='Données projet'!$A$218,'Données projet'!$B$218,FE146+FD147-FM146)))</f>
        <v>353.22749999999985</v>
      </c>
      <c r="FF147" s="17">
        <f>FE147*VLOOKUP('Données projet'!$B$16,Paramètres!$A$1:$I$89,3,0)*VLOOKUP('Données projet'!$B$16,Paramètres!$A$1:$I$89,5,0)</f>
        <v>236.94500699999992</v>
      </c>
      <c r="FG147" s="13">
        <f t="shared" si="155"/>
        <v>57.781744585017158</v>
      </c>
      <c r="FH147" s="20">
        <f t="shared" si="130"/>
        <v>513.31575901057147</v>
      </c>
      <c r="FI147" s="59">
        <f t="shared" si="131"/>
        <v>799.27362839186435</v>
      </c>
      <c r="FJ147" s="59">
        <f ca="1">AVERAGE(OFFSET($FI$3,0,0,'Données projet'!$E$16+1,1))-AVERAGE(OFFSET($H$3,0,0,'Données projet'!$E$16+1,1))</f>
        <v>380.73695370216979</v>
      </c>
      <c r="FK147" s="59">
        <f t="shared" si="156"/>
        <v>249.34467160415713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55.09984064736048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55.09984064736048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6.5224999999999937</v>
      </c>
      <c r="FZ147" s="12">
        <f>IF('Données projet'!$A$244&gt;35,FZ146+FY147-GH146,IF(A147&lt;'Données projet'!$A$244,$FW$205^A147,IF(A147='Données projet'!$A$244,'Données projet'!$B$244,FZ146+FY147-GH146)))</f>
        <v>353.22749999999985</v>
      </c>
      <c r="GA147" s="17">
        <f>FZ147*VLOOKUP('Données projet'!$B$17,Paramètres!$A$1:$I$89,3,0)*VLOOKUP('Données projet'!$B$17,Paramètres!$A$1:$I$89,5,0)</f>
        <v>341.64163799999989</v>
      </c>
      <c r="GB147" s="13">
        <f t="shared" si="157"/>
        <v>79.839024086312492</v>
      </c>
      <c r="GC147" s="20">
        <f t="shared" si="133"/>
        <v>734.07881980032732</v>
      </c>
      <c r="GD147" s="59">
        <f t="shared" si="134"/>
        <v>1020.0366891816202</v>
      </c>
      <c r="GE147" s="59">
        <f ca="1">AVERAGE(OFFSET($GD$3,0,0,'Données projet'!$E$17+1,1))-AVERAGE(OFFSET($H$3,0,0,'Données projet'!$E$17+1,1))</f>
        <v>511.7458522930001</v>
      </c>
      <c r="GF147" s="59">
        <f t="shared" si="158"/>
        <v>332.37317679966122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64.456417361063174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64.456417361063174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-1.7053025658242404E-13</v>
      </c>
      <c r="GV147" s="17">
        <f>GU147*VLOOKUP('Données projet'!$B$18,Paramètres!$A$1:$I$89,3,0)*VLOOKUP('Données projet'!$B$18,Paramètres!$A$1:$I$89,5,0)</f>
        <v>-1.4897523215040567E-13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348.77506423101278</v>
      </c>
      <c r="HA147" s="59">
        <f t="shared" si="160"/>
        <v>336.13747591329548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37.613727557326541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37.613727557326541</v>
      </c>
    </row>
    <row r="148" spans="1:218" x14ac:dyDescent="0.2">
      <c r="A148" s="10">
        <f t="shared" si="139"/>
        <v>145</v>
      </c>
      <c r="B148" s="71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5">
        <f t="shared" si="110"/>
        <v>183.33333333333334</v>
      </c>
      <c r="I148" s="6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-2.1282176021486519E-13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387.50901594883317</v>
      </c>
      <c r="T148" s="59">
        <f t="shared" si="142"/>
        <v>361.3623790401972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100.58895635286035</v>
      </c>
      <c r="AA148" s="21">
        <f>EXP(-LN(2)/25)*AA147+(1-EXP(-LN(2)/25))/(LN(2)/25)*Calculateur!V148*Calculateur!X148*VLOOKUP('Données projet'!$B$9,Paramètres!$A$1:$I$89,3,0)*0.475*44/12</f>
        <v>12.233512343255919</v>
      </c>
      <c r="AB148" s="21">
        <f>EXP(-LN(2)/2)*AB147+(1-EXP(-LN(2)/2))/(LN(2)/2)*V148*Y148*VLOOKUP('Données projet'!$B$9,Paramètres!$A$1:$I$89,3,0)*0.475*44/12</f>
        <v>1.6612397550145669E-5</v>
      </c>
      <c r="AC148" s="22">
        <f t="shared" si="111"/>
        <v>112.82248530851382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373.47758082856359</v>
      </c>
      <c r="AO148" s="59">
        <f t="shared" si="144"/>
        <v>277.24895424120166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53.044878961900856</v>
      </c>
      <c r="AV148" s="21">
        <f>EXP(-LN(2)/25)*AV147+(1-EXP(-LN(2)/25))/(LN(2)/25)*Calculateur!AQ148*Calculateur!AS148*VLOOKUP('Données projet'!$B$10,Paramètres!$A$1:$I$89,3,0)*0.475*44/12</f>
        <v>5.9303385567284304</v>
      </c>
      <c r="AW148" s="21">
        <f>EXP(-LN(2)/2)*AW147+(1-EXP(-LN(2)/2))/(LN(2)/2)*AQ148*AT148*VLOOKUP('Données projet'!$B$10,Paramètres!$A$1:$I$89,3,0)*0.475*44/12</f>
        <v>5.2489961105806698E-9</v>
      </c>
      <c r="AX148" s="21">
        <f t="shared" si="114"/>
        <v>58.975217523878285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-6.8212102632969618E-13</v>
      </c>
      <c r="BE148" s="13">
        <f>BD148*VLOOKUP('Données projet'!$B$11,Paramètres!$A$1:$I$89,3,0)*VLOOKUP('Données projet'!$B$11,Paramètres!$A$1:$I$89,5,0)</f>
        <v>-4.0790837374515837E-13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460.88622650237176</v>
      </c>
      <c r="BJ148" s="59">
        <f t="shared" si="146"/>
        <v>396.05161661639647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61.988866579760639</v>
      </c>
      <c r="BQ148" s="21">
        <f>EXP(-LN(2)/25)*BQ147+(1-EXP(-LN(2)/25))/(LN(2)/25)*Calculateur!BL148*Calculateur!BN148*VLOOKUP('Données projet'!$B$11,Paramètres!$A$1:$I$89,3,0)*0.475*44/12</f>
        <v>6.5015403743823255</v>
      </c>
      <c r="BR148" s="21">
        <f>EXP(-LN(2)/2)*BR147+(1-EXP(-LN(2)/2))/(LN(2)/2)*BL148*BO148*VLOOKUP('Données projet'!$B$11,Paramètres!$A$1:$I$89,3,0)*0.475*44/12</f>
        <v>1.6947012955738684E-9</v>
      </c>
      <c r="BS148" s="22">
        <f t="shared" si="117"/>
        <v>68.49040695583767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-5.1727511163335289E-14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341.60063595566282</v>
      </c>
      <c r="CE148" s="59">
        <f t="shared" si="148"/>
        <v>317.05609766344219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50.876242698523512</v>
      </c>
      <c r="CL148" s="21">
        <f>EXP(-LN(2)/25)*CL147+(1-EXP(-LN(2)/25))/(LN(2)/25)*Calculateur!CG148*Calculateur!CI148*VLOOKUP('Données projet'!$B$12,Paramètres!$A$1:$I$89,3,0)*0.475*44/12</f>
        <v>6.0385562878496506</v>
      </c>
      <c r="CM148" s="21">
        <f>EXP(-LN(2)/2)*CM147+(1-EXP(-LN(2)/2))/(LN(2)/2)*CG148*CJ148*VLOOKUP('Données projet'!$B$12,Paramètres!$A$1:$I$89,3,0)*0.475*44/12</f>
        <v>1.432233164640065E-10</v>
      </c>
      <c r="CN148" s="22">
        <f t="shared" si="120"/>
        <v>56.914798986516388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8.5265128291212022E-14</v>
      </c>
      <c r="CU148" s="17">
        <f>CT148*VLOOKUP('Données projet'!$B$13,Paramètres!$A$1:$I$89,3,0)*VLOOKUP('Données projet'!$B$13,Paramètres!$A$1:$I$89,5,0)</f>
        <v>8.9119112089974823E-14</v>
      </c>
      <c r="CV148" s="13">
        <f t="shared" si="149"/>
        <v>1.3568952080113142E-12</v>
      </c>
      <c r="CW148" s="20">
        <f t="shared" si="121"/>
        <v>2.5184749408430782E-12</v>
      </c>
      <c r="CX148" s="59">
        <f t="shared" si="122"/>
        <v>286.08581719179608</v>
      </c>
      <c r="CY148" s="59">
        <f ca="1">AVERAGE(OFFSET($CX$3,0,0,'Données projet'!$E$13+1,1))-AVERAGE(OFFSET($H$3,0,0,'Données projet'!$E$13+1,1))</f>
        <v>287.73449456153207</v>
      </c>
      <c r="CZ148" s="59">
        <f t="shared" si="150"/>
        <v>296.74833899433281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26.986850785393369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26.986850785393369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6.5224999999999937</v>
      </c>
      <c r="DO148" s="12">
        <f>IF('Données projet'!$A$166&gt;35,DO147+DN148-DW147,IF(A148&lt;'Données projet'!$A$166,$DL$205^A148,IF(A148='Données projet'!$A$166,'Données projet'!$B$166,DO147+DN148-DW147)))</f>
        <v>359.74999999999983</v>
      </c>
      <c r="DP148" s="17">
        <f>DO148*VLOOKUP('Données projet'!$B$14,Paramètres!$A$1:$I$89,3,0)*VLOOKUP('Données projet'!$B$14,Paramètres!$A$1:$I$89,5,0)</f>
        <v>364.78649999999982</v>
      </c>
      <c r="DQ148" s="13">
        <f t="shared" si="151"/>
        <v>84.599834041635987</v>
      </c>
      <c r="DR148" s="20">
        <f t="shared" si="124"/>
        <v>782.68119845584897</v>
      </c>
      <c r="DS148" s="59">
        <f t="shared" si="125"/>
        <v>1068.7670156476424</v>
      </c>
      <c r="DT148" s="59">
        <f ca="1">AVERAGE(OFFSET($DS$3,0,0,'Données projet'!$E$14+1,1))-AVERAGE(OFFSET($H$3,0,0,'Données projet'!$E$14+1,1))</f>
        <v>532.34688562681413</v>
      </c>
      <c r="DU148" s="59">
        <f t="shared" si="152"/>
        <v>345.42627129678556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66.250166314910444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66.250166314910444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-5.1431925385259088E-14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256.20286603823035</v>
      </c>
      <c r="EP148" s="59">
        <f t="shared" si="154"/>
        <v>364.83827155069434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6.9483305869939995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6.9483305869939995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6.5224999999999937</v>
      </c>
      <c r="FE148" s="12">
        <f>IF('Données projet'!$A$218&gt;35,FE147+FD148-FM147,IF(A148&lt;'Données projet'!$A$218,$FB$205^A148,IF(A148='Données projet'!$A$218,'Données projet'!$B$218,FE147+FD148-FM147)))</f>
        <v>359.74999999999983</v>
      </c>
      <c r="FF148" s="17">
        <f>FE148*VLOOKUP('Données projet'!$B$16,Paramètres!$A$1:$I$89,3,0)*VLOOKUP('Données projet'!$B$16,Paramètres!$A$1:$I$89,5,0)</f>
        <v>241.32029999999986</v>
      </c>
      <c r="FG148" s="13">
        <f t="shared" si="155"/>
        <v>58.723508693422858</v>
      </c>
      <c r="FH148" s="20">
        <f t="shared" si="130"/>
        <v>522.5763001410445</v>
      </c>
      <c r="FI148" s="59">
        <f t="shared" si="131"/>
        <v>808.66211733283808</v>
      </c>
      <c r="FJ148" s="59">
        <f ca="1">AVERAGE(OFFSET($FI$3,0,0,'Données projet'!$E$16+1,1))-AVERAGE(OFFSET($H$3,0,0,'Données projet'!$E$16+1,1))</f>
        <v>380.73695370216979</v>
      </c>
      <c r="FK148" s="59">
        <f t="shared" si="156"/>
        <v>249.34467160415713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54.019366379850062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54.019366379850062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6.5224999999999937</v>
      </c>
      <c r="FZ148" s="12">
        <f>IF('Données projet'!$A$244&gt;35,FZ147+FY148-GH147,IF(A148&lt;'Données projet'!$A$244,$FW$205^A148,IF(A148='Données projet'!$A$244,'Données projet'!$B$244,FZ147+FY148-GH147)))</f>
        <v>359.74999999999983</v>
      </c>
      <c r="GA148" s="17">
        <f>FZ148*VLOOKUP('Données projet'!$B$17,Paramètres!$A$1:$I$89,3,0)*VLOOKUP('Données projet'!$B$17,Paramètres!$A$1:$I$89,5,0)</f>
        <v>347.95019999999988</v>
      </c>
      <c r="GB148" s="13">
        <f t="shared" si="157"/>
        <v>81.140291949971427</v>
      </c>
      <c r="GC148" s="20">
        <f t="shared" si="133"/>
        <v>747.33260681286674</v>
      </c>
      <c r="GD148" s="59">
        <f t="shared" si="134"/>
        <v>1033.4184240046602</v>
      </c>
      <c r="GE148" s="59">
        <f ca="1">AVERAGE(OFFSET($GD$3,0,0,'Données projet'!$E$17+1,1))-AVERAGE(OFFSET($H$3,0,0,'Données projet'!$E$17+1,1))</f>
        <v>511.7458522930001</v>
      </c>
      <c r="GF148" s="59">
        <f t="shared" si="158"/>
        <v>332.37317679966122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63.192466331145326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63.192466331145326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-1.7053025658242404E-13</v>
      </c>
      <c r="GV148" s="17">
        <f>GU148*VLOOKUP('Données projet'!$B$18,Paramètres!$A$1:$I$89,3,0)*VLOOKUP('Données projet'!$B$18,Paramètres!$A$1:$I$89,5,0)</f>
        <v>-1.4897523215040567E-13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348.77506423101278</v>
      </c>
      <c r="HA148" s="59">
        <f t="shared" si="160"/>
        <v>336.13747591329548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36.87614530203583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36.87614530203583</v>
      </c>
    </row>
    <row r="149" spans="1:218" x14ac:dyDescent="0.2">
      <c r="A149" s="10">
        <f t="shared" si="139"/>
        <v>146</v>
      </c>
      <c r="B149" s="71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5">
        <f t="shared" si="110"/>
        <v>183.33333333333334</v>
      </c>
      <c r="I149" s="6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-2.1282176021486519E-13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387.50901594883317</v>
      </c>
      <c r="T149" s="59">
        <f t="shared" si="142"/>
        <v>361.3623790401972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98.616468271986008</v>
      </c>
      <c r="AA149" s="21">
        <f>EXP(-LN(2)/25)*AA148+(1-EXP(-LN(2)/25))/(LN(2)/25)*Calculateur!V149*Calculateur!X149*VLOOKUP('Données projet'!$B$9,Paramètres!$A$1:$I$89,3,0)*0.475*44/12</f>
        <v>11.898986304897132</v>
      </c>
      <c r="AB149" s="21">
        <f>EXP(-LN(2)/2)*AB148+(1-EXP(-LN(2)/2))/(LN(2)/2)*V149*Y149*VLOOKUP('Données projet'!$B$9,Paramètres!$A$1:$I$89,3,0)*0.475*44/12</f>
        <v>1.1746738959474792E-5</v>
      </c>
      <c r="AC149" s="22">
        <f t="shared" si="111"/>
        <v>110.51546632362211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373.47758082856359</v>
      </c>
      <c r="AO149" s="59">
        <f t="shared" si="144"/>
        <v>277.24895424120166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52.004701239639438</v>
      </c>
      <c r="AV149" s="21">
        <f>EXP(-LN(2)/25)*AV148+(1-EXP(-LN(2)/25))/(LN(2)/25)*Calculateur!AQ149*Calculateur!AS149*VLOOKUP('Données projet'!$B$10,Paramètres!$A$1:$I$89,3,0)*0.475*44/12</f>
        <v>5.7681731370317406</v>
      </c>
      <c r="AW149" s="21">
        <f>EXP(-LN(2)/2)*AW148+(1-EXP(-LN(2)/2))/(LN(2)/2)*AQ149*AT149*VLOOKUP('Données projet'!$B$10,Paramètres!$A$1:$I$89,3,0)*0.475*44/12</f>
        <v>3.7116007442134048E-9</v>
      </c>
      <c r="AX149" s="21">
        <f t="shared" si="114"/>
        <v>57.772874380382774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-6.8212102632969618E-13</v>
      </c>
      <c r="BE149" s="13">
        <f>BD149*VLOOKUP('Données projet'!$B$11,Paramètres!$A$1:$I$89,3,0)*VLOOKUP('Données projet'!$B$11,Paramètres!$A$1:$I$89,5,0)</f>
        <v>-4.0790837374515837E-13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460.88622650237176</v>
      </c>
      <c r="BJ149" s="59">
        <f t="shared" si="146"/>
        <v>396.05161661639647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60.773302715606768</v>
      </c>
      <c r="BQ149" s="21">
        <f>EXP(-LN(2)/25)*BQ148+(1-EXP(-LN(2)/25))/(LN(2)/25)*Calculateur!BL149*Calculateur!BN149*VLOOKUP('Données projet'!$B$11,Paramètres!$A$1:$I$89,3,0)*0.475*44/12</f>
        <v>6.3237554109436918</v>
      </c>
      <c r="BR149" s="21">
        <f>EXP(-LN(2)/2)*BR148+(1-EXP(-LN(2)/2))/(LN(2)/2)*BL149*BO149*VLOOKUP('Données projet'!$B$11,Paramètres!$A$1:$I$89,3,0)*0.475*44/12</f>
        <v>1.1983347781859099E-9</v>
      </c>
      <c r="BS149" s="22">
        <f t="shared" si="117"/>
        <v>67.097058127748795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-5.1727511163335289E-14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341.60063595566282</v>
      </c>
      <c r="CE149" s="59">
        <f t="shared" si="148"/>
        <v>317.05609766344219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49.878590610649411</v>
      </c>
      <c r="CL149" s="21">
        <f>EXP(-LN(2)/25)*CL148+(1-EXP(-LN(2)/25))/(LN(2)/25)*Calculateur!CG149*Calculateur!CI149*VLOOKUP('Données projet'!$B$12,Paramètres!$A$1:$I$89,3,0)*0.475*44/12</f>
        <v>5.8734316486045284</v>
      </c>
      <c r="CM149" s="21">
        <f>EXP(-LN(2)/2)*CM148+(1-EXP(-LN(2)/2))/(LN(2)/2)*CG149*CJ149*VLOOKUP('Données projet'!$B$12,Paramètres!$A$1:$I$89,3,0)*0.475*44/12</f>
        <v>1.0127417829572589E-10</v>
      </c>
      <c r="CN149" s="22">
        <f t="shared" si="120"/>
        <v>55.752022259355215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8.5265128291212022E-14</v>
      </c>
      <c r="CU149" s="17">
        <f>CT149*VLOOKUP('Données projet'!$B$13,Paramètres!$A$1:$I$89,3,0)*VLOOKUP('Données projet'!$B$13,Paramètres!$A$1:$I$89,5,0)</f>
        <v>8.9119112089974823E-14</v>
      </c>
      <c r="CV149" s="13">
        <f t="shared" si="149"/>
        <v>1.3568952080113142E-12</v>
      </c>
      <c r="CW149" s="20">
        <f t="shared" si="121"/>
        <v>2.5184749408430782E-12</v>
      </c>
      <c r="CX149" s="59">
        <f t="shared" si="122"/>
        <v>286.21154539383315</v>
      </c>
      <c r="CY149" s="59">
        <f ca="1">AVERAGE(OFFSET($CX$3,0,0,'Données projet'!$E$13+1,1))-AVERAGE(OFFSET($H$3,0,0,'Données projet'!$E$13+1,1))</f>
        <v>287.73449456153207</v>
      </c>
      <c r="CZ149" s="59">
        <f t="shared" si="150"/>
        <v>296.74833899433281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26.457655101845457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26.457655101845457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6.5224999999999937</v>
      </c>
      <c r="DO149" s="12">
        <f>IF('Données projet'!$A$166&gt;35,DO148+DN149-DW148,IF(A149&lt;'Données projet'!$A$166,$DL$205^A149,IF(A149='Données projet'!$A$166,'Données projet'!$B$166,DO148+DN149-DW148)))</f>
        <v>366.27249999999981</v>
      </c>
      <c r="DP149" s="17">
        <f>DO149*VLOOKUP('Données projet'!$B$14,Paramètres!$A$1:$I$89,3,0)*VLOOKUP('Données projet'!$B$14,Paramètres!$A$1:$I$89,5,0)</f>
        <v>371.40031499999981</v>
      </c>
      <c r="DQ149" s="13">
        <f t="shared" si="151"/>
        <v>85.95372303700303</v>
      </c>
      <c r="DR149" s="20">
        <f t="shared" si="124"/>
        <v>796.55828291444652</v>
      </c>
      <c r="DS149" s="59">
        <f t="shared" si="125"/>
        <v>1082.7698283082773</v>
      </c>
      <c r="DT149" s="59">
        <f ca="1">AVERAGE(OFFSET($DS$3,0,0,'Données projet'!$E$14+1,1))-AVERAGE(OFFSET($H$3,0,0,'Données projet'!$E$14+1,1))</f>
        <v>532.34688562681413</v>
      </c>
      <c r="DU149" s="59">
        <f t="shared" si="152"/>
        <v>345.42627129678556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64.951040962086481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64.951040962086481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-5.1431925385259088E-14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256.20286603823035</v>
      </c>
      <c r="EP149" s="59">
        <f t="shared" si="154"/>
        <v>364.83827155069434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6.8120780622462309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6.8120780622462309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6.5224999999999937</v>
      </c>
      <c r="FE149" s="12">
        <f>IF('Données projet'!$A$218&gt;35,FE148+FD149-FM148,IF(A149&lt;'Données projet'!$A$218,$FB$205^A149,IF(A149='Données projet'!$A$218,'Données projet'!$B$218,FE148+FD149-FM148)))</f>
        <v>366.27249999999981</v>
      </c>
      <c r="FF149" s="17">
        <f>FE149*VLOOKUP('Données projet'!$B$16,Paramètres!$A$1:$I$89,3,0)*VLOOKUP('Données projet'!$B$16,Paramètres!$A$1:$I$89,5,0)</f>
        <v>245.69559299999986</v>
      </c>
      <c r="FG149" s="13">
        <f t="shared" si="155"/>
        <v>59.663287276797412</v>
      </c>
      <c r="FH149" s="20">
        <f t="shared" si="130"/>
        <v>531.83338314875516</v>
      </c>
      <c r="FI149" s="59">
        <f t="shared" si="131"/>
        <v>818.04492854258581</v>
      </c>
      <c r="FJ149" s="59">
        <f ca="1">AVERAGE(OFFSET($FI$3,0,0,'Données projet'!$E$16+1,1))-AVERAGE(OFFSET($H$3,0,0,'Données projet'!$E$16+1,1))</f>
        <v>380.73695370216979</v>
      </c>
      <c r="FK149" s="59">
        <f t="shared" si="156"/>
        <v>249.34467160415713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52.960079553701291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52.960079553701291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6.5224999999999937</v>
      </c>
      <c r="FZ149" s="12">
        <f>IF('Données projet'!$A$244&gt;35,FZ148+FY149-GH148,IF(A149&lt;'Données projet'!$A$244,$FW$205^A149,IF(A149='Données projet'!$A$244,'Données projet'!$B$244,FZ148+FY149-GH148)))</f>
        <v>366.27249999999981</v>
      </c>
      <c r="GA149" s="17">
        <f>FZ149*VLOOKUP('Données projet'!$B$17,Paramètres!$A$1:$I$89,3,0)*VLOOKUP('Données projet'!$B$17,Paramètres!$A$1:$I$89,5,0)</f>
        <v>354.25876199999982</v>
      </c>
      <c r="GB149" s="13">
        <f t="shared" si="157"/>
        <v>82.43881634539602</v>
      </c>
      <c r="GC149" s="20">
        <f t="shared" si="133"/>
        <v>760.58161561823101</v>
      </c>
      <c r="GD149" s="59">
        <f t="shared" si="134"/>
        <v>1046.7931610120618</v>
      </c>
      <c r="GE149" s="59">
        <f ca="1">AVERAGE(OFFSET($GD$3,0,0,'Données projet'!$E$17+1,1))-AVERAGE(OFFSET($H$3,0,0,'Données projet'!$E$17+1,1))</f>
        <v>511.7458522930001</v>
      </c>
      <c r="GF149" s="59">
        <f t="shared" si="158"/>
        <v>332.37317679966122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61.953300609990166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61.953300609990166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-1.7053025658242404E-13</v>
      </c>
      <c r="GV149" s="17">
        <f>GU149*VLOOKUP('Données projet'!$B$18,Paramètres!$A$1:$I$89,3,0)*VLOOKUP('Données projet'!$B$18,Paramètres!$A$1:$I$89,5,0)</f>
        <v>-1.4897523215040567E-13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348.77506423101278</v>
      </c>
      <c r="HA149" s="59">
        <f t="shared" si="160"/>
        <v>336.13747591329548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36.153026584890618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36.153026584890618</v>
      </c>
    </row>
    <row r="150" spans="1:218" x14ac:dyDescent="0.2">
      <c r="A150" s="10">
        <f t="shared" si="139"/>
        <v>147</v>
      </c>
      <c r="B150" s="71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5">
        <f t="shared" si="110"/>
        <v>183.33333333333334</v>
      </c>
      <c r="I150" s="6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-2.1282176021486519E-13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387.50901594883317</v>
      </c>
      <c r="T150" s="59">
        <f t="shared" si="142"/>
        <v>361.3623790401972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96.682659479278684</v>
      </c>
      <c r="AA150" s="21">
        <f>EXP(-LN(2)/25)*AA149+(1-EXP(-LN(2)/25))/(LN(2)/25)*Calculateur!V150*Calculateur!X150*VLOOKUP('Données projet'!$B$9,Paramètres!$A$1:$I$89,3,0)*0.475*44/12</f>
        <v>11.573607898649225</v>
      </c>
      <c r="AB150" s="21">
        <f>EXP(-LN(2)/2)*AB149+(1-EXP(-LN(2)/2))/(LN(2)/2)*V150*Y150*VLOOKUP('Données projet'!$B$9,Paramètres!$A$1:$I$89,3,0)*0.475*44/12</f>
        <v>8.3061987750728343E-6</v>
      </c>
      <c r="AC150" s="22">
        <f t="shared" si="111"/>
        <v>108.25627568412669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373.47758082856359</v>
      </c>
      <c r="AO150" s="59">
        <f t="shared" si="144"/>
        <v>277.24895424120166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50.984920768065798</v>
      </c>
      <c r="AV150" s="21">
        <f>EXP(-LN(2)/25)*AV149+(1-EXP(-LN(2)/25))/(LN(2)/25)*Calculateur!AQ150*Calculateur!AS150*VLOOKUP('Données projet'!$B$10,Paramètres!$A$1:$I$89,3,0)*0.475*44/12</f>
        <v>5.610442139264566</v>
      </c>
      <c r="AW150" s="21">
        <f>EXP(-LN(2)/2)*AW149+(1-EXP(-LN(2)/2))/(LN(2)/2)*AQ150*AT150*VLOOKUP('Données projet'!$B$10,Paramètres!$A$1:$I$89,3,0)*0.475*44/12</f>
        <v>2.6244980552903353E-9</v>
      </c>
      <c r="AX150" s="21">
        <f t="shared" si="114"/>
        <v>56.595362909954858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-6.8212102632969618E-13</v>
      </c>
      <c r="BE150" s="13">
        <f>BD150*VLOOKUP('Données projet'!$B$11,Paramètres!$A$1:$I$89,3,0)*VLOOKUP('Données projet'!$B$11,Paramètres!$A$1:$I$89,5,0)</f>
        <v>-4.0790837374515837E-13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460.88622650237176</v>
      </c>
      <c r="BJ150" s="59">
        <f t="shared" si="146"/>
        <v>396.05161661639647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59.581575317408209</v>
      </c>
      <c r="BQ150" s="21">
        <f>EXP(-LN(2)/25)*BQ149+(1-EXP(-LN(2)/25))/(LN(2)/25)*Calculateur!BL150*Calculateur!BN150*VLOOKUP('Données projet'!$B$11,Paramètres!$A$1:$I$89,3,0)*0.475*44/12</f>
        <v>6.1508319866795924</v>
      </c>
      <c r="BR150" s="21">
        <f>EXP(-LN(2)/2)*BR149+(1-EXP(-LN(2)/2))/(LN(2)/2)*BL150*BO150*VLOOKUP('Données projet'!$B$11,Paramètres!$A$1:$I$89,3,0)*0.475*44/12</f>
        <v>8.4735064778693418E-10</v>
      </c>
      <c r="BS150" s="22">
        <f t="shared" si="117"/>
        <v>65.732407304935151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-5.1727511163335289E-14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341.60063595566282</v>
      </c>
      <c r="CE150" s="59">
        <f t="shared" si="148"/>
        <v>317.05609766344219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48.90050187171083</v>
      </c>
      <c r="CL150" s="21">
        <f>EXP(-LN(2)/25)*CL149+(1-EXP(-LN(2)/25))/(LN(2)/25)*Calculateur!CG150*Calculateur!CI150*VLOOKUP('Données projet'!$B$12,Paramètres!$A$1:$I$89,3,0)*0.475*44/12</f>
        <v>5.7128223513030907</v>
      </c>
      <c r="CM150" s="21">
        <f>EXP(-LN(2)/2)*CM149+(1-EXP(-LN(2)/2))/(LN(2)/2)*CG150*CJ150*VLOOKUP('Données projet'!$B$12,Paramètres!$A$1:$I$89,3,0)*0.475*44/12</f>
        <v>7.1611658232003249E-11</v>
      </c>
      <c r="CN150" s="22">
        <f t="shared" si="120"/>
        <v>54.613324223085527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8.5265128291212022E-14</v>
      </c>
      <c r="CU150" s="17">
        <f>CT150*VLOOKUP('Données projet'!$B$13,Paramètres!$A$1:$I$89,3,0)*VLOOKUP('Données projet'!$B$13,Paramètres!$A$1:$I$89,5,0)</f>
        <v>8.9119112089974823E-14</v>
      </c>
      <c r="CV150" s="13">
        <f t="shared" si="149"/>
        <v>1.3568952080113142E-12</v>
      </c>
      <c r="CW150" s="20">
        <f t="shared" si="121"/>
        <v>2.5184749408430782E-12</v>
      </c>
      <c r="CX150" s="59">
        <f t="shared" si="122"/>
        <v>286.33509249265092</v>
      </c>
      <c r="CY150" s="59">
        <f ca="1">AVERAGE(OFFSET($CX$3,0,0,'Données projet'!$E$13+1,1))-AVERAGE(OFFSET($H$3,0,0,'Données projet'!$E$13+1,1))</f>
        <v>287.73449456153207</v>
      </c>
      <c r="CZ150" s="59">
        <f t="shared" si="150"/>
        <v>296.74833899433281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25.938836622874426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25.938836622874426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6.5224999999999937</v>
      </c>
      <c r="DO150" s="12">
        <f>IF('Données projet'!$A$166&gt;35,DO149+DN150-DW149,IF(A150&lt;'Données projet'!$A$166,$DL$205^A150,IF(A150='Données projet'!$A$166,'Données projet'!$B$166,DO149+DN150-DW149)))</f>
        <v>372.79499999999979</v>
      </c>
      <c r="DP150" s="17">
        <f>DO150*VLOOKUP('Données projet'!$B$14,Paramètres!$A$1:$I$89,3,0)*VLOOKUP('Données projet'!$B$14,Paramètres!$A$1:$I$89,5,0)</f>
        <v>378.0141299999998</v>
      </c>
      <c r="DQ150" s="13">
        <f t="shared" si="151"/>
        <v>87.304808406556702</v>
      </c>
      <c r="DR150" s="20">
        <f t="shared" si="124"/>
        <v>810.43048439141921</v>
      </c>
      <c r="DS150" s="59">
        <f t="shared" si="125"/>
        <v>1096.7655768840677</v>
      </c>
      <c r="DT150" s="59">
        <f ca="1">AVERAGE(OFFSET($DS$3,0,0,'Données projet'!$E$14+1,1))-AVERAGE(OFFSET($H$3,0,0,'Données projet'!$E$14+1,1))</f>
        <v>532.34688562681413</v>
      </c>
      <c r="DU150" s="59">
        <f t="shared" si="152"/>
        <v>345.42627129678556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63.677390665043177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63.677390665043177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-5.1431925385259088E-14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256.20286603823035</v>
      </c>
      <c r="EP150" s="59">
        <f t="shared" si="154"/>
        <v>364.83827155069434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6.6784973664029321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6.6784973664029321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6.5224999999999937</v>
      </c>
      <c r="FE150" s="12">
        <f>IF('Données projet'!$A$218&gt;35,FE149+FD150-FM149,IF(A150&lt;'Données projet'!$A$218,$FB$205^A150,IF(A150='Données projet'!$A$218,'Données projet'!$B$218,FE149+FD150-FM149)))</f>
        <v>372.79499999999979</v>
      </c>
      <c r="FF150" s="17">
        <f>FE150*VLOOKUP('Données projet'!$B$16,Paramètres!$A$1:$I$89,3,0)*VLOOKUP('Données projet'!$B$16,Paramètres!$A$1:$I$89,5,0)</f>
        <v>250.07088599999989</v>
      </c>
      <c r="FG150" s="13">
        <f t="shared" si="155"/>
        <v>60.601119771900052</v>
      </c>
      <c r="FH150" s="20">
        <f t="shared" si="130"/>
        <v>541.08707671939237</v>
      </c>
      <c r="FI150" s="59">
        <f t="shared" si="131"/>
        <v>827.42216921204079</v>
      </c>
      <c r="FJ150" s="59">
        <f ca="1">AVERAGE(OFFSET($FI$3,0,0,'Données projet'!$E$16+1,1))-AVERAGE(OFFSET($H$3,0,0,'Données projet'!$E$16+1,1))</f>
        <v>380.73695370216979</v>
      </c>
      <c r="FK150" s="59">
        <f t="shared" si="156"/>
        <v>249.34467160415713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51.921564696112135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51.921564696112135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6.5224999999999937</v>
      </c>
      <c r="FZ150" s="12">
        <f>IF('Données projet'!$A$244&gt;35,FZ149+FY150-GH149,IF(A150&lt;'Données projet'!$A$244,$FW$205^A150,IF(A150='Données projet'!$A$244,'Données projet'!$B$244,FZ149+FY150-GH149)))</f>
        <v>372.79499999999979</v>
      </c>
      <c r="GA150" s="17">
        <f>FZ150*VLOOKUP('Données projet'!$B$17,Paramètres!$A$1:$I$89,3,0)*VLOOKUP('Données projet'!$B$17,Paramètres!$A$1:$I$89,5,0)</f>
        <v>360.56732399999981</v>
      </c>
      <c r="GB150" s="13">
        <f t="shared" si="157"/>
        <v>83.734651763713345</v>
      </c>
      <c r="GC150" s="20">
        <f t="shared" si="133"/>
        <v>773.82594112180038</v>
      </c>
      <c r="GD150" s="59">
        <f t="shared" si="134"/>
        <v>1060.1610336144488</v>
      </c>
      <c r="GE150" s="59">
        <f ca="1">AVERAGE(OFFSET($GD$3,0,0,'Données projet'!$E$17+1,1))-AVERAGE(OFFSET($H$3,0,0,'Données projet'!$E$17+1,1))</f>
        <v>511.7458522930001</v>
      </c>
      <c r="GF150" s="59">
        <f t="shared" si="158"/>
        <v>332.37317679966122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60.738434172810393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60.738434172810393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-1.7053025658242404E-13</v>
      </c>
      <c r="GV150" s="17">
        <f>GU150*VLOOKUP('Données projet'!$B$18,Paramètres!$A$1:$I$89,3,0)*VLOOKUP('Données projet'!$B$18,Paramètres!$A$1:$I$89,5,0)</f>
        <v>-1.4897523215040567E-13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348.77506423101278</v>
      </c>
      <c r="HA150" s="59">
        <f t="shared" si="160"/>
        <v>336.13747591329548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35.44408778472976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35.44408778472976</v>
      </c>
    </row>
    <row r="151" spans="1:218" x14ac:dyDescent="0.2">
      <c r="A151" s="10">
        <f t="shared" si="139"/>
        <v>148</v>
      </c>
      <c r="B151" s="71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5">
        <f t="shared" si="110"/>
        <v>183.33333333333334</v>
      </c>
      <c r="I151" s="6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-2.1282176021486519E-13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387.50901594883317</v>
      </c>
      <c r="T151" s="59">
        <f t="shared" si="142"/>
        <v>361.3623790401972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94.786771497489454</v>
      </c>
      <c r="AA151" s="21">
        <f>EXP(-LN(2)/25)*AA150+(1-EXP(-LN(2)/25))/(LN(2)/25)*Calculateur!V151*Calculateur!X151*VLOOKUP('Données projet'!$B$9,Paramètres!$A$1:$I$89,3,0)*0.475*44/12</f>
        <v>11.257126982031075</v>
      </c>
      <c r="AB151" s="21">
        <f>EXP(-LN(2)/2)*AB150+(1-EXP(-LN(2)/2))/(LN(2)/2)*V151*Y151*VLOOKUP('Données projet'!$B$9,Paramètres!$A$1:$I$89,3,0)*0.475*44/12</f>
        <v>5.8733694797373959E-6</v>
      </c>
      <c r="AC151" s="22">
        <f t="shared" si="111"/>
        <v>106.04390435289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373.47758082856359</v>
      </c>
      <c r="AO151" s="59">
        <f t="shared" si="144"/>
        <v>277.24895424120166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49.985137569535048</v>
      </c>
      <c r="AV151" s="21">
        <f>EXP(-LN(2)/25)*AV150+(1-EXP(-LN(2)/25))/(LN(2)/25)*Calculateur!AQ151*Calculateur!AS151*VLOOKUP('Données projet'!$B$10,Paramètres!$A$1:$I$89,3,0)*0.475*44/12</f>
        <v>5.4570243039260475</v>
      </c>
      <c r="AW151" s="21">
        <f>EXP(-LN(2)/2)*AW150+(1-EXP(-LN(2)/2))/(LN(2)/2)*AQ151*AT151*VLOOKUP('Données projet'!$B$10,Paramètres!$A$1:$I$89,3,0)*0.475*44/12</f>
        <v>1.8558003721067028E-9</v>
      </c>
      <c r="AX151" s="21">
        <f t="shared" si="114"/>
        <v>55.442161875316899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-6.8212102632969618E-13</v>
      </c>
      <c r="BE151" s="13">
        <f>BD151*VLOOKUP('Données projet'!$B$11,Paramètres!$A$1:$I$89,3,0)*VLOOKUP('Données projet'!$B$11,Paramètres!$A$1:$I$89,5,0)</f>
        <v>-4.0790837374515837E-13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460.88622650237176</v>
      </c>
      <c r="BJ151" s="59">
        <f t="shared" si="146"/>
        <v>396.05161661639647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58.413216966606385</v>
      </c>
      <c r="BQ151" s="21">
        <f>EXP(-LN(2)/25)*BQ150+(1-EXP(-LN(2)/25))/(LN(2)/25)*Calculateur!BL151*Calculateur!BN151*VLOOKUP('Données projet'!$B$11,Paramètres!$A$1:$I$89,3,0)*0.475*44/12</f>
        <v>5.9826371625456423</v>
      </c>
      <c r="BR151" s="21">
        <f>EXP(-LN(2)/2)*BR150+(1-EXP(-LN(2)/2))/(LN(2)/2)*BL151*BO151*VLOOKUP('Données projet'!$B$11,Paramètres!$A$1:$I$89,3,0)*0.475*44/12</f>
        <v>5.9916738909295496E-10</v>
      </c>
      <c r="BS151" s="22">
        <f t="shared" si="117"/>
        <v>64.3958541297512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-5.1727511163335289E-14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341.60063595566282</v>
      </c>
      <c r="CE151" s="59">
        <f t="shared" si="148"/>
        <v>317.05609766344219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47.941592856367613</v>
      </c>
      <c r="CL151" s="21">
        <f>EXP(-LN(2)/25)*CL150+(1-EXP(-LN(2)/25))/(LN(2)/25)*Calculateur!CG151*Calculateur!CI151*VLOOKUP('Données projet'!$B$12,Paramètres!$A$1:$I$89,3,0)*0.475*44/12</f>
        <v>5.5566049236824373</v>
      </c>
      <c r="CM151" s="21">
        <f>EXP(-LN(2)/2)*CM150+(1-EXP(-LN(2)/2))/(LN(2)/2)*CG151*CJ151*VLOOKUP('Données projet'!$B$12,Paramètres!$A$1:$I$89,3,0)*0.475*44/12</f>
        <v>5.0637089147862947E-11</v>
      </c>
      <c r="CN151" s="22">
        <f t="shared" si="120"/>
        <v>53.498197780100689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8.5265128291212022E-14</v>
      </c>
      <c r="CU151" s="17">
        <f>CT151*VLOOKUP('Données projet'!$B$13,Paramètres!$A$1:$I$89,3,0)*VLOOKUP('Données projet'!$B$13,Paramètres!$A$1:$I$89,5,0)</f>
        <v>8.9119112089974823E-14</v>
      </c>
      <c r="CV151" s="13">
        <f t="shared" si="149"/>
        <v>1.3568952080113142E-12</v>
      </c>
      <c r="CW151" s="20">
        <f t="shared" si="121"/>
        <v>2.5184749408430782E-12</v>
      </c>
      <c r="CX151" s="59">
        <f t="shared" si="122"/>
        <v>286.45649632551419</v>
      </c>
      <c r="CY151" s="59">
        <f ca="1">AVERAGE(OFFSET($CX$3,0,0,'Données projet'!$E$13+1,1))-AVERAGE(OFFSET($H$3,0,0,'Données projet'!$E$13+1,1))</f>
        <v>287.73449456153207</v>
      </c>
      <c r="CZ151" s="59">
        <f t="shared" si="150"/>
        <v>296.74833899433281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25.430191857827992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25.430191857827992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6.5224999999999937</v>
      </c>
      <c r="DO151" s="12">
        <f>IF('Données projet'!$A$166&gt;35,DO150+DN151-DW150,IF(A151&lt;'Données projet'!$A$166,$DL$205^A151,IF(A151='Données projet'!$A$166,'Données projet'!$B$166,DO150+DN151-DW150)))</f>
        <v>379.31749999999977</v>
      </c>
      <c r="DP151" s="17">
        <f>DO151*VLOOKUP('Données projet'!$B$14,Paramètres!$A$1:$I$89,3,0)*VLOOKUP('Données projet'!$B$14,Paramètres!$A$1:$I$89,5,0)</f>
        <v>384.62794499999978</v>
      </c>
      <c r="DQ151" s="13">
        <f t="shared" si="151"/>
        <v>88.653144862776529</v>
      </c>
      <c r="DR151" s="20">
        <f t="shared" si="124"/>
        <v>824.29789817766869</v>
      </c>
      <c r="DS151" s="59">
        <f t="shared" si="125"/>
        <v>1110.7543945031803</v>
      </c>
      <c r="DT151" s="59">
        <f ca="1">AVERAGE(OFFSET($DS$3,0,0,'Données projet'!$E$14+1,1))-AVERAGE(OFFSET($H$3,0,0,'Données projet'!$E$14+1,1))</f>
        <v>532.34688562681413</v>
      </c>
      <c r="DU151" s="59">
        <f t="shared" si="152"/>
        <v>345.42627129678556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62.428715873474914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62.428715873474914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-5.1431925385259088E-14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256.20286603823035</v>
      </c>
      <c r="EP151" s="59">
        <f t="shared" si="154"/>
        <v>364.83827155069434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6.5475361065289412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6.5475361065289412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6.5224999999999937</v>
      </c>
      <c r="FE151" s="12">
        <f>IF('Données projet'!$A$218&gt;35,FE150+FD151-FM150,IF(A151&lt;'Données projet'!$A$218,$FB$205^A151,IF(A151='Données projet'!$A$218,'Données projet'!$B$218,FE150+FD151-FM150)))</f>
        <v>379.31749999999977</v>
      </c>
      <c r="FF151" s="17">
        <f>FE151*VLOOKUP('Données projet'!$B$16,Paramètres!$A$1:$I$89,3,0)*VLOOKUP('Données projet'!$B$16,Paramètres!$A$1:$I$89,5,0)</f>
        <v>254.44617899999983</v>
      </c>
      <c r="FG151" s="13">
        <f t="shared" si="155"/>
        <v>61.537044156450449</v>
      </c>
      <c r="FH151" s="20">
        <f t="shared" si="130"/>
        <v>550.33744699748411</v>
      </c>
      <c r="FI151" s="59">
        <f t="shared" si="131"/>
        <v>836.7939433229958</v>
      </c>
      <c r="FJ151" s="59">
        <f ca="1">AVERAGE(OFFSET($FI$3,0,0,'Données projet'!$E$16+1,1))-AVERAGE(OFFSET($H$3,0,0,'Données projet'!$E$16+1,1))</f>
        <v>380.73695370216979</v>
      </c>
      <c r="FK151" s="59">
        <f t="shared" si="156"/>
        <v>249.34467160415713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50.903414481448785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50.903414481448785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6.5224999999999937</v>
      </c>
      <c r="FZ151" s="12">
        <f>IF('Données projet'!$A$244&gt;35,FZ150+FY151-GH150,IF(A151&lt;'Données projet'!$A$244,$FW$205^A151,IF(A151='Données projet'!$A$244,'Données projet'!$B$244,FZ150+FY151-GH150)))</f>
        <v>379.31749999999977</v>
      </c>
      <c r="GA151" s="17">
        <f>FZ151*VLOOKUP('Données projet'!$B$17,Paramètres!$A$1:$I$89,3,0)*VLOOKUP('Données projet'!$B$17,Paramètres!$A$1:$I$89,5,0)</f>
        <v>366.87588599999981</v>
      </c>
      <c r="GB151" s="13">
        <f t="shared" si="157"/>
        <v>85.027850680044821</v>
      </c>
      <c r="GC151" s="20">
        <f t="shared" si="133"/>
        <v>787.0656747177444</v>
      </c>
      <c r="GD151" s="59">
        <f t="shared" si="134"/>
        <v>1073.5221710432561</v>
      </c>
      <c r="GE151" s="59">
        <f ca="1">AVERAGE(OFFSET($GD$3,0,0,'Données projet'!$E$17+1,1))-AVERAGE(OFFSET($H$3,0,0,'Données projet'!$E$17+1,1))</f>
        <v>511.7458522930001</v>
      </c>
      <c r="GF151" s="59">
        <f t="shared" si="158"/>
        <v>332.37317679966122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59.547390525468359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59.547390525468359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-1.7053025658242404E-13</v>
      </c>
      <c r="GV151" s="17">
        <f>GU151*VLOOKUP('Données projet'!$B$18,Paramètres!$A$1:$I$89,3,0)*VLOOKUP('Données projet'!$B$18,Paramètres!$A$1:$I$89,5,0)</f>
        <v>-1.4897523215040567E-13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348.77506423101278</v>
      </c>
      <c r="HA151" s="59">
        <f t="shared" si="160"/>
        <v>336.13747591329548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34.74905084203008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34.74905084203008</v>
      </c>
    </row>
    <row r="152" spans="1:218" x14ac:dyDescent="0.2">
      <c r="A152" s="10">
        <f t="shared" si="139"/>
        <v>149</v>
      </c>
      <c r="B152" s="71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5">
        <f t="shared" si="110"/>
        <v>183.33333333333334</v>
      </c>
      <c r="I152" s="6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-2.1282176021486519E-13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387.50901594883317</v>
      </c>
      <c r="T152" s="59">
        <f t="shared" si="142"/>
        <v>361.3623790401972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92.928060722645625</v>
      </c>
      <c r="AA152" s="21">
        <f>EXP(-LN(2)/25)*AA151+(1-EXP(-LN(2)/25))/(LN(2)/25)*Calculateur!V152*Calculateur!X152*VLOOKUP('Données projet'!$B$9,Paramètres!$A$1:$I$89,3,0)*0.475*44/12</f>
        <v>10.949300252720855</v>
      </c>
      <c r="AB152" s="21">
        <f>EXP(-LN(2)/2)*AB151+(1-EXP(-LN(2)/2))/(LN(2)/2)*V152*Y152*VLOOKUP('Données projet'!$B$9,Paramètres!$A$1:$I$89,3,0)*0.475*44/12</f>
        <v>4.1530993875364172E-6</v>
      </c>
      <c r="AC152" s="22">
        <f t="shared" si="111"/>
        <v>103.87736512846587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373.47758082856359</v>
      </c>
      <c r="AO152" s="59">
        <f t="shared" si="144"/>
        <v>277.24895424120166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49.004959509719953</v>
      </c>
      <c r="AV152" s="21">
        <f>EXP(-LN(2)/25)*AV151+(1-EXP(-LN(2)/25))/(LN(2)/25)*Calculateur!AQ152*Calculateur!AS152*VLOOKUP('Données projet'!$B$10,Paramètres!$A$1:$I$89,3,0)*0.475*44/12</f>
        <v>5.3078016873627538</v>
      </c>
      <c r="AW152" s="21">
        <f>EXP(-LN(2)/2)*AW151+(1-EXP(-LN(2)/2))/(LN(2)/2)*AQ152*AT152*VLOOKUP('Données projet'!$B$10,Paramètres!$A$1:$I$89,3,0)*0.475*44/12</f>
        <v>1.3122490276451679E-9</v>
      </c>
      <c r="AX152" s="21">
        <f t="shared" si="114"/>
        <v>54.312761198394959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-6.8212102632969618E-13</v>
      </c>
      <c r="BE152" s="13">
        <f>BD152*VLOOKUP('Données projet'!$B$11,Paramètres!$A$1:$I$89,3,0)*VLOOKUP('Données projet'!$B$11,Paramètres!$A$1:$I$89,5,0)</f>
        <v>-4.0790837374515837E-13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460.88622650237176</v>
      </c>
      <c r="BJ152" s="59">
        <f t="shared" si="146"/>
        <v>396.05161661639647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57.267769410435555</v>
      </c>
      <c r="BQ152" s="21">
        <f>EXP(-LN(2)/25)*BQ151+(1-EXP(-LN(2)/25))/(LN(2)/25)*Calculateur!BL152*Calculateur!BN152*VLOOKUP('Données projet'!$B$11,Paramètres!$A$1:$I$89,3,0)*0.475*44/12</f>
        <v>5.819041634722617</v>
      </c>
      <c r="BR152" s="21">
        <f>EXP(-LN(2)/2)*BR151+(1-EXP(-LN(2)/2))/(LN(2)/2)*BL152*BO152*VLOOKUP('Données projet'!$B$11,Paramètres!$A$1:$I$89,3,0)*0.475*44/12</f>
        <v>4.2367532389346709E-10</v>
      </c>
      <c r="BS152" s="22">
        <f t="shared" si="117"/>
        <v>63.086811045581847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-5.1727511163335289E-14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341.60063595566282</v>
      </c>
      <c r="CE152" s="59">
        <f t="shared" si="148"/>
        <v>317.05609766344219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47.001487461938531</v>
      </c>
      <c r="CL152" s="21">
        <f>EXP(-LN(2)/25)*CL151+(1-EXP(-LN(2)/25))/(LN(2)/25)*Calculateur!CG152*Calculateur!CI152*VLOOKUP('Données projet'!$B$12,Paramètres!$A$1:$I$89,3,0)*0.475*44/12</f>
        <v>5.4046592698351876</v>
      </c>
      <c r="CM152" s="21">
        <f>EXP(-LN(2)/2)*CM151+(1-EXP(-LN(2)/2))/(LN(2)/2)*CG152*CJ152*VLOOKUP('Données projet'!$B$12,Paramètres!$A$1:$I$89,3,0)*0.475*44/12</f>
        <v>3.5805829116001625E-11</v>
      </c>
      <c r="CN152" s="22">
        <f t="shared" si="120"/>
        <v>52.406146731809521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8.5265128291212022E-14</v>
      </c>
      <c r="CU152" s="17">
        <f>CT152*VLOOKUP('Données projet'!$B$13,Paramètres!$A$1:$I$89,3,0)*VLOOKUP('Données projet'!$B$13,Paramètres!$A$1:$I$89,5,0)</f>
        <v>8.9119112089974823E-14</v>
      </c>
      <c r="CV152" s="13">
        <f t="shared" si="149"/>
        <v>1.3568952080113142E-12</v>
      </c>
      <c r="CW152" s="20">
        <f t="shared" si="121"/>
        <v>2.5184749408430782E-12</v>
      </c>
      <c r="CX152" s="59">
        <f t="shared" si="122"/>
        <v>286.57579407329558</v>
      </c>
      <c r="CY152" s="59">
        <f ca="1">AVERAGE(OFFSET($CX$3,0,0,'Données projet'!$E$13+1,1))-AVERAGE(OFFSET($H$3,0,0,'Données projet'!$E$13+1,1))</f>
        <v>287.73449456153207</v>
      </c>
      <c r="CZ152" s="59">
        <f t="shared" si="150"/>
        <v>296.74833899433281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24.931521306381445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24.931521306381445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385.84</v>
      </c>
      <c r="DM152" s="12">
        <f>VLOOKUP(A152,'Données projet'!$A$165:$I$185,9,0)</f>
        <v>6.5224999999999937</v>
      </c>
      <c r="DN152" s="12">
        <f t="array" ref="DN152">INDEX(DM:DM,MIN(IF(ISNUMBER(DM152:DM348),ROW(DM152:DM348),"")))</f>
        <v>6.5224999999999937</v>
      </c>
      <c r="DO152" s="12">
        <f>IF('Données projet'!$A$166&gt;35,DO151+DN152-DW151,IF(A152&lt;'Données projet'!$A$166,$DL$205^A152,IF(A152='Données projet'!$A$166,'Données projet'!$B$166,DO151+DN152-DW151)))</f>
        <v>385.83999999999975</v>
      </c>
      <c r="DP152" s="17">
        <f>DO152*VLOOKUP('Données projet'!$B$14,Paramètres!$A$1:$I$89,3,0)*VLOOKUP('Données projet'!$B$14,Paramètres!$A$1:$I$89,5,0)</f>
        <v>391.24175999999977</v>
      </c>
      <c r="DQ152" s="13">
        <f t="shared" si="151"/>
        <v>89.998785128729764</v>
      </c>
      <c r="DR152" s="20">
        <f t="shared" si="124"/>
        <v>838.16061609920382</v>
      </c>
      <c r="DS152" s="59">
        <f t="shared" si="125"/>
        <v>1124.736410172497</v>
      </c>
      <c r="DT152" s="59">
        <f ca="1">AVERAGE(OFFSET($DS$3,0,0,'Données projet'!$E$14+1,1))-AVERAGE(OFFSET($H$3,0,0,'Données projet'!$E$14+1,1))</f>
        <v>532.34688562681413</v>
      </c>
      <c r="DU152" s="59">
        <f t="shared" si="152"/>
        <v>345.42627129678556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153.56</v>
      </c>
      <c r="DX152" s="16">
        <f>IF(ISNA(VLOOKUP(A152,'Données projet'!$A$165:$I$185,5,0)),0%,VLOOKUP(A152,'Données projet'!$A$165:$I$185,5,0)*VLOOKUP('Données projet'!$B$14,Paramètres!$A$1:$I$89,7,0))</f>
        <v>0.34400000000000003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120.41814671005724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120.41814671005724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-5.1431925385259088E-14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256.20286603823035</v>
      </c>
      <c r="EP152" s="59">
        <f t="shared" si="154"/>
        <v>364.83827155069434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6.4191429170825982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6.4191429170825982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>
        <f>VLOOKUP(A152,'Données projet'!$A$217:$I$237,2,0)</f>
        <v>385.84</v>
      </c>
      <c r="FC152" s="12">
        <f>VLOOKUP(A152,'Données projet'!$A$217:$I$237,9,0)</f>
        <v>6.5224999999999937</v>
      </c>
      <c r="FD152" s="12">
        <f t="array" ref="FD152">INDEX(FC:FC,MIN(IF(ISNUMBER(FC152:FC348),ROW(FC152:FC348),"")))</f>
        <v>6.5224999999999937</v>
      </c>
      <c r="FE152" s="12">
        <f>IF('Données projet'!$A$218&gt;35,FE151+FD152-FM151,IF(A152&lt;'Données projet'!$A$218,$FB$205^A152,IF(A152='Données projet'!$A$218,'Données projet'!$B$218,FE151+FD152-FM151)))</f>
        <v>385.83999999999975</v>
      </c>
      <c r="FF152" s="17">
        <f>FE152*VLOOKUP('Données projet'!$B$16,Paramètres!$A$1:$I$89,3,0)*VLOOKUP('Données projet'!$B$16,Paramètres!$A$1:$I$89,5,0)</f>
        <v>258.82147199999986</v>
      </c>
      <c r="FG152" s="13">
        <f t="shared" si="155"/>
        <v>62.47109702725205</v>
      </c>
      <c r="FH152" s="20">
        <f t="shared" si="130"/>
        <v>559.58455772246361</v>
      </c>
      <c r="FI152" s="59">
        <f t="shared" si="131"/>
        <v>846.1603517957567</v>
      </c>
      <c r="FJ152" s="59">
        <f ca="1">AVERAGE(OFFSET($FI$3,0,0,'Données projet'!$E$16+1,1))-AVERAGE(OFFSET($H$3,0,0,'Données projet'!$E$16+1,1))</f>
        <v>380.73695370216979</v>
      </c>
      <c r="FK152" s="59">
        <f t="shared" si="156"/>
        <v>249.34467160415713</v>
      </c>
      <c r="FL152" s="15">
        <f>IF(ISNA(VLOOKUP(A152,'Données projet'!$A$217:$I$237,3,0)),0,VLOOKUP(A152,'Données projet'!$A$217:$I$237,3,0))</f>
        <v>12</v>
      </c>
      <c r="FM152" s="15">
        <f>IF(ISNA(VLOOKUP(A152,'Données projet'!$A$217:$I$237,4,0)),0,VLOOKUP(A152,'Données projet'!$A$217:$I$237,4,0))</f>
        <v>153.56</v>
      </c>
      <c r="FN152" s="16">
        <f>IF(ISNA(VLOOKUP(A152,'Données projet'!$A$217:$I$237,5,0)),0%,VLOOKUP(A152,'Données projet'!$A$217:$I$237,5,0)*VLOOKUP('Données projet'!$B$16,Paramètres!$A$1:$I$89,7,0))</f>
        <v>0.42400000000000004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98.187104240508219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98.187104240508219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>
        <f>VLOOKUP(A152,'Données projet'!$A$243:$I$263,2,0)</f>
        <v>385.84</v>
      </c>
      <c r="FX152" s="12">
        <f>VLOOKUP(A152,'Données projet'!$A$243:$I$263,9,0)</f>
        <v>6.5224999999999937</v>
      </c>
      <c r="FY152" s="12">
        <f t="array" ref="FY152">INDEX(FX:FX,MIN(IF(ISNUMBER(FX152:FX348),ROW(FX152:FX348),"")))</f>
        <v>6.5224999999999937</v>
      </c>
      <c r="FZ152" s="12">
        <f>IF('Données projet'!$A$244&gt;35,FZ151+FY152-GH151,IF(A152&lt;'Données projet'!$A$244,$FW$205^A152,IF(A152='Données projet'!$A$244,'Données projet'!$B$244,FZ151+FY152-GH151)))</f>
        <v>385.83999999999975</v>
      </c>
      <c r="GA152" s="17">
        <f>FZ152*VLOOKUP('Données projet'!$B$17,Paramètres!$A$1:$I$89,3,0)*VLOOKUP('Données projet'!$B$17,Paramètres!$A$1:$I$89,5,0)</f>
        <v>373.1844479999998</v>
      </c>
      <c r="GB152" s="13">
        <f t="shared" si="157"/>
        <v>86.31846366145264</v>
      </c>
      <c r="GC152" s="20">
        <f t="shared" si="133"/>
        <v>800.30090447702969</v>
      </c>
      <c r="GD152" s="59">
        <f t="shared" si="134"/>
        <v>1086.8766985503228</v>
      </c>
      <c r="GE152" s="59">
        <f ca="1">AVERAGE(OFFSET($GD$3,0,0,'Données projet'!$E$17+1,1))-AVERAGE(OFFSET($H$3,0,0,'Données projet'!$E$17+1,1))</f>
        <v>511.7458522930001</v>
      </c>
      <c r="GF152" s="59">
        <f t="shared" si="158"/>
        <v>332.37317679966122</v>
      </c>
      <c r="GG152" s="15">
        <f>IF(ISNA(VLOOKUP(A152,'Données projet'!$A$243:$I$263,3,0)),0,VLOOKUP(A152,'Données projet'!$A$243:$I$263,3,0))</f>
        <v>12</v>
      </c>
      <c r="GH152" s="15">
        <f>IF(ISNA(VLOOKUP(A152,'Données projet'!$A$243:$I$263,4,0)),0,VLOOKUP(A152,'Données projet'!$A$243:$I$263,4,0))</f>
        <v>153.56</v>
      </c>
      <c r="GI152" s="16">
        <f>IF(ISNA(VLOOKUP(A152,'Données projet'!$A$243:$I$263,5,0)),0%,VLOOKUP(A152,'Données projet'!$A$243:$I$263,5,0)*VLOOKUP('Données projet'!$B$17,Paramètres!$A$1:$I$89,7,0))</f>
        <v>0.34400000000000003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114.86038609266996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114.86038609266996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-1.7053025658242404E-13</v>
      </c>
      <c r="GV152" s="17">
        <f>GU152*VLOOKUP('Données projet'!$B$18,Paramètres!$A$1:$I$89,3,0)*VLOOKUP('Données projet'!$B$18,Paramètres!$A$1:$I$89,5,0)</f>
        <v>-1.4897523215040567E-13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348.77506423101278</v>
      </c>
      <c r="HA152" s="59">
        <f t="shared" si="160"/>
        <v>336.13747591329548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34.06764314984607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34.06764314984607</v>
      </c>
    </row>
    <row r="153" spans="1:218" x14ac:dyDescent="0.2">
      <c r="A153" s="10">
        <f>A152+1</f>
        <v>150</v>
      </c>
      <c r="B153" s="71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5">
        <f t="shared" si="110"/>
        <v>183.33333333333334</v>
      </c>
      <c r="I153" s="6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-2.1282176021486519E-13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387.50901594883317</v>
      </c>
      <c r="T153" s="59">
        <f t="shared" si="142"/>
        <v>361.3623790401972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91.105798132394852</v>
      </c>
      <c r="AA153" s="21">
        <f>EXP(-LN(2)/25)*AA152+(1-EXP(-LN(2)/25))/(LN(2)/25)*Calculateur!V153*Calculateur!X153*VLOOKUP('Données projet'!$B$9,Paramètres!$A$1:$I$89,3,0)*0.475*44/12</f>
        <v>10.649891061511529</v>
      </c>
      <c r="AB153" s="21">
        <f>EXP(-LN(2)/2)*AB152+(1-EXP(-LN(2)/2))/(LN(2)/2)*V153*Y153*VLOOKUP('Données projet'!$B$9,Paramètres!$A$1:$I$89,3,0)*0.475*44/12</f>
        <v>2.9366847398686979E-6</v>
      </c>
      <c r="AC153" s="22">
        <f t="shared" si="111"/>
        <v>101.75569213059111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373.47758082856359</v>
      </c>
      <c r="AO153" s="59">
        <f t="shared" si="144"/>
        <v>277.24895424120166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48.044002143808243</v>
      </c>
      <c r="AV153" s="21">
        <f>EXP(-LN(2)/25)*AV152+(1-EXP(-LN(2)/25))/(LN(2)/25)*Calculateur!AQ153*Calculateur!AS153*VLOOKUP('Données projet'!$B$10,Paramètres!$A$1:$I$89,3,0)*0.475*44/12</f>
        <v>5.1626595710966594</v>
      </c>
      <c r="AW153" s="21">
        <f>EXP(-LN(2)/2)*AW152+(1-EXP(-LN(2)/2))/(LN(2)/2)*AQ153*AT153*VLOOKUP('Données projet'!$B$10,Paramètres!$A$1:$I$89,3,0)*0.475*44/12</f>
        <v>9.2790018605335151E-10</v>
      </c>
      <c r="AX153" s="21">
        <f t="shared" si="114"/>
        <v>53.206661715832801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-6.8212102632969618E-13</v>
      </c>
      <c r="BE153" s="13">
        <f>BD153*VLOOKUP('Données projet'!$B$11,Paramètres!$A$1:$I$89,3,0)*VLOOKUP('Données projet'!$B$11,Paramètres!$A$1:$I$89,5,0)</f>
        <v>-4.0790837374515837E-13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460.88622650237176</v>
      </c>
      <c r="BJ153" s="59">
        <f t="shared" si="146"/>
        <v>396.05161661639647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56.144783382187214</v>
      </c>
      <c r="BQ153" s="21">
        <f>EXP(-LN(2)/25)*BQ152+(1-EXP(-LN(2)/25))/(LN(2)/25)*Calculateur!BL153*Calculateur!BN153*VLOOKUP('Données projet'!$B$11,Paramètres!$A$1:$I$89,3,0)*0.475*44/12</f>
        <v>5.6599196352110273</v>
      </c>
      <c r="BR153" s="21">
        <f>EXP(-LN(2)/2)*BR152+(1-EXP(-LN(2)/2))/(LN(2)/2)*BL153*BO153*VLOOKUP('Données projet'!$B$11,Paramètres!$A$1:$I$89,3,0)*0.475*44/12</f>
        <v>2.9958369454647748E-10</v>
      </c>
      <c r="BS153" s="22">
        <f t="shared" si="117"/>
        <v>61.804703017697825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-5.1727511163335289E-14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341.60063595566282</v>
      </c>
      <c r="CE153" s="59">
        <f t="shared" si="148"/>
        <v>317.05609766344219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46.079816960886532</v>
      </c>
      <c r="CL153" s="21">
        <f>EXP(-LN(2)/25)*CL152+(1-EXP(-LN(2)/25))/(LN(2)/25)*Calculateur!CG153*Calculateur!CI153*VLOOKUP('Données projet'!$B$12,Paramètres!$A$1:$I$89,3,0)*0.475*44/12</f>
        <v>5.2568685778828659</v>
      </c>
      <c r="CM153" s="21">
        <f>EXP(-LN(2)/2)*CM152+(1-EXP(-LN(2)/2))/(LN(2)/2)*CG153*CJ153*VLOOKUP('Données projet'!$B$12,Paramètres!$A$1:$I$89,3,0)*0.475*44/12</f>
        <v>2.5318544573931474E-11</v>
      </c>
      <c r="CN153" s="22">
        <f t="shared" si="120"/>
        <v>51.336685538794718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8.5265128291212022E-14</v>
      </c>
      <c r="CU153" s="17">
        <f>CT153*VLOOKUP('Données projet'!$B$13,Paramètres!$A$1:$I$89,3,0)*VLOOKUP('Données projet'!$B$13,Paramètres!$A$1:$I$89,5,0)</f>
        <v>8.9119112089974823E-14</v>
      </c>
      <c r="CV153" s="13">
        <f t="shared" si="149"/>
        <v>1.3568952080113142E-12</v>
      </c>
      <c r="CW153" s="20">
        <f t="shared" si="121"/>
        <v>2.5184749408430782E-12</v>
      </c>
      <c r="CX153" s="59">
        <f t="shared" si="122"/>
        <v>286.69302227186284</v>
      </c>
      <c r="CY153" s="59">
        <f ca="1">AVERAGE(OFFSET($CX$3,0,0,'Données projet'!$E$13+1,1))-AVERAGE(OFFSET($H$3,0,0,'Données projet'!$E$13+1,1))</f>
        <v>287.73449456153207</v>
      </c>
      <c r="CZ153" s="59">
        <f t="shared" si="150"/>
        <v>296.74833899433281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24.442629380289763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24.442629380289763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3.8900000000000077</v>
      </c>
      <c r="DO153" s="12">
        <f>IF('Données projet'!$A$166&gt;35,DO152+DN153-DW152,IF(A153&lt;'Données projet'!$A$166,$DL$205^A153,IF(A153='Données projet'!$A$166,'Données projet'!$B$166,DO152+DN153-DW152)))</f>
        <v>236.16999999999973</v>
      </c>
      <c r="DP153" s="17">
        <f>DO153*VLOOKUP('Données projet'!$B$14,Paramètres!$A$1:$I$89,3,0)*VLOOKUP('Données projet'!$B$14,Paramètres!$A$1:$I$89,5,0)</f>
        <v>239.47637999999975</v>
      </c>
      <c r="DQ153" s="13">
        <f t="shared" si="151"/>
        <v>58.326856771580658</v>
      </c>
      <c r="DR153" s="20">
        <f t="shared" si="124"/>
        <v>518.67397071050254</v>
      </c>
      <c r="DS153" s="59">
        <f t="shared" si="125"/>
        <v>805.36699298236294</v>
      </c>
      <c r="DT153" s="59">
        <f ca="1">AVERAGE(OFFSET($DS$3,0,0,'Données projet'!$E$14+1,1))-AVERAGE(OFFSET($H$3,0,0,'Données projet'!$E$14+1,1))</f>
        <v>532.34688562681413</v>
      </c>
      <c r="DU153" s="59">
        <f t="shared" si="152"/>
        <v>345.42627129678556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118.05682030089014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118.05682030089014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-5.1431925385259088E-14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256.20286603823035</v>
      </c>
      <c r="EP153" s="59">
        <f t="shared" si="154"/>
        <v>364.83827155069434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6.2932674397691848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6.2932674397691848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3.8900000000000077</v>
      </c>
      <c r="FE153" s="12">
        <f>IF('Données projet'!$A$218&gt;35,FE152+FD153-FM152,IF(A153&lt;'Données projet'!$A$218,$FB$205^A153,IF(A153='Données projet'!$A$218,'Données projet'!$B$218,FE152+FD153-FM152)))</f>
        <v>236.16999999999973</v>
      </c>
      <c r="FF153" s="17">
        <f>FE153*VLOOKUP('Données projet'!$B$16,Paramètres!$A$1:$I$89,3,0)*VLOOKUP('Données projet'!$B$16,Paramètres!$A$1:$I$89,5,0)</f>
        <v>158.42283599999982</v>
      </c>
      <c r="FG153" s="13">
        <f t="shared" si="155"/>
        <v>40.486576829456325</v>
      </c>
      <c r="FH153" s="20">
        <f t="shared" si="130"/>
        <v>346.43389401130275</v>
      </c>
      <c r="FI153" s="59">
        <f t="shared" si="131"/>
        <v>633.12691628316315</v>
      </c>
      <c r="FJ153" s="59">
        <f ca="1">AVERAGE(OFFSET($FI$3,0,0,'Données projet'!$E$16+1,1))-AVERAGE(OFFSET($H$3,0,0,'Données projet'!$E$16+1,1))</f>
        <v>380.73695370216979</v>
      </c>
      <c r="FK153" s="59">
        <f t="shared" si="156"/>
        <v>249.34467160415713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96.261715014571976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96.261715014571976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3.8900000000000077</v>
      </c>
      <c r="FZ153" s="12">
        <f>IF('Données projet'!$A$244&gt;35,FZ152+FY153-GH152,IF(A153&lt;'Données projet'!$A$244,$FW$205^A153,IF(A153='Données projet'!$A$244,'Données projet'!$B$244,FZ152+FY153-GH152)))</f>
        <v>236.16999999999973</v>
      </c>
      <c r="GA153" s="17">
        <f>FZ153*VLOOKUP('Données projet'!$B$17,Paramètres!$A$1:$I$89,3,0)*VLOOKUP('Données projet'!$B$17,Paramètres!$A$1:$I$89,5,0)</f>
        <v>228.42362399999973</v>
      </c>
      <c r="GB153" s="13">
        <f t="shared" si="157"/>
        <v>55.941695874261875</v>
      </c>
      <c r="GC153" s="20">
        <f t="shared" si="133"/>
        <v>495.26959878100564</v>
      </c>
      <c r="GD153" s="59">
        <f t="shared" si="134"/>
        <v>781.96262105286598</v>
      </c>
      <c r="GE153" s="59">
        <f ca="1">AVERAGE(OFFSET($GD$3,0,0,'Données projet'!$E$17+1,1))-AVERAGE(OFFSET($H$3,0,0,'Données projet'!$E$17+1,1))</f>
        <v>511.7458522930001</v>
      </c>
      <c r="GF153" s="59">
        <f t="shared" si="158"/>
        <v>332.37317679966122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112.60804397931057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112.60804397931057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-1.7053025658242404E-13</v>
      </c>
      <c r="GV153" s="17">
        <f>GU153*VLOOKUP('Données projet'!$B$18,Paramètres!$A$1:$I$89,3,0)*VLOOKUP('Données projet'!$B$18,Paramètres!$A$1:$I$89,5,0)</f>
        <v>-1.4897523215040567E-13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348.77506423101278</v>
      </c>
      <c r="HA153" s="59">
        <f t="shared" si="160"/>
        <v>336.13747591329548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33.39959744688813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33.39959744688813</v>
      </c>
    </row>
    <row r="154" spans="1:218" x14ac:dyDescent="0.2">
      <c r="A154" s="10">
        <f t="shared" ref="A154:A202" si="161">A153+1</f>
        <v>151</v>
      </c>
      <c r="B154" s="71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5">
        <f t="shared" si="110"/>
        <v>183.33333333333334</v>
      </c>
      <c r="I154" s="6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-2.1282176021486519E-13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387.50901594883317</v>
      </c>
      <c r="T154" s="59">
        <f t="shared" si="142"/>
        <v>361.3623790401972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89.319269000068459</v>
      </c>
      <c r="AA154" s="21">
        <f>EXP(-LN(2)/25)*AA153+(1-EXP(-LN(2)/25))/(LN(2)/25)*Calculateur!V154*Calculateur!X154*VLOOKUP('Données projet'!$B$9,Paramètres!$A$1:$I$89,3,0)*0.475*44/12</f>
        <v>10.358669230381066</v>
      </c>
      <c r="AB154" s="21">
        <f>EXP(-LN(2)/2)*AB153+(1-EXP(-LN(2)/2))/(LN(2)/2)*V154*Y154*VLOOKUP('Données projet'!$B$9,Paramètres!$A$1:$I$89,3,0)*0.475*44/12</f>
        <v>2.0765496937682086E-6</v>
      </c>
      <c r="AC154" s="22">
        <f t="shared" ref="AC154:AC203" si="163">SUM(Z154:AB154)</f>
        <v>99.677940306999218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373.47758082856359</v>
      </c>
      <c r="AO154" s="59">
        <f t="shared" si="144"/>
        <v>277.24895424120166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47.101888565715946</v>
      </c>
      <c r="AV154" s="21">
        <f>EXP(-LN(2)/25)*AV153+(1-EXP(-LN(2)/25))/(LN(2)/25)*Calculateur!AQ154*Calculateur!AS154*VLOOKUP('Données projet'!$B$10,Paramètres!$A$1:$I$89,3,0)*0.475*44/12</f>
        <v>5.0214863736325537</v>
      </c>
      <c r="AW154" s="21">
        <f>EXP(-LN(2)/2)*AW153+(1-EXP(-LN(2)/2))/(LN(2)/2)*AQ154*AT154*VLOOKUP('Données projet'!$B$10,Paramètres!$A$1:$I$89,3,0)*0.475*44/12</f>
        <v>6.5612451382258404E-10</v>
      </c>
      <c r="AX154" s="21">
        <f t="shared" ref="AX154:AX203" si="166">SUM(AU154:AW154)</f>
        <v>52.123374940004624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-6.8212102632969618E-13</v>
      </c>
      <c r="BE154" s="13">
        <f>BD154*VLOOKUP('Données projet'!$B$11,Paramètres!$A$1:$I$89,3,0)*VLOOKUP('Données projet'!$B$11,Paramètres!$A$1:$I$89,5,0)</f>
        <v>-4.0790837374515837E-13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460.88622650237176</v>
      </c>
      <c r="BJ154" s="59">
        <f t="shared" si="146"/>
        <v>396.05161661639647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55.043818424998982</v>
      </c>
      <c r="BQ154" s="21">
        <f>EXP(-LN(2)/25)*BQ153+(1-EXP(-LN(2)/25))/(LN(2)/25)*Calculateur!BL154*Calculateur!BN154*VLOOKUP('Données projet'!$B$11,Paramètres!$A$1:$I$89,3,0)*0.475*44/12</f>
        <v>5.5051488351439444</v>
      </c>
      <c r="BR154" s="21">
        <f>EXP(-LN(2)/2)*BR153+(1-EXP(-LN(2)/2))/(LN(2)/2)*BL154*BO154*VLOOKUP('Données projet'!$B$11,Paramètres!$A$1:$I$89,3,0)*0.475*44/12</f>
        <v>2.1183766194673355E-10</v>
      </c>
      <c r="BS154" s="22">
        <f t="shared" ref="BS154:BS203" si="169">SUM(BP154:BR154)</f>
        <v>60.548967260354765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-5.1727511163335289E-14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341.60063595566282</v>
      </c>
      <c r="CE154" s="59">
        <f t="shared" si="148"/>
        <v>317.05609766344219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45.176219856196667</v>
      </c>
      <c r="CL154" s="21">
        <f>EXP(-LN(2)/25)*CL153+(1-EXP(-LN(2)/25))/(LN(2)/25)*Calculateur!CG154*Calculateur!CI154*VLOOKUP('Données projet'!$B$12,Paramètres!$A$1:$I$89,3,0)*0.475*44/12</f>
        <v>5.1131192301739548</v>
      </c>
      <c r="CM154" s="21">
        <f>EXP(-LN(2)/2)*CM153+(1-EXP(-LN(2)/2))/(LN(2)/2)*CG154*CJ154*VLOOKUP('Données projet'!$B$12,Paramètres!$A$1:$I$89,3,0)*0.475*44/12</f>
        <v>1.7902914558000812E-11</v>
      </c>
      <c r="CN154" s="22">
        <f t="shared" ref="CN154:CN203" si="172">SUM(CK154:CM154)</f>
        <v>50.28933908638853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8.5265128291212022E-14</v>
      </c>
      <c r="CU154" s="17">
        <f>CT154*VLOOKUP('Données projet'!$B$13,Paramètres!$A$1:$I$89,3,0)*VLOOKUP('Données projet'!$B$13,Paramètres!$A$1:$I$89,5,0)</f>
        <v>8.9119112089974823E-14</v>
      </c>
      <c r="CV154" s="13">
        <f t="shared" ref="CV154:CV203" si="173">EXP(-1.0587+0.8836*LN(CU154)+0.284)</f>
        <v>1.3568952080113142E-12</v>
      </c>
      <c r="CW154" s="20">
        <f t="shared" ref="CW154:CW203" si="174">(CU154+CV154)*0.475*44/12</f>
        <v>2.5184749408430782E-12</v>
      </c>
      <c r="CX154" s="59">
        <f t="shared" si="122"/>
        <v>286.80821682326786</v>
      </c>
      <c r="CY154" s="59">
        <f ca="1">AVERAGE(OFFSET($CX$3,0,0,'Données projet'!$E$13+1,1))-AVERAGE(OFFSET($H$3,0,0,'Données projet'!$E$13+1,1))</f>
        <v>287.73449456153207</v>
      </c>
      <c r="CZ154" s="59">
        <f t="shared" si="150"/>
        <v>296.74833899433281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23.963324326674108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23.963324326674108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3.8900000000000077</v>
      </c>
      <c r="DO154" s="12">
        <f>IF('Données projet'!$A$166&gt;35,DO153+DN154-DW153,IF(A154&lt;'Données projet'!$A$166,$DL$205^A154,IF(A154='Données projet'!$A$166,'Données projet'!$B$166,DO153+DN154-DW153)))</f>
        <v>240.05999999999975</v>
      </c>
      <c r="DP154" s="17">
        <f>DO154*VLOOKUP('Données projet'!$B$14,Paramètres!$A$1:$I$89,3,0)*VLOOKUP('Données projet'!$B$14,Paramètres!$A$1:$I$89,5,0)</f>
        <v>243.42083999999977</v>
      </c>
      <c r="DQ154" s="13">
        <f t="shared" ref="DQ154:DQ203" si="176">EXP(-1.0587+0.8836*LN(DP154)+0.284)</f>
        <v>59.174933526650676</v>
      </c>
      <c r="DR154" s="20">
        <f t="shared" ref="DR154:DR203" si="177">(DP154+DQ154)*0.475*44/12</f>
        <v>527.0209722255828</v>
      </c>
      <c r="DS154" s="59">
        <f t="shared" si="125"/>
        <v>813.82918904884809</v>
      </c>
      <c r="DT154" s="59">
        <f ca="1">AVERAGE(OFFSET($DS$3,0,0,'Données projet'!$E$14+1,1))-AVERAGE(OFFSET($H$3,0,0,'Données projet'!$E$14+1,1))</f>
        <v>532.34688562681413</v>
      </c>
      <c r="DU154" s="59">
        <f t="shared" si="152"/>
        <v>345.42627129678556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115.74179806233991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115.74179806233991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-5.1431925385259088E-14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256.20286603823035</v>
      </c>
      <c r="EP154" s="59">
        <f t="shared" si="154"/>
        <v>364.83827155069434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6.1698603037894273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6.1698603037894273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3.8900000000000077</v>
      </c>
      <c r="FE154" s="12">
        <f>IF('Données projet'!$A$218&gt;35,FE153+FD154-FM153,IF(A154&lt;'Données projet'!$A$218,$FB$205^A154,IF(A154='Données projet'!$A$218,'Données projet'!$B$218,FE153+FD154-FM153)))</f>
        <v>240.05999999999975</v>
      </c>
      <c r="FF154" s="17">
        <f>FE154*VLOOKUP('Données projet'!$B$16,Paramètres!$A$1:$I$89,3,0)*VLOOKUP('Données projet'!$B$16,Paramètres!$A$1:$I$89,5,0)</f>
        <v>161.03224799999984</v>
      </c>
      <c r="FG154" s="13">
        <f t="shared" ref="FG154:FG203" si="182">EXP(-1.0587+0.8836*LN(FF154)+0.284)</f>
        <v>41.075254611903638</v>
      </c>
      <c r="FH154" s="20">
        <f t="shared" ref="FH154:FH203" si="183">(FF154+FG154)*0.475*44/12</f>
        <v>352.00390038239857</v>
      </c>
      <c r="FI154" s="59">
        <f t="shared" si="131"/>
        <v>638.81211720566398</v>
      </c>
      <c r="FJ154" s="59">
        <f ca="1">AVERAGE(OFFSET($FI$3,0,0,'Données projet'!$E$16+1,1))-AVERAGE(OFFSET($H$3,0,0,'Données projet'!$E$16+1,1))</f>
        <v>380.73695370216979</v>
      </c>
      <c r="FK154" s="59">
        <f t="shared" si="156"/>
        <v>249.34467160415713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94.374081496984871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94.374081496984871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3.8900000000000077</v>
      </c>
      <c r="FZ154" s="12">
        <f>IF('Données projet'!$A$244&gt;35,FZ153+FY154-GH153,IF(A154&lt;'Données projet'!$A$244,$FW$205^A154,IF(A154='Données projet'!$A$244,'Données projet'!$B$244,FZ153+FY154-GH153)))</f>
        <v>240.05999999999975</v>
      </c>
      <c r="GA154" s="17">
        <f>FZ154*VLOOKUP('Données projet'!$B$17,Paramètres!$A$1:$I$89,3,0)*VLOOKUP('Données projet'!$B$17,Paramètres!$A$1:$I$89,5,0)</f>
        <v>232.18603199999978</v>
      </c>
      <c r="GB154" s="13">
        <f t="shared" ref="GB154:GB203" si="185">EXP(-1.0587+0.8836*LN(GA154)+0.284)</f>
        <v>56.755092215778276</v>
      </c>
      <c r="GC154" s="20">
        <f t="shared" ref="GC154:GC203" si="186">(GA154+GB154)*0.475*44/12</f>
        <v>503.23912467581346</v>
      </c>
      <c r="GD154" s="59">
        <f t="shared" si="134"/>
        <v>790.04734149907881</v>
      </c>
      <c r="GE154" s="59">
        <f ca="1">AVERAGE(OFFSET($GD$3,0,0,'Données projet'!$E$17+1,1))-AVERAGE(OFFSET($H$3,0,0,'Données projet'!$E$17+1,1))</f>
        <v>511.7458522930001</v>
      </c>
      <c r="GF154" s="59">
        <f t="shared" si="158"/>
        <v>332.37317679966122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110.39986892100112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110.39986892100112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-1.7053025658242404E-13</v>
      </c>
      <c r="GV154" s="17">
        <f>GU154*VLOOKUP('Données projet'!$B$18,Paramètres!$A$1:$I$89,3,0)*VLOOKUP('Données projet'!$B$18,Paramètres!$A$1:$I$89,5,0)</f>
        <v>-1.4897523215040567E-13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348.77506423101278</v>
      </c>
      <c r="HA154" s="59">
        <f t="shared" si="160"/>
        <v>336.13747591329548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32.744651712697554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32.744651712697554</v>
      </c>
    </row>
    <row r="155" spans="1:218" x14ac:dyDescent="0.2">
      <c r="A155" s="10">
        <f t="shared" si="161"/>
        <v>152</v>
      </c>
      <c r="B155" s="71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5">
        <f t="shared" si="110"/>
        <v>183.33333333333334</v>
      </c>
      <c r="I155" s="6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-2.1282176021486519E-13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387.50901594883317</v>
      </c>
      <c r="T155" s="59">
        <f t="shared" si="142"/>
        <v>361.3623790401972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87.56777261435181</v>
      </c>
      <c r="AA155" s="21">
        <f>EXP(-LN(2)/25)*AA154+(1-EXP(-LN(2)/25))/(LN(2)/25)*Calculateur!V155*Calculateur!X155*VLOOKUP('Données projet'!$B$9,Paramètres!$A$1:$I$89,3,0)*0.475*44/12</f>
        <v>10.075410875537557</v>
      </c>
      <c r="AB155" s="21">
        <f>EXP(-LN(2)/2)*AB154+(1-EXP(-LN(2)/2))/(LN(2)/2)*V155*Y155*VLOOKUP('Données projet'!$B$9,Paramètres!$A$1:$I$89,3,0)*0.475*44/12</f>
        <v>1.468342369934349E-6</v>
      </c>
      <c r="AC155" s="22">
        <f t="shared" si="163"/>
        <v>97.643184958231743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373.47758082856359</v>
      </c>
      <c r="AO155" s="59">
        <f t="shared" si="144"/>
        <v>277.24895424120166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46.178249260257495</v>
      </c>
      <c r="AV155" s="21">
        <f>EXP(-LN(2)/25)*AV154+(1-EXP(-LN(2)/25))/(LN(2)/25)*Calculateur!AQ155*Calculateur!AS155*VLOOKUP('Données projet'!$B$10,Paramètres!$A$1:$I$89,3,0)*0.475*44/12</f>
        <v>4.8841735646770799</v>
      </c>
      <c r="AW155" s="21">
        <f>EXP(-LN(2)/2)*AW154+(1-EXP(-LN(2)/2))/(LN(2)/2)*AQ155*AT155*VLOOKUP('Données projet'!$B$10,Paramètres!$A$1:$I$89,3,0)*0.475*44/12</f>
        <v>4.6395009302667586E-10</v>
      </c>
      <c r="AX155" s="21">
        <f t="shared" si="166"/>
        <v>51.062422825398521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-6.8212102632969618E-13</v>
      </c>
      <c r="BE155" s="13">
        <f>BD155*VLOOKUP('Données projet'!$B$11,Paramètres!$A$1:$I$89,3,0)*VLOOKUP('Données projet'!$B$11,Paramètres!$A$1:$I$89,5,0)</f>
        <v>-4.0790837374515837E-13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460.88622650237176</v>
      </c>
      <c r="BJ155" s="59">
        <f t="shared" si="146"/>
        <v>396.05161661639647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53.964442719098891</v>
      </c>
      <c r="BQ155" s="21">
        <f>EXP(-LN(2)/25)*BQ154+(1-EXP(-LN(2)/25))/(LN(2)/25)*Calculateur!BL155*Calculateur!BN155*VLOOKUP('Données projet'!$B$11,Paramètres!$A$1:$I$89,3,0)*0.475*44/12</f>
        <v>5.3546102507437379</v>
      </c>
      <c r="BR155" s="21">
        <f>EXP(-LN(2)/2)*BR154+(1-EXP(-LN(2)/2))/(LN(2)/2)*BL155*BO155*VLOOKUP('Données projet'!$B$11,Paramètres!$A$1:$I$89,3,0)*0.475*44/12</f>
        <v>1.4979184727323874E-10</v>
      </c>
      <c r="BS155" s="22">
        <f t="shared" si="169"/>
        <v>59.31905296999242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-5.1727511163335289E-14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341.60063595566282</v>
      </c>
      <c r="CE155" s="59">
        <f t="shared" si="148"/>
        <v>317.05609766344219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44.290341739589955</v>
      </c>
      <c r="CL155" s="21">
        <f>EXP(-LN(2)/25)*CL154+(1-EXP(-LN(2)/25))/(LN(2)/25)*Calculateur!CG155*Calculateur!CI155*VLOOKUP('Données projet'!$B$12,Paramètres!$A$1:$I$89,3,0)*0.475*44/12</f>
        <v>4.9733007159375937</v>
      </c>
      <c r="CM155" s="21">
        <f>EXP(-LN(2)/2)*CM154+(1-EXP(-LN(2)/2))/(LN(2)/2)*CG155*CJ155*VLOOKUP('Données projet'!$B$12,Paramètres!$A$1:$I$89,3,0)*0.475*44/12</f>
        <v>1.2659272286965737E-11</v>
      </c>
      <c r="CN155" s="22">
        <f t="shared" si="172"/>
        <v>49.263642455540207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8.5265128291212022E-14</v>
      </c>
      <c r="CU155" s="17">
        <f>CT155*VLOOKUP('Données projet'!$B$13,Paramètres!$A$1:$I$89,3,0)*VLOOKUP('Données projet'!$B$13,Paramètres!$A$1:$I$89,5,0)</f>
        <v>8.9119112089974823E-14</v>
      </c>
      <c r="CV155" s="13">
        <f t="shared" si="173"/>
        <v>1.3568952080113142E-12</v>
      </c>
      <c r="CW155" s="20">
        <f t="shared" si="174"/>
        <v>2.5184749408430782E-12</v>
      </c>
      <c r="CX155" s="59">
        <f t="shared" si="122"/>
        <v>286.9214130067424</v>
      </c>
      <c r="CY155" s="59">
        <f ca="1">AVERAGE(OFFSET($CX$3,0,0,'Données projet'!$E$13+1,1))-AVERAGE(OFFSET($H$3,0,0,'Données projet'!$E$13+1,1))</f>
        <v>287.73449456153207</v>
      </c>
      <c r="CZ155" s="59">
        <f t="shared" si="150"/>
        <v>296.74833899433281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23.493418152812641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23.493418152812641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3.8900000000000077</v>
      </c>
      <c r="DO155" s="12">
        <f>IF('Données projet'!$A$166&gt;35,DO154+DN155-DW154,IF(A155&lt;'Données projet'!$A$166,$DL$205^A155,IF(A155='Données projet'!$A$166,'Données projet'!$B$166,DO154+DN155-DW154)))</f>
        <v>243.94999999999976</v>
      </c>
      <c r="DP155" s="17">
        <f>DO155*VLOOKUP('Données projet'!$B$14,Paramètres!$A$1:$I$89,3,0)*VLOOKUP('Données projet'!$B$14,Paramètres!$A$1:$I$89,5,0)</f>
        <v>247.36529999999979</v>
      </c>
      <c r="DQ155" s="13">
        <f t="shared" si="176"/>
        <v>60.021412091309593</v>
      </c>
      <c r="DR155" s="20">
        <f t="shared" si="177"/>
        <v>535.36519022569712</v>
      </c>
      <c r="DS155" s="59">
        <f t="shared" si="125"/>
        <v>822.28660323243707</v>
      </c>
      <c r="DT155" s="59">
        <f ca="1">AVERAGE(OFFSET($DS$3,0,0,'Données projet'!$E$14+1,1))-AVERAGE(OFFSET($H$3,0,0,'Données projet'!$E$14+1,1))</f>
        <v>532.34688562681413</v>
      </c>
      <c r="DU155" s="59">
        <f t="shared" si="152"/>
        <v>345.42627129678556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113.47217199786351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113.47217199786351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-5.1431925385259088E-14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256.20286603823035</v>
      </c>
      <c r="EP155" s="59">
        <f t="shared" si="154"/>
        <v>364.83827155069434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6.0488731064753125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6.0488731064753125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3.8900000000000077</v>
      </c>
      <c r="FE155" s="12">
        <f>IF('Données projet'!$A$218&gt;35,FE154+FD155-FM154,IF(A155&lt;'Données projet'!$A$218,$FB$205^A155,IF(A155='Données projet'!$A$218,'Données projet'!$B$218,FE154+FD155-FM154)))</f>
        <v>243.94999999999976</v>
      </c>
      <c r="FF155" s="17">
        <f>FE155*VLOOKUP('Données projet'!$B$16,Paramètres!$A$1:$I$89,3,0)*VLOOKUP('Données projet'!$B$16,Paramètres!$A$1:$I$89,5,0)</f>
        <v>163.64165999999986</v>
      </c>
      <c r="FG155" s="13">
        <f t="shared" si="182"/>
        <v>41.662823038173592</v>
      </c>
      <c r="FH155" s="20">
        <f t="shared" si="183"/>
        <v>357.57197462481872</v>
      </c>
      <c r="FI155" s="59">
        <f t="shared" si="131"/>
        <v>644.49338763155856</v>
      </c>
      <c r="FJ155" s="59">
        <f ca="1">AVERAGE(OFFSET($FI$3,0,0,'Données projet'!$E$16+1,1))-AVERAGE(OFFSET($H$3,0,0,'Données projet'!$E$16+1,1))</f>
        <v>380.73695370216979</v>
      </c>
      <c r="FK155" s="59">
        <f t="shared" si="156"/>
        <v>249.34467160415713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92.523463321334887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92.523463321334887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3.8900000000000077</v>
      </c>
      <c r="FZ155" s="12">
        <f>IF('Données projet'!$A$244&gt;35,FZ154+FY155-GH154,IF(A155&lt;'Données projet'!$A$244,$FW$205^A155,IF(A155='Données projet'!$A$244,'Données projet'!$B$244,FZ154+FY155-GH154)))</f>
        <v>243.94999999999976</v>
      </c>
      <c r="GA155" s="17">
        <f>FZ155*VLOOKUP('Données projet'!$B$17,Paramètres!$A$1:$I$89,3,0)*VLOOKUP('Données projet'!$B$17,Paramètres!$A$1:$I$89,5,0)</f>
        <v>235.94843999999978</v>
      </c>
      <c r="GB155" s="13">
        <f t="shared" si="185"/>
        <v>57.566955721704474</v>
      </c>
      <c r="GC155" s="20">
        <f t="shared" si="186"/>
        <v>511.20598088196829</v>
      </c>
      <c r="GD155" s="59">
        <f t="shared" si="134"/>
        <v>798.12739388870818</v>
      </c>
      <c r="GE155" s="59">
        <f ca="1">AVERAGE(OFFSET($GD$3,0,0,'Données projet'!$E$17+1,1))-AVERAGE(OFFSET($H$3,0,0,'Données projet'!$E$17+1,1))</f>
        <v>511.7458522930001</v>
      </c>
      <c r="GF155" s="59">
        <f t="shared" si="158"/>
        <v>332.37317679966122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108.23499482873132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108.23499482873132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-1.7053025658242404E-13</v>
      </c>
      <c r="GV155" s="17">
        <f>GU155*VLOOKUP('Données projet'!$B$18,Paramètres!$A$1:$I$89,3,0)*VLOOKUP('Données projet'!$B$18,Paramètres!$A$1:$I$89,5,0)</f>
        <v>-1.4897523215040567E-13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348.77506423101278</v>
      </c>
      <c r="HA155" s="59">
        <f t="shared" si="160"/>
        <v>336.13747591329548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32.102549064877003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32.102549064877003</v>
      </c>
    </row>
    <row r="156" spans="1:218" x14ac:dyDescent="0.2">
      <c r="A156" s="10">
        <f t="shared" si="161"/>
        <v>153</v>
      </c>
      <c r="B156" s="71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5">
        <f t="shared" si="110"/>
        <v>183.33333333333334</v>
      </c>
      <c r="I156" s="6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-2.1282176021486519E-13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387.50901594883317</v>
      </c>
      <c r="T156" s="59">
        <f t="shared" si="142"/>
        <v>361.3623790401972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85.850622004451765</v>
      </c>
      <c r="AA156" s="21">
        <f>EXP(-LN(2)/25)*AA155+(1-EXP(-LN(2)/25))/(LN(2)/25)*Calculateur!V156*Calculateur!X156*VLOOKUP('Données projet'!$B$9,Paramètres!$A$1:$I$89,3,0)*0.475*44/12</f>
        <v>9.7998982353031518</v>
      </c>
      <c r="AB156" s="21">
        <f>EXP(-LN(2)/2)*AB155+(1-EXP(-LN(2)/2))/(LN(2)/2)*V156*Y156*VLOOKUP('Données projet'!$B$9,Paramètres!$A$1:$I$89,3,0)*0.475*44/12</f>
        <v>1.0382748468841043E-6</v>
      </c>
      <c r="AC156" s="22">
        <f t="shared" si="163"/>
        <v>95.650521278029757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373.47758082856359</v>
      </c>
      <c r="AO156" s="59">
        <f t="shared" si="144"/>
        <v>277.24895424120166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45.272721958214738</v>
      </c>
      <c r="AV156" s="21">
        <f>EXP(-LN(2)/25)*AV155+(1-EXP(-LN(2)/25))/(LN(2)/25)*Calculateur!AQ156*Calculateur!AS156*VLOOKUP('Données projet'!$B$10,Paramètres!$A$1:$I$89,3,0)*0.475*44/12</f>
        <v>4.7506155817034603</v>
      </c>
      <c r="AW156" s="21">
        <f>EXP(-LN(2)/2)*AW155+(1-EXP(-LN(2)/2))/(LN(2)/2)*AQ156*AT156*VLOOKUP('Données projet'!$B$10,Paramètres!$A$1:$I$89,3,0)*0.475*44/12</f>
        <v>3.2806225691129207E-10</v>
      </c>
      <c r="AX156" s="21">
        <f t="shared" si="166"/>
        <v>50.023337540246267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-6.8212102632969618E-13</v>
      </c>
      <c r="BE156" s="13">
        <f>BD156*VLOOKUP('Données projet'!$B$11,Paramètres!$A$1:$I$89,3,0)*VLOOKUP('Données projet'!$B$11,Paramètres!$A$1:$I$89,5,0)</f>
        <v>-4.0790837374515837E-13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460.88622650237176</v>
      </c>
      <c r="BJ156" s="59">
        <f t="shared" si="146"/>
        <v>396.05161661639647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52.906232912437325</v>
      </c>
      <c r="BQ156" s="21">
        <f>EXP(-LN(2)/25)*BQ155+(1-EXP(-LN(2)/25))/(LN(2)/25)*Calculateur!BL156*Calculateur!BN156*VLOOKUP('Données projet'!$B$11,Paramètres!$A$1:$I$89,3,0)*0.475*44/12</f>
        <v>5.2081881518504352</v>
      </c>
      <c r="BR156" s="21">
        <f>EXP(-LN(2)/2)*BR155+(1-EXP(-LN(2)/2))/(LN(2)/2)*BL156*BO156*VLOOKUP('Données projet'!$B$11,Paramètres!$A$1:$I$89,3,0)*0.475*44/12</f>
        <v>1.0591883097336677E-10</v>
      </c>
      <c r="BS156" s="22">
        <f t="shared" si="169"/>
        <v>58.114421064393682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-5.1727511163335289E-14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341.60063595566282</v>
      </c>
      <c r="CE156" s="59">
        <f t="shared" si="148"/>
        <v>317.05609766344219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43.421835152517602</v>
      </c>
      <c r="CL156" s="21">
        <f>EXP(-LN(2)/25)*CL155+(1-EXP(-LN(2)/25))/(LN(2)/25)*Calculateur!CG156*Calculateur!CI156*VLOOKUP('Données projet'!$B$12,Paramètres!$A$1:$I$89,3,0)*0.475*44/12</f>
        <v>4.8373055463257622</v>
      </c>
      <c r="CM156" s="21">
        <f>EXP(-LN(2)/2)*CM155+(1-EXP(-LN(2)/2))/(LN(2)/2)*CG156*CJ156*VLOOKUP('Données projet'!$B$12,Paramètres!$A$1:$I$89,3,0)*0.475*44/12</f>
        <v>8.9514572790004061E-12</v>
      </c>
      <c r="CN156" s="22">
        <f t="shared" si="172"/>
        <v>48.25914069885232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8.5265128291212022E-14</v>
      </c>
      <c r="CU156" s="17">
        <f>CT156*VLOOKUP('Données projet'!$B$13,Paramètres!$A$1:$I$89,3,0)*VLOOKUP('Données projet'!$B$13,Paramètres!$A$1:$I$89,5,0)</f>
        <v>8.9119112089974823E-14</v>
      </c>
      <c r="CV156" s="13">
        <f t="shared" si="173"/>
        <v>1.3568952080113142E-12</v>
      </c>
      <c r="CW156" s="20">
        <f t="shared" si="174"/>
        <v>2.5184749408430782E-12</v>
      </c>
      <c r="CX156" s="59">
        <f t="shared" si="122"/>
        <v>287.0326454895025</v>
      </c>
      <c r="CY156" s="59">
        <f ca="1">AVERAGE(OFFSET($CX$3,0,0,'Données projet'!$E$13+1,1))-AVERAGE(OFFSET($H$3,0,0,'Données projet'!$E$13+1,1))</f>
        <v>287.73449456153207</v>
      </c>
      <c r="CZ156" s="59">
        <f t="shared" si="150"/>
        <v>296.74833899433281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23.032726552406132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23.032726552406132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247.84</v>
      </c>
      <c r="DM156" s="12">
        <f>VLOOKUP(A156,'Données projet'!$A$165:$I$185,9,0)</f>
        <v>3.8900000000000077</v>
      </c>
      <c r="DN156" s="12">
        <f t="array" ref="DN156">INDEX(DM:DM,MIN(IF(ISNUMBER(DM156:DM352),ROW(DM156:DM352),"")))</f>
        <v>3.8900000000000077</v>
      </c>
      <c r="DO156" s="12">
        <f>IF('Données projet'!$A$166&gt;35,DO155+DN156-DW155,IF(A156&lt;'Données projet'!$A$166,$DL$205^A156,IF(A156='Données projet'!$A$166,'Données projet'!$B$166,DO155+DN156-DW155)))</f>
        <v>247.83999999999978</v>
      </c>
      <c r="DP156" s="17">
        <f>DO156*VLOOKUP('Données projet'!$B$14,Paramètres!$A$1:$I$89,3,0)*VLOOKUP('Données projet'!$B$14,Paramètres!$A$1:$I$89,5,0)</f>
        <v>251.30975999999978</v>
      </c>
      <c r="DQ156" s="13">
        <f t="shared" si="176"/>
        <v>60.866320892569824</v>
      </c>
      <c r="DR156" s="20">
        <f t="shared" si="177"/>
        <v>543.7066742212254</v>
      </c>
      <c r="DS156" s="59">
        <f t="shared" si="125"/>
        <v>830.73931971072534</v>
      </c>
      <c r="DT156" s="59">
        <f ca="1">AVERAGE(OFFSET($DS$3,0,0,'Données projet'!$E$14+1,1))-AVERAGE(OFFSET($H$3,0,0,'Données projet'!$E$14+1,1))</f>
        <v>532.34688562681413</v>
      </c>
      <c r="DU156" s="59">
        <f t="shared" si="152"/>
        <v>345.42627129678556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89.29</v>
      </c>
      <c r="DX156" s="16">
        <f>IF(ISNA(VLOOKUP(A156,'Données projet'!$A$165:$I$185,5,0)),0%,VLOOKUP(A156,'Données projet'!$A$165:$I$185,5,0)*VLOOKUP('Données projet'!$B$14,Paramètres!$A$1:$I$89,7,0))</f>
        <v>0.34400000000000003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145.67778986112711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145.67778986112711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-5.1431925385259088E-14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256.20286603823035</v>
      </c>
      <c r="EP156" s="59">
        <f t="shared" si="154"/>
        <v>364.83827155069434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5.930258394305624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5.930258394305624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>
        <f>VLOOKUP(A156,'Données projet'!$A$217:$I$237,2,0)</f>
        <v>247.84</v>
      </c>
      <c r="FC156" s="12">
        <f>VLOOKUP(A156,'Données projet'!$A$217:$I$237,9,0)</f>
        <v>3.8900000000000077</v>
      </c>
      <c r="FD156" s="12">
        <f t="array" ref="FD156">INDEX(FC:FC,MIN(IF(ISNUMBER(FC156:FC352),ROW(FC156:FC352),"")))</f>
        <v>3.8900000000000077</v>
      </c>
      <c r="FE156" s="12">
        <f>IF('Données projet'!$A$218&gt;35,FE155+FD156-FM155,IF(A156&lt;'Données projet'!$A$218,$FB$205^A156,IF(A156='Données projet'!$A$218,'Données projet'!$B$218,FE155+FD156-FM155)))</f>
        <v>247.83999999999978</v>
      </c>
      <c r="FF156" s="17">
        <f>FE156*VLOOKUP('Données projet'!$B$16,Paramètres!$A$1:$I$89,3,0)*VLOOKUP('Données projet'!$B$16,Paramètres!$A$1:$I$89,5,0)</f>
        <v>166.25107199999985</v>
      </c>
      <c r="FG156" s="13">
        <f t="shared" si="182"/>
        <v>42.249301840384277</v>
      </c>
      <c r="FH156" s="20">
        <f t="shared" si="183"/>
        <v>363.13815110533568</v>
      </c>
      <c r="FI156" s="59">
        <f t="shared" si="131"/>
        <v>650.17079659483568</v>
      </c>
      <c r="FJ156" s="59">
        <f ca="1">AVERAGE(OFFSET($FI$3,0,0,'Données projet'!$E$16+1,1))-AVERAGE(OFFSET($H$3,0,0,'Données projet'!$E$16+1,1))</f>
        <v>380.73695370216979</v>
      </c>
      <c r="FK156" s="59">
        <f t="shared" si="156"/>
        <v>249.34467160415713</v>
      </c>
      <c r="FL156" s="15">
        <f>IF(ISNA(VLOOKUP(A156,'Données projet'!$A$217:$I$237,3,0)),0,VLOOKUP(A156,'Données projet'!$A$217:$I$237,3,0))</f>
        <v>13</v>
      </c>
      <c r="FM156" s="15">
        <f>IF(ISNA(VLOOKUP(A156,'Données projet'!$A$217:$I$237,4,0)),0,VLOOKUP(A156,'Données projet'!$A$217:$I$237,4,0))</f>
        <v>89.29</v>
      </c>
      <c r="FN156" s="16">
        <f>IF(ISNA(VLOOKUP(A156,'Données projet'!$A$217:$I$237,5,0)),0%,VLOOKUP(A156,'Données projet'!$A$217:$I$237,5,0)*VLOOKUP('Données projet'!$B$16,Paramètres!$A$1:$I$89,7,0))</f>
        <v>0.42400000000000004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118.78342865599598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118.78342865599598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>
        <f>VLOOKUP(A156,'Données projet'!$A$243:$I$263,2,0)</f>
        <v>247.84</v>
      </c>
      <c r="FX156" s="12">
        <f>VLOOKUP(A156,'Données projet'!$A$243:$I$263,9,0)</f>
        <v>3.8900000000000077</v>
      </c>
      <c r="FY156" s="12">
        <f t="array" ref="FY156">INDEX(FX:FX,MIN(IF(ISNUMBER(FX156:FX352),ROW(FX156:FX352),"")))</f>
        <v>3.8900000000000077</v>
      </c>
      <c r="FZ156" s="12">
        <f>IF('Données projet'!$A$244&gt;35,FZ155+FY156-GH155,IF(A156&lt;'Données projet'!$A$244,$FW$205^A156,IF(A156='Données projet'!$A$244,'Données projet'!$B$244,FZ155+FY156-GH155)))</f>
        <v>247.83999999999978</v>
      </c>
      <c r="GA156" s="17">
        <f>FZ156*VLOOKUP('Données projet'!$B$17,Paramètres!$A$1:$I$89,3,0)*VLOOKUP('Données projet'!$B$17,Paramètres!$A$1:$I$89,5,0)</f>
        <v>239.71084799999977</v>
      </c>
      <c r="GB156" s="13">
        <f t="shared" si="185"/>
        <v>58.377313656586708</v>
      </c>
      <c r="GC156" s="20">
        <f t="shared" si="186"/>
        <v>519.17021488522141</v>
      </c>
      <c r="GD156" s="59">
        <f t="shared" si="134"/>
        <v>806.20286037472147</v>
      </c>
      <c r="GE156" s="59">
        <f ca="1">AVERAGE(OFFSET($GD$3,0,0,'Données projet'!$E$17+1,1))-AVERAGE(OFFSET($H$3,0,0,'Données projet'!$E$17+1,1))</f>
        <v>511.7458522930001</v>
      </c>
      <c r="GF156" s="59">
        <f t="shared" si="158"/>
        <v>332.37317679966122</v>
      </c>
      <c r="GG156" s="15">
        <f>IF(ISNA(VLOOKUP(A156,'Données projet'!$A$243:$I$263,3,0)),0,VLOOKUP(A156,'Données projet'!$A$243:$I$263,3,0))</f>
        <v>13</v>
      </c>
      <c r="GH156" s="15">
        <f>IF(ISNA(VLOOKUP(A156,'Données projet'!$A$243:$I$263,4,0)),0,VLOOKUP(A156,'Données projet'!$A$243:$I$263,4,0))</f>
        <v>89.29</v>
      </c>
      <c r="GI156" s="16">
        <f>IF(ISNA(VLOOKUP(A156,'Données projet'!$A$243:$I$263,5,0)),0%,VLOOKUP(A156,'Données projet'!$A$243:$I$263,5,0)*VLOOKUP('Données projet'!$B$17,Paramètres!$A$1:$I$89,7,0))</f>
        <v>0.34400000000000003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138.95419955984428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138.95419955984428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-1.7053025658242404E-13</v>
      </c>
      <c r="GV156" s="17">
        <f>GU156*VLOOKUP('Données projet'!$B$18,Paramètres!$A$1:$I$89,3,0)*VLOOKUP('Données projet'!$B$18,Paramètres!$A$1:$I$89,5,0)</f>
        <v>-1.4897523215040567E-13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348.77506423101278</v>
      </c>
      <c r="HA156" s="59">
        <f t="shared" si="160"/>
        <v>336.13747591329548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31.473037658336271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31.473037658336271</v>
      </c>
    </row>
    <row r="157" spans="1:218" x14ac:dyDescent="0.2">
      <c r="A157" s="10">
        <f t="shared" si="161"/>
        <v>154</v>
      </c>
      <c r="B157" s="71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5">
        <f t="shared" si="110"/>
        <v>183.33333333333334</v>
      </c>
      <c r="I157" s="6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-2.1282176021486519E-13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387.50901594883317</v>
      </c>
      <c r="T157" s="59">
        <f t="shared" si="142"/>
        <v>361.3623790401972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84.167143670653402</v>
      </c>
      <c r="AA157" s="21">
        <f>EXP(-LN(2)/25)*AA156+(1-EXP(-LN(2)/25))/(LN(2)/25)*Calculateur!V157*Calculateur!X157*VLOOKUP('Données projet'!$B$9,Paramètres!$A$1:$I$89,3,0)*0.475*44/12</f>
        <v>9.5319195027045378</v>
      </c>
      <c r="AB157" s="21">
        <f>EXP(-LN(2)/2)*AB156+(1-EXP(-LN(2)/2))/(LN(2)/2)*V157*Y157*VLOOKUP('Données projet'!$B$9,Paramètres!$A$1:$I$89,3,0)*0.475*44/12</f>
        <v>7.3417118496717448E-7</v>
      </c>
      <c r="AC157" s="22">
        <f t="shared" si="163"/>
        <v>93.699063907529123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373.47758082856359</v>
      </c>
      <c r="AO157" s="59">
        <f t="shared" si="144"/>
        <v>277.24895424120166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44.384951494247922</v>
      </c>
      <c r="AV157" s="21">
        <f>EXP(-LN(2)/25)*AV156+(1-EXP(-LN(2)/25))/(LN(2)/25)*Calculateur!AQ157*Calculateur!AS157*VLOOKUP('Données projet'!$B$10,Paramètres!$A$1:$I$89,3,0)*0.475*44/12</f>
        <v>4.6207097487977631</v>
      </c>
      <c r="AW157" s="21">
        <f>EXP(-LN(2)/2)*AW156+(1-EXP(-LN(2)/2))/(LN(2)/2)*AQ157*AT157*VLOOKUP('Données projet'!$B$10,Paramètres!$A$1:$I$89,3,0)*0.475*44/12</f>
        <v>2.3197504651333795E-10</v>
      </c>
      <c r="AX157" s="21">
        <f t="shared" si="166"/>
        <v>49.005661243277665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-6.8212102632969618E-13</v>
      </c>
      <c r="BE157" s="13">
        <f>BD157*VLOOKUP('Données projet'!$B$11,Paramètres!$A$1:$I$89,3,0)*VLOOKUP('Données projet'!$B$11,Paramètres!$A$1:$I$89,5,0)</f>
        <v>-4.0790837374515837E-13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460.88622650237176</v>
      </c>
      <c r="BJ157" s="59">
        <f t="shared" si="146"/>
        <v>396.05161661639647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51.868773954640147</v>
      </c>
      <c r="BQ157" s="21">
        <f>EXP(-LN(2)/25)*BQ156+(1-EXP(-LN(2)/25))/(LN(2)/25)*Calculateur!BL157*Calculateur!BN157*VLOOKUP('Données projet'!$B$11,Paramètres!$A$1:$I$89,3,0)*0.475*44/12</f>
        <v>5.0657699729513732</v>
      </c>
      <c r="BR157" s="21">
        <f>EXP(-LN(2)/2)*BR156+(1-EXP(-LN(2)/2))/(LN(2)/2)*BL157*BO157*VLOOKUP('Données projet'!$B$11,Paramètres!$A$1:$I$89,3,0)*0.475*44/12</f>
        <v>7.489592363661937E-11</v>
      </c>
      <c r="BS157" s="22">
        <f t="shared" si="169"/>
        <v>56.934543927666418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-5.1727511163335289E-14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341.60063595566282</v>
      </c>
      <c r="CE157" s="59">
        <f t="shared" si="148"/>
        <v>317.05609766344219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42.570359449881025</v>
      </c>
      <c r="CL157" s="21">
        <f>EXP(-LN(2)/25)*CL156+(1-EXP(-LN(2)/25))/(LN(2)/25)*Calculateur!CG157*Calculateur!CI157*VLOOKUP('Données projet'!$B$12,Paramètres!$A$1:$I$89,3,0)*0.475*44/12</f>
        <v>4.7050291717786417</v>
      </c>
      <c r="CM157" s="21">
        <f>EXP(-LN(2)/2)*CM156+(1-EXP(-LN(2)/2))/(LN(2)/2)*CG157*CJ157*VLOOKUP('Données projet'!$B$12,Paramètres!$A$1:$I$89,3,0)*0.475*44/12</f>
        <v>6.3296361434828684E-12</v>
      </c>
      <c r="CN157" s="22">
        <f t="shared" si="172"/>
        <v>47.275388621665996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8.5265128291212022E-14</v>
      </c>
      <c r="CU157" s="17">
        <f>CT157*VLOOKUP('Données projet'!$B$13,Paramètres!$A$1:$I$89,3,0)*VLOOKUP('Données projet'!$B$13,Paramètres!$A$1:$I$89,5,0)</f>
        <v>8.9119112089974823E-14</v>
      </c>
      <c r="CV157" s="13">
        <f t="shared" si="173"/>
        <v>1.3568952080113142E-12</v>
      </c>
      <c r="CW157" s="20">
        <f t="shared" si="174"/>
        <v>2.5184749408430782E-12</v>
      </c>
      <c r="CX157" s="59">
        <f t="shared" si="122"/>
        <v>287.14194833736525</v>
      </c>
      <c r="CY157" s="59">
        <f ca="1">AVERAGE(OFFSET($CX$3,0,0,'Données projet'!$E$13+1,1))-AVERAGE(OFFSET($H$3,0,0,'Données projet'!$E$13+1,1))</f>
        <v>287.73449456153207</v>
      </c>
      <c r="CZ157" s="59">
        <f t="shared" si="150"/>
        <v>296.74833899433281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22.581068833289464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22.581068833289464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2.3049999999999997</v>
      </c>
      <c r="DO157" s="12">
        <f>IF('Données projet'!$A$166&gt;35,DO156+DN157-DW156,IF(A157&lt;'Données projet'!$A$166,$DL$205^A157,IF(A157='Données projet'!$A$166,'Données projet'!$B$166,DO156+DN157-DW156)))</f>
        <v>160.85499999999979</v>
      </c>
      <c r="DP157" s="17">
        <f>DO157*VLOOKUP('Données projet'!$B$14,Paramètres!$A$1:$I$89,3,0)*VLOOKUP('Données projet'!$B$14,Paramètres!$A$1:$I$89,5,0)</f>
        <v>163.10696999999979</v>
      </c>
      <c r="DQ157" s="13">
        <f t="shared" si="176"/>
        <v>41.542514827645469</v>
      </c>
      <c r="DR157" s="20">
        <f t="shared" si="177"/>
        <v>356.43118607481551</v>
      </c>
      <c r="DS157" s="59">
        <f t="shared" si="125"/>
        <v>643.57313441217821</v>
      </c>
      <c r="DT157" s="59">
        <f ca="1">AVERAGE(OFFSET($DS$3,0,0,'Données projet'!$E$14+1,1))-AVERAGE(OFFSET($H$3,0,0,'Données projet'!$E$14+1,1))</f>
        <v>532.34688562681413</v>
      </c>
      <c r="DU157" s="59">
        <f t="shared" si="152"/>
        <v>345.42627129678556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142.82113725662856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142.82113725662856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-5.1431925385259088E-14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256.20286603823035</v>
      </c>
      <c r="EP157" s="59">
        <f t="shared" si="154"/>
        <v>364.83827155069434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5.8139696442937518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5.8139696442937518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2.3049999999999997</v>
      </c>
      <c r="FE157" s="12">
        <f>IF('Données projet'!$A$218&gt;35,FE156+FD157-FM156,IF(A157&lt;'Données projet'!$A$218,$FB$205^A157,IF(A157='Données projet'!$A$218,'Données projet'!$B$218,FE156+FD157-FM156)))</f>
        <v>160.85499999999979</v>
      </c>
      <c r="FF157" s="17">
        <f>FE157*VLOOKUP('Données projet'!$B$16,Paramètres!$A$1:$I$89,3,0)*VLOOKUP('Données projet'!$B$16,Paramètres!$A$1:$I$89,5,0)</f>
        <v>107.90153399999986</v>
      </c>
      <c r="FG157" s="13">
        <f t="shared" si="182"/>
        <v>28.836016740024252</v>
      </c>
      <c r="FH157" s="20">
        <f t="shared" si="183"/>
        <v>238.15123420554198</v>
      </c>
      <c r="FI157" s="59">
        <f t="shared" si="131"/>
        <v>525.29318254290479</v>
      </c>
      <c r="FJ157" s="59">
        <f ca="1">AVERAGE(OFFSET($FI$3,0,0,'Données projet'!$E$16+1,1))-AVERAGE(OFFSET($H$3,0,0,'Données projet'!$E$16+1,1))</f>
        <v>380.73695370216979</v>
      </c>
      <c r="FK157" s="59">
        <f t="shared" si="156"/>
        <v>249.34467160415713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116.45415807078946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116.45415807078946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2.3049999999999997</v>
      </c>
      <c r="FZ157" s="12">
        <f>IF('Données projet'!$A$244&gt;35,FZ156+FY157-GH156,IF(A157&lt;'Données projet'!$A$244,$FW$205^A157,IF(A157='Données projet'!$A$244,'Données projet'!$B$244,FZ156+FY157-GH156)))</f>
        <v>160.85499999999979</v>
      </c>
      <c r="GA157" s="17">
        <f>FZ157*VLOOKUP('Données projet'!$B$17,Paramètres!$A$1:$I$89,3,0)*VLOOKUP('Données projet'!$B$17,Paramètres!$A$1:$I$89,5,0)</f>
        <v>155.57895599999981</v>
      </c>
      <c r="GB157" s="13">
        <f t="shared" si="185"/>
        <v>39.843716239351465</v>
      </c>
      <c r="GC157" s="20">
        <f t="shared" si="186"/>
        <v>340.36115415020345</v>
      </c>
      <c r="GD157" s="59">
        <f t="shared" si="134"/>
        <v>627.50310248756614</v>
      </c>
      <c r="GE157" s="59">
        <f ca="1">AVERAGE(OFFSET($GD$3,0,0,'Données projet'!$E$17+1,1))-AVERAGE(OFFSET($H$3,0,0,'Données projet'!$E$17+1,1))</f>
        <v>511.7458522930001</v>
      </c>
      <c r="GF157" s="59">
        <f t="shared" si="158"/>
        <v>332.37317679966122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136.22939246016873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136.22939246016873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-1.7053025658242404E-13</v>
      </c>
      <c r="GV157" s="17">
        <f>GU157*VLOOKUP('Données projet'!$B$18,Paramètres!$A$1:$I$89,3,0)*VLOOKUP('Données projet'!$B$18,Paramètres!$A$1:$I$89,5,0)</f>
        <v>-1.4897523215040567E-13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348.77506423101278</v>
      </c>
      <c r="HA157" s="59">
        <f t="shared" si="160"/>
        <v>336.13747591329548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30.855870586513756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30.855870586513756</v>
      </c>
    </row>
    <row r="158" spans="1:218" x14ac:dyDescent="0.2">
      <c r="A158" s="10">
        <f t="shared" si="161"/>
        <v>155</v>
      </c>
      <c r="B158" s="71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5">
        <f t="shared" si="110"/>
        <v>183.33333333333334</v>
      </c>
      <c r="I158" s="6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-2.1282176021486519E-13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387.50901594883317</v>
      </c>
      <c r="T158" s="59">
        <f t="shared" si="142"/>
        <v>361.3623790401972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82.516677320160426</v>
      </c>
      <c r="AA158" s="21">
        <f>EXP(-LN(2)/25)*AA157+(1-EXP(-LN(2)/25))/(LN(2)/25)*Calculateur!V158*Calculateur!X158*VLOOKUP('Données projet'!$B$9,Paramètres!$A$1:$I$89,3,0)*0.475*44/12</f>
        <v>9.2712686626412211</v>
      </c>
      <c r="AB158" s="21">
        <f>EXP(-LN(2)/2)*AB157+(1-EXP(-LN(2)/2))/(LN(2)/2)*V158*Y158*VLOOKUP('Données projet'!$B$9,Paramètres!$A$1:$I$89,3,0)*0.475*44/12</f>
        <v>5.1913742344205215E-7</v>
      </c>
      <c r="AC158" s="22">
        <f t="shared" si="163"/>
        <v>91.787946501939075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373.47758082856359</v>
      </c>
      <c r="AO158" s="59">
        <f t="shared" si="144"/>
        <v>277.24895424120166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43.514589667592979</v>
      </c>
      <c r="AV158" s="21">
        <f>EXP(-LN(2)/25)*AV157+(1-EXP(-LN(2)/25))/(LN(2)/25)*Calculateur!AQ158*Calculateur!AS158*VLOOKUP('Données projet'!$B$10,Paramètres!$A$1:$I$89,3,0)*0.475*44/12</f>
        <v>4.4943561977243229</v>
      </c>
      <c r="AW158" s="21">
        <f>EXP(-LN(2)/2)*AW157+(1-EXP(-LN(2)/2))/(LN(2)/2)*AQ158*AT158*VLOOKUP('Données projet'!$B$10,Paramètres!$A$1:$I$89,3,0)*0.475*44/12</f>
        <v>1.6403112845564606E-10</v>
      </c>
      <c r="AX158" s="21">
        <f t="shared" si="166"/>
        <v>48.00894586548133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-6.8212102632969618E-13</v>
      </c>
      <c r="BE158" s="13">
        <f>BD158*VLOOKUP('Données projet'!$B$11,Paramètres!$A$1:$I$89,3,0)*VLOOKUP('Données projet'!$B$11,Paramètres!$A$1:$I$89,5,0)</f>
        <v>-4.0790837374515837E-13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460.88622650237176</v>
      </c>
      <c r="BJ158" s="59">
        <f t="shared" si="146"/>
        <v>396.05161661639647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50.851658934217888</v>
      </c>
      <c r="BQ158" s="21">
        <f>EXP(-LN(2)/25)*BQ157+(1-EXP(-LN(2)/25))/(LN(2)/25)*Calculateur!BL158*Calculateur!BN158*VLOOKUP('Données projet'!$B$11,Paramètres!$A$1:$I$89,3,0)*0.475*44/12</f>
        <v>4.9272462266437529</v>
      </c>
      <c r="BR158" s="21">
        <f>EXP(-LN(2)/2)*BR157+(1-EXP(-LN(2)/2))/(LN(2)/2)*BL158*BO158*VLOOKUP('Données projet'!$B$11,Paramètres!$A$1:$I$89,3,0)*0.475*44/12</f>
        <v>5.2959415486683386E-11</v>
      </c>
      <c r="BS158" s="22">
        <f t="shared" si="169"/>
        <v>55.778905160914597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-5.1727511163335289E-14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341.60063595566282</v>
      </c>
      <c r="CE158" s="59">
        <f t="shared" si="148"/>
        <v>317.05609766344219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41.735580666424255</v>
      </c>
      <c r="CL158" s="21">
        <f>EXP(-LN(2)/25)*CL157+(1-EXP(-LN(2)/25))/(LN(2)/25)*Calculateur!CG158*Calculateur!CI158*VLOOKUP('Données projet'!$B$12,Paramètres!$A$1:$I$89,3,0)*0.475*44/12</f>
        <v>4.576369901649624</v>
      </c>
      <c r="CM158" s="21">
        <f>EXP(-LN(2)/2)*CM157+(1-EXP(-LN(2)/2))/(LN(2)/2)*CG158*CJ158*VLOOKUP('Données projet'!$B$12,Paramètres!$A$1:$I$89,3,0)*0.475*44/12</f>
        <v>4.4757286395002031E-12</v>
      </c>
      <c r="CN158" s="22">
        <f t="shared" si="172"/>
        <v>46.311950568078359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8.5265128291212022E-14</v>
      </c>
      <c r="CU158" s="17">
        <f>CT158*VLOOKUP('Données projet'!$B$13,Paramètres!$A$1:$I$89,3,0)*VLOOKUP('Données projet'!$B$13,Paramètres!$A$1:$I$89,5,0)</f>
        <v>8.9119112089974823E-14</v>
      </c>
      <c r="CV158" s="13">
        <f t="shared" si="173"/>
        <v>1.3568952080113142E-12</v>
      </c>
      <c r="CW158" s="20">
        <f t="shared" si="174"/>
        <v>2.5184749408430782E-12</v>
      </c>
      <c r="CX158" s="59">
        <f t="shared" si="122"/>
        <v>287.24935502518218</v>
      </c>
      <c r="CY158" s="59">
        <f ca="1">AVERAGE(OFFSET($CX$3,0,0,'Données projet'!$E$13+1,1))-AVERAGE(OFFSET($H$3,0,0,'Données projet'!$E$13+1,1))</f>
        <v>287.73449456153207</v>
      </c>
      <c r="CZ158" s="59">
        <f t="shared" si="150"/>
        <v>296.74833899433281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22.138267846560666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22.138267846560666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2.3049999999999997</v>
      </c>
      <c r="DO158" s="12">
        <f>IF('Données projet'!$A$166&gt;35,DO157+DN158-DW157,IF(A158&lt;'Données projet'!$A$166,$DL$205^A158,IF(A158='Données projet'!$A$166,'Données projet'!$B$166,DO157+DN158-DW157)))</f>
        <v>163.1599999999998</v>
      </c>
      <c r="DP158" s="17">
        <f>DO158*VLOOKUP('Données projet'!$B$14,Paramètres!$A$1:$I$89,3,0)*VLOOKUP('Données projet'!$B$14,Paramètres!$A$1:$I$89,5,0)</f>
        <v>165.44423999999981</v>
      </c>
      <c r="DQ158" s="13">
        <f t="shared" si="176"/>
        <v>42.06807739665097</v>
      </c>
      <c r="DR158" s="20">
        <f t="shared" si="177"/>
        <v>361.41728613250007</v>
      </c>
      <c r="DS158" s="59">
        <f t="shared" si="125"/>
        <v>648.66664115767981</v>
      </c>
      <c r="DT158" s="59">
        <f ca="1">AVERAGE(OFFSET($DS$3,0,0,'Données projet'!$E$14+1,1))-AVERAGE(OFFSET($H$3,0,0,'Données projet'!$E$14+1,1))</f>
        <v>532.34688562681413</v>
      </c>
      <c r="DU158" s="59">
        <f t="shared" si="152"/>
        <v>345.42627129678556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140.02050186731819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140.02050186731819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-5.1431925385259088E-14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256.20286603823035</v>
      </c>
      <c r="EP158" s="59">
        <f t="shared" si="154"/>
        <v>364.83827155069434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5.6999612457404787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5.6999612457404787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2.3049999999999997</v>
      </c>
      <c r="FE158" s="12">
        <f>IF('Données projet'!$A$218&gt;35,FE157+FD158-FM157,IF(A158&lt;'Données projet'!$A$218,$FB$205^A158,IF(A158='Données projet'!$A$218,'Données projet'!$B$218,FE157+FD158-FM157)))</f>
        <v>163.1599999999998</v>
      </c>
      <c r="FF158" s="17">
        <f>FE158*VLOOKUP('Données projet'!$B$16,Paramètres!$A$1:$I$89,3,0)*VLOOKUP('Données projet'!$B$16,Paramètres!$A$1:$I$89,5,0)</f>
        <v>109.44772799999987</v>
      </c>
      <c r="FG158" s="13">
        <f t="shared" si="182"/>
        <v>29.200826889353184</v>
      </c>
      <c r="FH158" s="20">
        <f t="shared" si="183"/>
        <v>241.47956643228989</v>
      </c>
      <c r="FI158" s="59">
        <f t="shared" si="131"/>
        <v>528.7289214574696</v>
      </c>
      <c r="FJ158" s="59">
        <f ca="1">AVERAGE(OFFSET($FI$3,0,0,'Données projet'!$E$16+1,1))-AVERAGE(OFFSET($H$3,0,0,'Données projet'!$E$16+1,1))</f>
        <v>380.73695370216979</v>
      </c>
      <c r="FK158" s="59">
        <f t="shared" si="156"/>
        <v>249.34467160415713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114.17056306104406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114.17056306104406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2.3049999999999997</v>
      </c>
      <c r="FZ158" s="12">
        <f>IF('Données projet'!$A$244&gt;35,FZ157+FY158-GH157,IF(A158&lt;'Données projet'!$A$244,$FW$205^A158,IF(A158='Données projet'!$A$244,'Données projet'!$B$244,FZ157+FY158-GH157)))</f>
        <v>163.1599999999998</v>
      </c>
      <c r="GA158" s="17">
        <f>FZ158*VLOOKUP('Données projet'!$B$17,Paramètres!$A$1:$I$89,3,0)*VLOOKUP('Données projet'!$B$17,Paramètres!$A$1:$I$89,5,0)</f>
        <v>157.80835199999981</v>
      </c>
      <c r="GB158" s="13">
        <f t="shared" si="185"/>
        <v>40.347786971524513</v>
      </c>
      <c r="GC158" s="20">
        <f t="shared" si="186"/>
        <v>345.12194204207157</v>
      </c>
      <c r="GD158" s="59">
        <f t="shared" si="134"/>
        <v>632.37129706725125</v>
      </c>
      <c r="GE158" s="59">
        <f ca="1">AVERAGE(OFFSET($GD$3,0,0,'Données projet'!$E$17+1,1))-AVERAGE(OFFSET($H$3,0,0,'Données projet'!$E$17+1,1))</f>
        <v>511.7458522930001</v>
      </c>
      <c r="GF158" s="59">
        <f t="shared" si="158"/>
        <v>332.37317679966122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133.55801716574959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133.55801716574959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-1.7053025658242404E-13</v>
      </c>
      <c r="GV158" s="17">
        <f>GU158*VLOOKUP('Données projet'!$B$18,Paramètres!$A$1:$I$89,3,0)*VLOOKUP('Données projet'!$B$18,Paramètres!$A$1:$I$89,5,0)</f>
        <v>-1.4897523215040567E-13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348.77506423101278</v>
      </c>
      <c r="HA158" s="59">
        <f t="shared" si="160"/>
        <v>336.13747591329548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30.250805784534936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30.250805784534936</v>
      </c>
    </row>
    <row r="159" spans="1:218" x14ac:dyDescent="0.2">
      <c r="A159" s="10">
        <f t="shared" si="161"/>
        <v>156</v>
      </c>
      <c r="B159" s="71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5">
        <f t="shared" si="110"/>
        <v>183.33333333333334</v>
      </c>
      <c r="I159" s="6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-2.1282176021486519E-13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387.50901594883317</v>
      </c>
      <c r="T159" s="59">
        <f t="shared" si="142"/>
        <v>361.3623790401972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80.89857560811555</v>
      </c>
      <c r="AA159" s="21">
        <f>EXP(-LN(2)/25)*AA158+(1-EXP(-LN(2)/25))/(LN(2)/25)*Calculateur!V159*Calculateur!X159*VLOOKUP('Données projet'!$B$9,Paramètres!$A$1:$I$89,3,0)*0.475*44/12</f>
        <v>9.0177453335064683</v>
      </c>
      <c r="AB159" s="21">
        <f>EXP(-LN(2)/2)*AB158+(1-EXP(-LN(2)/2))/(LN(2)/2)*V159*Y159*VLOOKUP('Données projet'!$B$9,Paramètres!$A$1:$I$89,3,0)*0.475*44/12</f>
        <v>3.6708559248358724E-7</v>
      </c>
      <c r="AC159" s="22">
        <f t="shared" si="163"/>
        <v>89.916321308707609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373.47758082856359</v>
      </c>
      <c r="AO159" s="59">
        <f t="shared" si="144"/>
        <v>277.24895424120166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42.661295105490446</v>
      </c>
      <c r="AV159" s="21">
        <f>EXP(-LN(2)/25)*AV158+(1-EXP(-LN(2)/25))/(LN(2)/25)*Calculateur!AQ159*Calculateur!AS159*VLOOKUP('Données projet'!$B$10,Paramètres!$A$1:$I$89,3,0)*0.475*44/12</f>
        <v>4.3714577911496306</v>
      </c>
      <c r="AW159" s="21">
        <f>EXP(-LN(2)/2)*AW158+(1-EXP(-LN(2)/2))/(LN(2)/2)*AQ159*AT159*VLOOKUP('Données projet'!$B$10,Paramètres!$A$1:$I$89,3,0)*0.475*44/12</f>
        <v>1.15987523256669E-10</v>
      </c>
      <c r="AX159" s="21">
        <f t="shared" si="166"/>
        <v>47.032752896756065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-6.8212102632969618E-13</v>
      </c>
      <c r="BE159" s="13">
        <f>BD159*VLOOKUP('Données projet'!$B$11,Paramètres!$A$1:$I$89,3,0)*VLOOKUP('Données projet'!$B$11,Paramètres!$A$1:$I$89,5,0)</f>
        <v>-4.0790837374515837E-13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460.88622650237176</v>
      </c>
      <c r="BJ159" s="59">
        <f t="shared" si="146"/>
        <v>396.05161661639647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49.854488918967206</v>
      </c>
      <c r="BQ159" s="21">
        <f>EXP(-LN(2)/25)*BQ158+(1-EXP(-LN(2)/25))/(LN(2)/25)*Calculateur!BL159*Calculateur!BN159*VLOOKUP('Données projet'!$B$11,Paramètres!$A$1:$I$89,3,0)*0.475*44/12</f>
        <v>4.7925104194635617</v>
      </c>
      <c r="BR159" s="21">
        <f>EXP(-LN(2)/2)*BR158+(1-EXP(-LN(2)/2))/(LN(2)/2)*BL159*BO159*VLOOKUP('Données projet'!$B$11,Paramètres!$A$1:$I$89,3,0)*0.475*44/12</f>
        <v>3.7447961818309685E-11</v>
      </c>
      <c r="BS159" s="22">
        <f t="shared" si="169"/>
        <v>54.646999338468213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-5.1727511163335289E-14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341.60063595566282</v>
      </c>
      <c r="CE159" s="59">
        <f t="shared" si="148"/>
        <v>317.05609766344219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40.917171385746293</v>
      </c>
      <c r="CL159" s="21">
        <f>EXP(-LN(2)/25)*CL158+(1-EXP(-LN(2)/25))/(LN(2)/25)*Calculateur!CG159*Calculateur!CI159*VLOOKUP('Données projet'!$B$12,Paramètres!$A$1:$I$89,3,0)*0.475*44/12</f>
        <v>4.4512288260281814</v>
      </c>
      <c r="CM159" s="21">
        <f>EXP(-LN(2)/2)*CM158+(1-EXP(-LN(2)/2))/(LN(2)/2)*CG159*CJ159*VLOOKUP('Données projet'!$B$12,Paramètres!$A$1:$I$89,3,0)*0.475*44/12</f>
        <v>3.1648180717414342E-12</v>
      </c>
      <c r="CN159" s="22">
        <f t="shared" si="172"/>
        <v>45.368400211777633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8.5265128291212022E-14</v>
      </c>
      <c r="CU159" s="17">
        <f>CT159*VLOOKUP('Données projet'!$B$13,Paramètres!$A$1:$I$89,3,0)*VLOOKUP('Données projet'!$B$13,Paramètres!$A$1:$I$89,5,0)</f>
        <v>8.9119112089974823E-14</v>
      </c>
      <c r="CV159" s="13">
        <f t="shared" si="173"/>
        <v>1.3568952080113142E-12</v>
      </c>
      <c r="CW159" s="20">
        <f t="shared" si="174"/>
        <v>2.5184749408430782E-12</v>
      </c>
      <c r="CX159" s="59">
        <f t="shared" si="122"/>
        <v>287.35489844709082</v>
      </c>
      <c r="CY159" s="59">
        <f ca="1">AVERAGE(OFFSET($CX$3,0,0,'Données projet'!$E$13+1,1))-AVERAGE(OFFSET($H$3,0,0,'Données projet'!$E$13+1,1))</f>
        <v>287.73449456153207</v>
      </c>
      <c r="CZ159" s="59">
        <f t="shared" si="150"/>
        <v>296.74833899433281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21.704149917099688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21.704149917099688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2.3049999999999997</v>
      </c>
      <c r="DO159" s="12">
        <f>IF('Données projet'!$A$166&gt;35,DO158+DN159-DW158,IF(A159&lt;'Données projet'!$A$166,$DL$205^A159,IF(A159='Données projet'!$A$166,'Données projet'!$B$166,DO158+DN159-DW158)))</f>
        <v>165.4649999999998</v>
      </c>
      <c r="DP159" s="17">
        <f>DO159*VLOOKUP('Données projet'!$B$14,Paramètres!$A$1:$I$89,3,0)*VLOOKUP('Données projet'!$B$14,Paramètres!$A$1:$I$89,5,0)</f>
        <v>167.7815099999998</v>
      </c>
      <c r="DQ159" s="13">
        <f t="shared" si="176"/>
        <v>42.592776404925665</v>
      </c>
      <c r="DR159" s="20">
        <f t="shared" si="177"/>
        <v>366.40188215524518</v>
      </c>
      <c r="DS159" s="59">
        <f t="shared" si="125"/>
        <v>653.75678060233349</v>
      </c>
      <c r="DT159" s="59">
        <f ca="1">AVERAGE(OFFSET($DS$3,0,0,'Données projet'!$E$14+1,1))-AVERAGE(OFFSET($H$3,0,0,'Données projet'!$E$14+1,1))</f>
        <v>532.34688562681413</v>
      </c>
      <c r="DU159" s="59">
        <f t="shared" si="152"/>
        <v>345.42627129678556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137.27478522977327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137.27478522977327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-5.1431925385259088E-14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256.20286603823035</v>
      </c>
      <c r="EP159" s="59">
        <f t="shared" si="154"/>
        <v>364.83827155069434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5.5881884823445791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5.5881884823445791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2.3049999999999997</v>
      </c>
      <c r="FE159" s="12">
        <f>IF('Données projet'!$A$218&gt;35,FE158+FD159-FM158,IF(A159&lt;'Données projet'!$A$218,$FB$205^A159,IF(A159='Données projet'!$A$218,'Données projet'!$B$218,FE158+FD159-FM158)))</f>
        <v>165.4649999999998</v>
      </c>
      <c r="FF159" s="17">
        <f>FE159*VLOOKUP('Données projet'!$B$16,Paramètres!$A$1:$I$89,3,0)*VLOOKUP('Données projet'!$B$16,Paramètres!$A$1:$I$89,5,0)</f>
        <v>110.99392199999988</v>
      </c>
      <c r="FG159" s="13">
        <f t="shared" si="182"/>
        <v>29.565037612966254</v>
      </c>
      <c r="FH159" s="20">
        <f t="shared" si="183"/>
        <v>244.80685465924932</v>
      </c>
      <c r="FI159" s="59">
        <f t="shared" si="131"/>
        <v>532.16175310633764</v>
      </c>
      <c r="FJ159" s="59">
        <f ca="1">AVERAGE(OFFSET($FI$3,0,0,'Données projet'!$E$16+1,1))-AVERAGE(OFFSET($H$3,0,0,'Données projet'!$E$16+1,1))</f>
        <v>380.73695370216979</v>
      </c>
      <c r="FK159" s="59">
        <f t="shared" si="156"/>
        <v>249.34467160415713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111.93174795658436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111.93174795658436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2.3049999999999997</v>
      </c>
      <c r="FZ159" s="12">
        <f>IF('Données projet'!$A$244&gt;35,FZ158+FY159-GH158,IF(A159&lt;'Données projet'!$A$244,$FW$205^A159,IF(A159='Données projet'!$A$244,'Données projet'!$B$244,FZ158+FY159-GH158)))</f>
        <v>165.4649999999998</v>
      </c>
      <c r="GA159" s="17">
        <f>FZ159*VLOOKUP('Données projet'!$B$17,Paramètres!$A$1:$I$89,3,0)*VLOOKUP('Données projet'!$B$17,Paramètres!$A$1:$I$89,5,0)</f>
        <v>160.03774799999982</v>
      </c>
      <c r="GB159" s="13">
        <f t="shared" si="185"/>
        <v>40.851029456566671</v>
      </c>
      <c r="GC159" s="20">
        <f t="shared" si="186"/>
        <v>349.88128740351999</v>
      </c>
      <c r="GD159" s="59">
        <f t="shared" si="134"/>
        <v>637.23618585060831</v>
      </c>
      <c r="GE159" s="59">
        <f ca="1">AVERAGE(OFFSET($GD$3,0,0,'Données projet'!$E$17+1,1))-AVERAGE(OFFSET($H$3,0,0,'Données projet'!$E$17+1,1))</f>
        <v>511.7458522930001</v>
      </c>
      <c r="GF159" s="59">
        <f t="shared" si="158"/>
        <v>332.37317679966122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130.93902591147597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130.93902591147597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-1.7053025658242404E-13</v>
      </c>
      <c r="GV159" s="17">
        <f>GU159*VLOOKUP('Données projet'!$B$18,Paramètres!$A$1:$I$89,3,0)*VLOOKUP('Données projet'!$B$18,Paramètres!$A$1:$I$89,5,0)</f>
        <v>-1.4897523215040567E-13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348.77506423101278</v>
      </c>
      <c r="HA159" s="59">
        <f t="shared" si="160"/>
        <v>336.13747591329548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29.657605934269831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29.657605934269831</v>
      </c>
    </row>
    <row r="160" spans="1:218" x14ac:dyDescent="0.2">
      <c r="A160" s="10">
        <f t="shared" si="161"/>
        <v>157</v>
      </c>
      <c r="B160" s="71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5">
        <f t="shared" si="110"/>
        <v>183.33333333333334</v>
      </c>
      <c r="I160" s="6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-2.1282176021486519E-13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387.50901594883317</v>
      </c>
      <c r="T160" s="59">
        <f t="shared" si="142"/>
        <v>361.3623790401972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79.312203883699283</v>
      </c>
      <c r="AA160" s="21">
        <f>EXP(-LN(2)/25)*AA159+(1-EXP(-LN(2)/25))/(LN(2)/25)*Calculateur!V160*Calculateur!X160*VLOOKUP('Données projet'!$B$9,Paramètres!$A$1:$I$89,3,0)*0.475*44/12</f>
        <v>8.7711546131391174</v>
      </c>
      <c r="AB160" s="21">
        <f>EXP(-LN(2)/2)*AB159+(1-EXP(-LN(2)/2))/(LN(2)/2)*V160*Y160*VLOOKUP('Données projet'!$B$9,Paramètres!$A$1:$I$89,3,0)*0.475*44/12</f>
        <v>2.5956871172102607E-7</v>
      </c>
      <c r="AC160" s="22">
        <f t="shared" si="163"/>
        <v>88.083358756407108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373.47758082856359</v>
      </c>
      <c r="AO160" s="59">
        <f t="shared" si="144"/>
        <v>277.24895424120166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41.824733129292447</v>
      </c>
      <c r="AV160" s="21">
        <f>EXP(-LN(2)/25)*AV159+(1-EXP(-LN(2)/25))/(LN(2)/25)*Calculateur!AQ160*Calculateur!AS160*VLOOKUP('Données projet'!$B$10,Paramètres!$A$1:$I$89,3,0)*0.475*44/12</f>
        <v>4.2519200479656698</v>
      </c>
      <c r="AW160" s="21">
        <f>EXP(-LN(2)/2)*AW159+(1-EXP(-LN(2)/2))/(LN(2)/2)*AQ160*AT160*VLOOKUP('Données projet'!$B$10,Paramètres!$A$1:$I$89,3,0)*0.475*44/12</f>
        <v>8.2015564227823044E-11</v>
      </c>
      <c r="AX160" s="21">
        <f t="shared" si="166"/>
        <v>46.076653177340134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-6.8212102632969618E-13</v>
      </c>
      <c r="BE160" s="13">
        <f>BD160*VLOOKUP('Données projet'!$B$11,Paramètres!$A$1:$I$89,3,0)*VLOOKUP('Données projet'!$B$11,Paramètres!$A$1:$I$89,5,0)</f>
        <v>-4.0790837374515837E-13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460.88622650237176</v>
      </c>
      <c r="BJ160" s="59">
        <f t="shared" si="146"/>
        <v>396.05161661639647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48.876872799501939</v>
      </c>
      <c r="BQ160" s="21">
        <f>EXP(-LN(2)/25)*BQ159+(1-EXP(-LN(2)/25))/(LN(2)/25)*Calculateur!BL160*Calculateur!BN160*VLOOKUP('Données projet'!$B$11,Paramètres!$A$1:$I$89,3,0)*0.475*44/12</f>
        <v>4.6614589700161613</v>
      </c>
      <c r="BR160" s="21">
        <f>EXP(-LN(2)/2)*BR159+(1-EXP(-LN(2)/2))/(LN(2)/2)*BL160*BO160*VLOOKUP('Données projet'!$B$11,Paramètres!$A$1:$I$89,3,0)*0.475*44/12</f>
        <v>2.6479707743341693E-11</v>
      </c>
      <c r="BS160" s="22">
        <f t="shared" si="169"/>
        <v>53.538331769544584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-5.1727511163335289E-14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341.60063595566282</v>
      </c>
      <c r="CE160" s="59">
        <f t="shared" si="148"/>
        <v>317.05609766344219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40.114810611882056</v>
      </c>
      <c r="CL160" s="21">
        <f>EXP(-LN(2)/25)*CL159+(1-EXP(-LN(2)/25))/(LN(2)/25)*Calculateur!CG160*Calculateur!CI160*VLOOKUP('Données projet'!$B$12,Paramètres!$A$1:$I$89,3,0)*0.475*44/12</f>
        <v>4.32950973970049</v>
      </c>
      <c r="CM160" s="21">
        <f>EXP(-LN(2)/2)*CM159+(1-EXP(-LN(2)/2))/(LN(2)/2)*CG160*CJ160*VLOOKUP('Données projet'!$B$12,Paramètres!$A$1:$I$89,3,0)*0.475*44/12</f>
        <v>2.2378643197501015E-12</v>
      </c>
      <c r="CN160" s="22">
        <f t="shared" si="172"/>
        <v>44.444320351584786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8.5265128291212022E-14</v>
      </c>
      <c r="CU160" s="17">
        <f>CT160*VLOOKUP('Données projet'!$B$13,Paramètres!$A$1:$I$89,3,0)*VLOOKUP('Données projet'!$B$13,Paramètres!$A$1:$I$89,5,0)</f>
        <v>8.9119112089974823E-14</v>
      </c>
      <c r="CV160" s="13">
        <f t="shared" si="173"/>
        <v>1.3568952080113142E-12</v>
      </c>
      <c r="CW160" s="20">
        <f t="shared" si="174"/>
        <v>2.5184749408430782E-12</v>
      </c>
      <c r="CX160" s="59">
        <f t="shared" si="122"/>
        <v>287.45861092658907</v>
      </c>
      <c r="CY160" s="59">
        <f ca="1">AVERAGE(OFFSET($CX$3,0,0,'Données projet'!$E$13+1,1))-AVERAGE(OFFSET($H$3,0,0,'Données projet'!$E$13+1,1))</f>
        <v>287.73449456153207</v>
      </c>
      <c r="CZ160" s="59">
        <f t="shared" si="150"/>
        <v>296.74833899433281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21.278544775449646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21.278544775449646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167.77</v>
      </c>
      <c r="DM160" s="12">
        <f>VLOOKUP(A160,'Données projet'!$A$165:$I$185,9,0)</f>
        <v>2.3049999999999997</v>
      </c>
      <c r="DN160" s="12">
        <f t="array" ref="DN160">INDEX(DM:DM,MIN(IF(ISNUMBER(DM160:DM356),ROW(DM160:DM356),"")))</f>
        <v>2.3049999999999997</v>
      </c>
      <c r="DO160" s="12">
        <f>IF('Données projet'!$A$166&gt;35,DO159+DN160-DW159,IF(A160&lt;'Données projet'!$A$166,$DL$205^A160,IF(A160='Données projet'!$A$166,'Données projet'!$B$166,DO159+DN160-DW159)))</f>
        <v>167.76999999999981</v>
      </c>
      <c r="DP160" s="17">
        <f>DO160*VLOOKUP('Données projet'!$B$14,Paramètres!$A$1:$I$89,3,0)*VLOOKUP('Données projet'!$B$14,Paramètres!$A$1:$I$89,5,0)</f>
        <v>170.11877999999982</v>
      </c>
      <c r="DQ160" s="13">
        <f t="shared" si="176"/>
        <v>43.116625272506546</v>
      </c>
      <c r="DR160" s="20">
        <f t="shared" si="177"/>
        <v>371.38499751628189</v>
      </c>
      <c r="DS160" s="59">
        <f t="shared" si="125"/>
        <v>658.84360844286846</v>
      </c>
      <c r="DT160" s="59">
        <f ca="1">AVERAGE(OFFSET($DS$3,0,0,'Données projet'!$E$14+1,1))-AVERAGE(OFFSET($H$3,0,0,'Données projet'!$E$14+1,1))</f>
        <v>532.34688562681413</v>
      </c>
      <c r="DU160" s="59">
        <f t="shared" si="152"/>
        <v>345.42627129678556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57.95</v>
      </c>
      <c r="DX160" s="16">
        <f>IF(ISNA(VLOOKUP(A160,'Données projet'!$A$165:$I$185,5,0)),0%,VLOOKUP(A160,'Données projet'!$A$165:$I$185,5,0)*VLOOKUP('Données projet'!$B$14,Paramètres!$A$1:$I$89,7,0))</f>
        <v>0.34400000000000003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156.92876397558908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156.92876397558908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-5.1431925385259088E-14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256.20286603823035</v>
      </c>
      <c r="EP160" s="59">
        <f t="shared" si="154"/>
        <v>364.83827155069434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5.478607514664219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5.478607514664219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>
        <f>VLOOKUP(A160,'Données projet'!$A$217:$I$237,2,0)</f>
        <v>167.77</v>
      </c>
      <c r="FC160" s="12">
        <f>VLOOKUP(A160,'Données projet'!$A$217:$I$237,9,0)</f>
        <v>2.3049999999999997</v>
      </c>
      <c r="FD160" s="12">
        <f t="array" ref="FD160">INDEX(FC:FC,MIN(IF(ISNUMBER(FC160:FC356),ROW(FC160:FC356),"")))</f>
        <v>2.3049999999999997</v>
      </c>
      <c r="FE160" s="12">
        <f>IF('Données projet'!$A$218&gt;35,FE159+FD160-FM159,IF(A160&lt;'Données projet'!$A$218,$FB$205^A160,IF(A160='Données projet'!$A$218,'Données projet'!$B$218,FE159+FD160-FM159)))</f>
        <v>167.76999999999981</v>
      </c>
      <c r="FF160" s="17">
        <f>FE160*VLOOKUP('Données projet'!$B$16,Paramètres!$A$1:$I$89,3,0)*VLOOKUP('Données projet'!$B$16,Paramètres!$A$1:$I$89,5,0)</f>
        <v>112.54011599999988</v>
      </c>
      <c r="FG160" s="13">
        <f t="shared" si="182"/>
        <v>29.92865822614953</v>
      </c>
      <c r="FH160" s="20">
        <f t="shared" si="183"/>
        <v>248.13311511054357</v>
      </c>
      <c r="FI160" s="59">
        <f t="shared" si="131"/>
        <v>535.59172603713012</v>
      </c>
      <c r="FJ160" s="59">
        <f ca="1">AVERAGE(OFFSET($FI$3,0,0,'Données projet'!$E$16+1,1))-AVERAGE(OFFSET($H$3,0,0,'Données projet'!$E$16+1,1))</f>
        <v>380.73695370216979</v>
      </c>
      <c r="FK160" s="59">
        <f t="shared" si="156"/>
        <v>249.34467160415713</v>
      </c>
      <c r="FL160" s="15">
        <f>IF(ISNA(VLOOKUP(A160,'Données projet'!$A$217:$I$237,3,0)),0,VLOOKUP(A160,'Données projet'!$A$217:$I$237,3,0))</f>
        <v>14</v>
      </c>
      <c r="FM160" s="15">
        <f>IF(ISNA(VLOOKUP(A160,'Données projet'!$A$217:$I$237,4,0)),0,VLOOKUP(A160,'Données projet'!$A$217:$I$237,4,0))</f>
        <v>57.95</v>
      </c>
      <c r="FN160" s="16">
        <f>IF(ISNA(VLOOKUP(A160,'Données projet'!$A$217:$I$237,5,0)),0%,VLOOKUP(A160,'Données projet'!$A$217:$I$237,5,0)*VLOOKUP('Données projet'!$B$16,Paramètres!$A$1:$I$89,7,0))</f>
        <v>0.42400000000000004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127.95729985701878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127.95729985701878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>
        <f>VLOOKUP(A160,'Données projet'!$A$243:$I$263,2,0)</f>
        <v>167.77</v>
      </c>
      <c r="FX160" s="12">
        <f>VLOOKUP(A160,'Données projet'!$A$243:$I$263,9,0)</f>
        <v>2.3049999999999997</v>
      </c>
      <c r="FY160" s="12">
        <f t="array" ref="FY160">INDEX(FX:FX,MIN(IF(ISNUMBER(FX160:FX356),ROW(FX160:FX356),"")))</f>
        <v>2.3049999999999997</v>
      </c>
      <c r="FZ160" s="12">
        <f>IF('Données projet'!$A$244&gt;35,FZ159+FY160-GH159,IF(A160&lt;'Données projet'!$A$244,$FW$205^A160,IF(A160='Données projet'!$A$244,'Données projet'!$B$244,FZ159+FY160-GH159)))</f>
        <v>167.76999999999981</v>
      </c>
      <c r="GA160" s="17">
        <f>FZ160*VLOOKUP('Données projet'!$B$17,Paramètres!$A$1:$I$89,3,0)*VLOOKUP('Données projet'!$B$17,Paramètres!$A$1:$I$89,5,0)</f>
        <v>162.26714399999983</v>
      </c>
      <c r="GB160" s="13">
        <f t="shared" si="185"/>
        <v>41.353456565729267</v>
      </c>
      <c r="GC160" s="20">
        <f t="shared" si="186"/>
        <v>354.63921265197814</v>
      </c>
      <c r="GD160" s="59">
        <f t="shared" si="134"/>
        <v>642.09782357856466</v>
      </c>
      <c r="GE160" s="59">
        <f ca="1">AVERAGE(OFFSET($GD$3,0,0,'Données projet'!$E$17+1,1))-AVERAGE(OFFSET($H$3,0,0,'Données projet'!$E$17+1,1))</f>
        <v>511.7458522930001</v>
      </c>
      <c r="GF160" s="59">
        <f t="shared" si="158"/>
        <v>332.37317679966122</v>
      </c>
      <c r="GG160" s="15">
        <f>IF(ISNA(VLOOKUP(A160,'Données projet'!$A$243:$I$263,3,0)),0,VLOOKUP(A160,'Données projet'!$A$243:$I$263,3,0))</f>
        <v>14</v>
      </c>
      <c r="GH160" s="15">
        <f>IF(ISNA(VLOOKUP(A160,'Données projet'!$A$243:$I$263,4,0)),0,VLOOKUP(A160,'Données projet'!$A$243:$I$263,4,0))</f>
        <v>57.95</v>
      </c>
      <c r="GI160" s="16">
        <f>IF(ISNA(VLOOKUP(A160,'Données projet'!$A$243:$I$263,5,0)),0%,VLOOKUP(A160,'Données projet'!$A$243:$I$263,5,0)*VLOOKUP('Données projet'!$B$17,Paramètres!$A$1:$I$89,7,0))</f>
        <v>0.34400000000000003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149.68589794594644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149.68589794594644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-1.7053025658242404E-13</v>
      </c>
      <c r="GV160" s="17">
        <f>GU160*VLOOKUP('Données projet'!$B$18,Paramètres!$A$1:$I$89,3,0)*VLOOKUP('Données projet'!$B$18,Paramètres!$A$1:$I$89,5,0)</f>
        <v>-1.4897523215040567E-13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348.77506423101278</v>
      </c>
      <c r="HA160" s="59">
        <f t="shared" si="160"/>
        <v>336.13747591329548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29.076038371252245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29.076038371252245</v>
      </c>
    </row>
    <row r="161" spans="1:218" x14ac:dyDescent="0.2">
      <c r="A161" s="10">
        <f t="shared" si="161"/>
        <v>158</v>
      </c>
      <c r="B161" s="71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5">
        <f t="shared" si="110"/>
        <v>183.33333333333334</v>
      </c>
      <c r="I161" s="6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-2.1282176021486519E-13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387.50901594883317</v>
      </c>
      <c r="T161" s="59">
        <f t="shared" si="142"/>
        <v>361.3623790401972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77.756939941207605</v>
      </c>
      <c r="AA161" s="21">
        <f>EXP(-LN(2)/25)*AA160+(1-EXP(-LN(2)/25))/(LN(2)/25)*Calculateur!V161*Calculateur!X161*VLOOKUP('Données projet'!$B$9,Paramètres!$A$1:$I$89,3,0)*0.475*44/12</f>
        <v>8.5313069289878545</v>
      </c>
      <c r="AB161" s="21">
        <f>EXP(-LN(2)/2)*AB160+(1-EXP(-LN(2)/2))/(LN(2)/2)*V161*Y161*VLOOKUP('Données projet'!$B$9,Paramètres!$A$1:$I$89,3,0)*0.475*44/12</f>
        <v>1.8354279624179362E-7</v>
      </c>
      <c r="AC161" s="22">
        <f t="shared" si="163"/>
        <v>86.28824705373826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373.47758082856359</v>
      </c>
      <c r="AO161" s="59">
        <f t="shared" si="144"/>
        <v>277.24895424120166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41.004575623195272</v>
      </c>
      <c r="AV161" s="21">
        <f>EXP(-LN(2)/25)*AV160+(1-EXP(-LN(2)/25))/(LN(2)/25)*Calculateur!AQ161*Calculateur!AS161*VLOOKUP('Données projet'!$B$10,Paramètres!$A$1:$I$89,3,0)*0.475*44/12</f>
        <v>4.1356510706552907</v>
      </c>
      <c r="AW161" s="21">
        <f>EXP(-LN(2)/2)*AW160+(1-EXP(-LN(2)/2))/(LN(2)/2)*AQ161*AT161*VLOOKUP('Données projet'!$B$10,Paramètres!$A$1:$I$89,3,0)*0.475*44/12</f>
        <v>5.7993761628334508E-11</v>
      </c>
      <c r="AX161" s="21">
        <f t="shared" si="166"/>
        <v>45.140226693908559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-6.8212102632969618E-13</v>
      </c>
      <c r="BE161" s="13">
        <f>BD161*VLOOKUP('Données projet'!$B$11,Paramètres!$A$1:$I$89,3,0)*VLOOKUP('Données projet'!$B$11,Paramètres!$A$1:$I$89,5,0)</f>
        <v>-4.0790837374515837E-13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460.88622650237176</v>
      </c>
      <c r="BJ161" s="59">
        <f t="shared" si="146"/>
        <v>396.05161661639647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47.918427135852426</v>
      </c>
      <c r="BQ161" s="21">
        <f>EXP(-LN(2)/25)*BQ160+(1-EXP(-LN(2)/25))/(LN(2)/25)*Calculateur!BL161*Calculateur!BN161*VLOOKUP('Données projet'!$B$11,Paramètres!$A$1:$I$89,3,0)*0.475*44/12</f>
        <v>4.5339911293455959</v>
      </c>
      <c r="BR161" s="21">
        <f>EXP(-LN(2)/2)*BR160+(1-EXP(-LN(2)/2))/(LN(2)/2)*BL161*BO161*VLOOKUP('Données projet'!$B$11,Paramètres!$A$1:$I$89,3,0)*0.475*44/12</f>
        <v>1.8723980909154842E-11</v>
      </c>
      <c r="BS161" s="22">
        <f t="shared" si="169"/>
        <v>52.452418265216743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-5.1727511163335289E-14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341.60063595566282</v>
      </c>
      <c r="CE161" s="59">
        <f t="shared" si="148"/>
        <v>317.05609766344219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39.328183643401545</v>
      </c>
      <c r="CL161" s="21">
        <f>EXP(-LN(2)/25)*CL160+(1-EXP(-LN(2)/25))/(LN(2)/25)*Calculateur!CG161*Calculateur!CI161*VLOOKUP('Données projet'!$B$12,Paramètres!$A$1:$I$89,3,0)*0.475*44/12</f>
        <v>4.2111190681893582</v>
      </c>
      <c r="CM161" s="21">
        <f>EXP(-LN(2)/2)*CM160+(1-EXP(-LN(2)/2))/(LN(2)/2)*CG161*CJ161*VLOOKUP('Données projet'!$B$12,Paramètres!$A$1:$I$89,3,0)*0.475*44/12</f>
        <v>1.5824090358707171E-12</v>
      </c>
      <c r="CN161" s="22">
        <f t="shared" si="172"/>
        <v>43.539302711592491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8.5265128291212022E-14</v>
      </c>
      <c r="CU161" s="17">
        <f>CT161*VLOOKUP('Données projet'!$B$13,Paramètres!$A$1:$I$89,3,0)*VLOOKUP('Données projet'!$B$13,Paramètres!$A$1:$I$89,5,0)</f>
        <v>8.9119112089974823E-14</v>
      </c>
      <c r="CV161" s="13">
        <f t="shared" si="173"/>
        <v>1.3568952080113142E-12</v>
      </c>
      <c r="CW161" s="20">
        <f t="shared" si="174"/>
        <v>2.5184749408430782E-12</v>
      </c>
      <c r="CX161" s="59">
        <f t="shared" si="122"/>
        <v>287.5605242264345</v>
      </c>
      <c r="CY161" s="59">
        <f ca="1">AVERAGE(OFFSET($CX$3,0,0,'Données projet'!$E$13+1,1))-AVERAGE(OFFSET($H$3,0,0,'Données projet'!$E$13+1,1))</f>
        <v>287.73449456153207</v>
      </c>
      <c r="CZ161" s="59">
        <f t="shared" si="150"/>
        <v>296.74833899433281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20.861285491033858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20.861285491033858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1.4024999999999999</v>
      </c>
      <c r="DO161" s="12">
        <f>IF('Données projet'!$A$166&gt;35,DO160+DN161-DW160,IF(A161&lt;'Données projet'!$A$166,$DL$205^A161,IF(A161='Données projet'!$A$166,'Données projet'!$B$166,DO160+DN161-DW160)))</f>
        <v>111.22249999999981</v>
      </c>
      <c r="DP161" s="17">
        <f>DO161*VLOOKUP('Données projet'!$B$14,Paramètres!$A$1:$I$89,3,0)*VLOOKUP('Données projet'!$B$14,Paramètres!$A$1:$I$89,5,0)</f>
        <v>112.77961499999982</v>
      </c>
      <c r="DQ161" s="13">
        <f t="shared" si="176"/>
        <v>29.984929344806837</v>
      </c>
      <c r="DR161" s="20">
        <f t="shared" si="177"/>
        <v>248.64824806720492</v>
      </c>
      <c r="DS161" s="59">
        <f t="shared" si="125"/>
        <v>536.20877229363691</v>
      </c>
      <c r="DT161" s="59">
        <f ca="1">AVERAGE(OFFSET($DS$3,0,0,'Données projet'!$E$14+1,1))-AVERAGE(OFFSET($H$3,0,0,'Données projet'!$E$14+1,1))</f>
        <v>532.34688562681413</v>
      </c>
      <c r="DU161" s="59">
        <f t="shared" si="152"/>
        <v>345.42627129678556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153.85148663112253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153.85148663112253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-5.1431925385259088E-14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256.20286603823035</v>
      </c>
      <c r="EP161" s="59">
        <f t="shared" si="154"/>
        <v>364.83827155069434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5.3711753629222798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5.3711753629222798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1.4024999999999999</v>
      </c>
      <c r="FE161" s="12">
        <f>IF('Données projet'!$A$218&gt;35,FE160+FD161-FM160,IF(A161&lt;'Données projet'!$A$218,$FB$205^A161,IF(A161='Données projet'!$A$218,'Données projet'!$B$218,FE160+FD161-FM160)))</f>
        <v>111.22249999999981</v>
      </c>
      <c r="FF161" s="17">
        <f>FE161*VLOOKUP('Données projet'!$B$16,Paramètres!$A$1:$I$89,3,0)*VLOOKUP('Données projet'!$B$16,Paramètres!$A$1:$I$89,5,0)</f>
        <v>74.60805299999987</v>
      </c>
      <c r="FG161" s="13">
        <f t="shared" si="182"/>
        <v>20.813519068900817</v>
      </c>
      <c r="FH161" s="20">
        <f t="shared" si="183"/>
        <v>166.19257135333535</v>
      </c>
      <c r="FI161" s="59">
        <f t="shared" si="131"/>
        <v>453.75309557976732</v>
      </c>
      <c r="FJ161" s="59">
        <f ca="1">AVERAGE(OFFSET($FI$3,0,0,'Données projet'!$E$16+1,1))-AVERAGE(OFFSET($H$3,0,0,'Données projet'!$E$16+1,1))</f>
        <v>380.73695370216979</v>
      </c>
      <c r="FK161" s="59">
        <f t="shared" si="156"/>
        <v>249.34467160415713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125.44813525306913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125.44813525306913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1.4024999999999999</v>
      </c>
      <c r="FZ161" s="12">
        <f>IF('Données projet'!$A$244&gt;35,FZ160+FY161-GH160,IF(A161&lt;'Données projet'!$A$244,$FW$205^A161,IF(A161='Données projet'!$A$244,'Données projet'!$B$244,FZ160+FY161-GH160)))</f>
        <v>111.22249999999981</v>
      </c>
      <c r="GA161" s="17">
        <f>FZ161*VLOOKUP('Données projet'!$B$17,Paramètres!$A$1:$I$89,3,0)*VLOOKUP('Données projet'!$B$17,Paramètres!$A$1:$I$89,5,0)</f>
        <v>107.57440199999982</v>
      </c>
      <c r="GB161" s="13">
        <f t="shared" si="185"/>
        <v>28.758755246960568</v>
      </c>
      <c r="GC161" s="20">
        <f t="shared" si="186"/>
        <v>237.44691553845598</v>
      </c>
      <c r="GD161" s="59">
        <f t="shared" si="134"/>
        <v>525.00743976488798</v>
      </c>
      <c r="GE161" s="59">
        <f ca="1">AVERAGE(OFFSET($GD$3,0,0,'Données projet'!$E$17+1,1))-AVERAGE(OFFSET($H$3,0,0,'Données projet'!$E$17+1,1))</f>
        <v>511.7458522930001</v>
      </c>
      <c r="GF161" s="59">
        <f t="shared" si="158"/>
        <v>332.37317679966122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146.7506487866091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146.7506487866091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-1.7053025658242404E-13</v>
      </c>
      <c r="GV161" s="17">
        <f>GU161*VLOOKUP('Données projet'!$B$18,Paramètres!$A$1:$I$89,3,0)*VLOOKUP('Données projet'!$B$18,Paramètres!$A$1:$I$89,5,0)</f>
        <v>-1.4897523215040567E-13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348.77506423101278</v>
      </c>
      <c r="HA161" s="59">
        <f t="shared" si="160"/>
        <v>336.13747591329548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28.505874993424246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28.505874993424246</v>
      </c>
    </row>
    <row r="162" spans="1:218" x14ac:dyDescent="0.2">
      <c r="A162" s="10">
        <f t="shared" si="161"/>
        <v>159</v>
      </c>
      <c r="B162" s="71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5">
        <f t="shared" si="110"/>
        <v>183.33333333333334</v>
      </c>
      <c r="I162" s="6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-2.1282176021486519E-13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387.50901594883317</v>
      </c>
      <c r="T162" s="59">
        <f t="shared" si="142"/>
        <v>361.3623790401972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76.232173776010853</v>
      </c>
      <c r="AA162" s="21">
        <f>EXP(-LN(2)/25)*AA161+(1-EXP(-LN(2)/25))/(LN(2)/25)*Calculateur!V162*Calculateur!X162*VLOOKUP('Données projet'!$B$9,Paramètres!$A$1:$I$89,3,0)*0.475*44/12</f>
        <v>8.2980178923727479</v>
      </c>
      <c r="AB162" s="21">
        <f>EXP(-LN(2)/2)*AB161+(1-EXP(-LN(2)/2))/(LN(2)/2)*V162*Y162*VLOOKUP('Données projet'!$B$9,Paramètres!$A$1:$I$89,3,0)*0.475*44/12</f>
        <v>1.2978435586051304E-7</v>
      </c>
      <c r="AC162" s="22">
        <f t="shared" si="163"/>
        <v>84.530191798167948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373.47758082856359</v>
      </c>
      <c r="AO162" s="59">
        <f t="shared" si="144"/>
        <v>277.24895424120166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40.200500905545979</v>
      </c>
      <c r="AV162" s="21">
        <f>EXP(-LN(2)/25)*AV161+(1-EXP(-LN(2)/25))/(LN(2)/25)*Calculateur!AQ162*Calculateur!AS162*VLOOKUP('Données projet'!$B$10,Paramètres!$A$1:$I$89,3,0)*0.475*44/12</f>
        <v>4.0225614746437843</v>
      </c>
      <c r="AW162" s="21">
        <f>EXP(-LN(2)/2)*AW161+(1-EXP(-LN(2)/2))/(LN(2)/2)*AQ162*AT162*VLOOKUP('Données projet'!$B$10,Paramètres!$A$1:$I$89,3,0)*0.475*44/12</f>
        <v>4.1007782113911528E-11</v>
      </c>
      <c r="AX162" s="21">
        <f t="shared" si="166"/>
        <v>44.223062380230772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-6.8212102632969618E-13</v>
      </c>
      <c r="BE162" s="13">
        <f>BD162*VLOOKUP('Données projet'!$B$11,Paramètres!$A$1:$I$89,3,0)*VLOOKUP('Données projet'!$B$11,Paramètres!$A$1:$I$89,5,0)</f>
        <v>-4.0790837374515837E-13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460.88622650237176</v>
      </c>
      <c r="BJ162" s="59">
        <f t="shared" si="146"/>
        <v>396.05161661639647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46.978776007072952</v>
      </c>
      <c r="BQ162" s="21">
        <f>EXP(-LN(2)/25)*BQ161+(1-EXP(-LN(2)/25))/(LN(2)/25)*Calculateur!BL162*Calculateur!BN162*VLOOKUP('Données projet'!$B$11,Paramètres!$A$1:$I$89,3,0)*0.475*44/12</f>
        <v>4.4100089034814101</v>
      </c>
      <c r="BR162" s="21">
        <f>EXP(-LN(2)/2)*BR161+(1-EXP(-LN(2)/2))/(LN(2)/2)*BL162*BO162*VLOOKUP('Données projet'!$B$11,Paramètres!$A$1:$I$89,3,0)*0.475*44/12</f>
        <v>1.3239853871670847E-11</v>
      </c>
      <c r="BS162" s="22">
        <f t="shared" si="169"/>
        <v>51.388784910567601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-5.1727511163335289E-14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341.60063595566282</v>
      </c>
      <c r="CE162" s="59">
        <f t="shared" si="148"/>
        <v>317.05609766344219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38.55698194997786</v>
      </c>
      <c r="CL162" s="21">
        <f>EXP(-LN(2)/25)*CL161+(1-EXP(-LN(2)/25))/(LN(2)/25)*Calculateur!CG162*Calculateur!CI162*VLOOKUP('Données projet'!$B$12,Paramètres!$A$1:$I$89,3,0)*0.475*44/12</f>
        <v>4.0959657958165927</v>
      </c>
      <c r="CM162" s="21">
        <f>EXP(-LN(2)/2)*CM161+(1-EXP(-LN(2)/2))/(LN(2)/2)*CG162*CJ162*VLOOKUP('Données projet'!$B$12,Paramètres!$A$1:$I$89,3,0)*0.475*44/12</f>
        <v>1.1189321598750508E-12</v>
      </c>
      <c r="CN162" s="22">
        <f t="shared" si="172"/>
        <v>42.652947745795565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8.5265128291212022E-14</v>
      </c>
      <c r="CU162" s="17">
        <f>CT162*VLOOKUP('Données projet'!$B$13,Paramètres!$A$1:$I$89,3,0)*VLOOKUP('Données projet'!$B$13,Paramètres!$A$1:$I$89,5,0)</f>
        <v>8.9119112089974823E-14</v>
      </c>
      <c r="CV162" s="13">
        <f t="shared" si="173"/>
        <v>1.3568952080113142E-12</v>
      </c>
      <c r="CW162" s="20">
        <f t="shared" si="174"/>
        <v>2.5184749408430782E-12</v>
      </c>
      <c r="CX162" s="59">
        <f t="shared" si="122"/>
        <v>287.66066955837147</v>
      </c>
      <c r="CY162" s="59">
        <f ca="1">AVERAGE(OFFSET($CX$3,0,0,'Données projet'!$E$13+1,1))-AVERAGE(OFFSET($H$3,0,0,'Données projet'!$E$13+1,1))</f>
        <v>287.73449456153207</v>
      </c>
      <c r="CZ162" s="59">
        <f t="shared" si="150"/>
        <v>296.74833899433281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20.452208406682431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20.452208406682431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1.4024999999999999</v>
      </c>
      <c r="DO162" s="12">
        <f>IF('Données projet'!$A$166&gt;35,DO161+DN162-DW161,IF(A162&lt;'Données projet'!$A$166,$DL$205^A162,IF(A162='Données projet'!$A$166,'Données projet'!$B$166,DO161+DN162-DW161)))</f>
        <v>112.62499999999982</v>
      </c>
      <c r="DP162" s="17">
        <f>DO162*VLOOKUP('Données projet'!$B$14,Paramètres!$A$1:$I$89,3,0)*VLOOKUP('Données projet'!$B$14,Paramètres!$A$1:$I$89,5,0)</f>
        <v>114.20174999999982</v>
      </c>
      <c r="DQ162" s="13">
        <f t="shared" si="176"/>
        <v>30.318779511993178</v>
      </c>
      <c r="DR162" s="20">
        <f t="shared" si="177"/>
        <v>251.70658890005447</v>
      </c>
      <c r="DS162" s="59">
        <f t="shared" si="125"/>
        <v>539.36725845842341</v>
      </c>
      <c r="DT162" s="59">
        <f ca="1">AVERAGE(OFFSET($DS$3,0,0,'Données projet'!$E$14+1,1))-AVERAGE(OFFSET($H$3,0,0,'Données projet'!$E$14+1,1))</f>
        <v>532.34688562681413</v>
      </c>
      <c r="DU162" s="59">
        <f t="shared" si="152"/>
        <v>345.42627129678556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150.83455281842711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150.83455281842711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-5.1431925385259088E-14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256.20286603823035</v>
      </c>
      <c r="EP162" s="59">
        <f t="shared" si="154"/>
        <v>364.83827155069434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5.265849890148858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5.265849890148858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1.4024999999999999</v>
      </c>
      <c r="FE162" s="12">
        <f>IF('Données projet'!$A$218&gt;35,FE161+FD162-FM161,IF(A162&lt;'Données projet'!$A$218,$FB$205^A162,IF(A162='Données projet'!$A$218,'Données projet'!$B$218,FE161+FD162-FM161)))</f>
        <v>112.62499999999982</v>
      </c>
      <c r="FF162" s="17">
        <f>FE162*VLOOKUP('Données projet'!$B$16,Paramètres!$A$1:$I$89,3,0)*VLOOKUP('Données projet'!$B$16,Paramètres!$A$1:$I$89,5,0)</f>
        <v>75.548849999999888</v>
      </c>
      <c r="FG162" s="13">
        <f t="shared" si="182"/>
        <v>21.04525537686353</v>
      </c>
      <c r="FH162" s="20">
        <f t="shared" si="183"/>
        <v>168.23473353137044</v>
      </c>
      <c r="FI162" s="59">
        <f t="shared" si="131"/>
        <v>455.89540308973937</v>
      </c>
      <c r="FJ162" s="59">
        <f ca="1">AVERAGE(OFFSET($FI$3,0,0,'Données projet'!$E$16+1,1))-AVERAGE(OFFSET($H$3,0,0,'Données projet'!$E$16+1,1))</f>
        <v>380.73695370216979</v>
      </c>
      <c r="FK162" s="59">
        <f t="shared" si="156"/>
        <v>249.34467160415713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122.98817383656363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122.98817383656363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1.4024999999999999</v>
      </c>
      <c r="FZ162" s="12">
        <f>IF('Données projet'!$A$244&gt;35,FZ161+FY162-GH161,IF(A162&lt;'Données projet'!$A$244,$FW$205^A162,IF(A162='Données projet'!$A$244,'Données projet'!$B$244,FZ161+FY162-GH161)))</f>
        <v>112.62499999999982</v>
      </c>
      <c r="GA162" s="17">
        <f>FZ162*VLOOKUP('Données projet'!$B$17,Paramètres!$A$1:$I$89,3,0)*VLOOKUP('Données projet'!$B$17,Paramètres!$A$1:$I$89,5,0)</f>
        <v>108.93089999999982</v>
      </c>
      <c r="GB162" s="13">
        <f t="shared" si="185"/>
        <v>29.078953275005336</v>
      </c>
      <c r="GC162" s="20">
        <f t="shared" si="186"/>
        <v>240.36716112063394</v>
      </c>
      <c r="GD162" s="59">
        <f t="shared" si="134"/>
        <v>528.02783067900293</v>
      </c>
      <c r="GE162" s="59">
        <f ca="1">AVERAGE(OFFSET($GD$3,0,0,'Données projet'!$E$17+1,1))-AVERAGE(OFFSET($H$3,0,0,'Données projet'!$E$17+1,1))</f>
        <v>511.7458522930001</v>
      </c>
      <c r="GF162" s="59">
        <f t="shared" si="158"/>
        <v>332.37317679966122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143.87295807296118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143.87295807296118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-1.7053025658242404E-13</v>
      </c>
      <c r="GV162" s="17">
        <f>GU162*VLOOKUP('Données projet'!$B$18,Paramètres!$A$1:$I$89,3,0)*VLOOKUP('Données projet'!$B$18,Paramètres!$A$1:$I$89,5,0)</f>
        <v>-1.4897523215040567E-13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348.77506423101278</v>
      </c>
      <c r="HA162" s="59">
        <f t="shared" si="160"/>
        <v>336.13747591329548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27.946892171670132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27.946892171670132</v>
      </c>
    </row>
    <row r="163" spans="1:218" x14ac:dyDescent="0.2">
      <c r="A163" s="10">
        <f t="shared" si="161"/>
        <v>160</v>
      </c>
      <c r="B163" s="71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5">
        <f t="shared" si="110"/>
        <v>183.33333333333334</v>
      </c>
      <c r="I163" s="6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-2.1282176021486519E-13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387.50901594883317</v>
      </c>
      <c r="T163" s="59">
        <f t="shared" si="142"/>
        <v>361.3623790401972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74.737307345298078</v>
      </c>
      <c r="AA163" s="21">
        <f>EXP(-LN(2)/25)*AA162+(1-EXP(-LN(2)/25))/(LN(2)/25)*Calculateur!V163*Calculateur!X163*VLOOKUP('Données projet'!$B$9,Paramètres!$A$1:$I$89,3,0)*0.475*44/12</f>
        <v>8.07110815673202</v>
      </c>
      <c r="AB163" s="21">
        <f>EXP(-LN(2)/2)*AB162+(1-EXP(-LN(2)/2))/(LN(2)/2)*V163*Y163*VLOOKUP('Données projet'!$B$9,Paramètres!$A$1:$I$89,3,0)*0.475*44/12</f>
        <v>9.177139812089681E-8</v>
      </c>
      <c r="AC163" s="22">
        <f t="shared" si="163"/>
        <v>82.808415593801499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373.47758082856359</v>
      </c>
      <c r="AO163" s="59">
        <f t="shared" si="144"/>
        <v>277.24895424120166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39.412193602672637</v>
      </c>
      <c r="AV163" s="21">
        <f>EXP(-LN(2)/25)*AV162+(1-EXP(-LN(2)/25))/(LN(2)/25)*Calculateur!AQ163*Calculateur!AS163*VLOOKUP('Données projet'!$B$10,Paramètres!$A$1:$I$89,3,0)*0.475*44/12</f>
        <v>3.9125643195823359</v>
      </c>
      <c r="AW163" s="21">
        <f>EXP(-LN(2)/2)*AW162+(1-EXP(-LN(2)/2))/(LN(2)/2)*AQ163*AT163*VLOOKUP('Données projet'!$B$10,Paramètres!$A$1:$I$89,3,0)*0.475*44/12</f>
        <v>2.8996880814167257E-11</v>
      </c>
      <c r="AX163" s="21">
        <f t="shared" si="166"/>
        <v>43.324757922283972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-6.8212102632969618E-13</v>
      </c>
      <c r="BE163" s="13">
        <f>BD163*VLOOKUP('Données projet'!$B$11,Paramètres!$A$1:$I$89,3,0)*VLOOKUP('Données projet'!$B$11,Paramètres!$A$1:$I$89,5,0)</f>
        <v>-4.0790837374515837E-13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460.88622650237176</v>
      </c>
      <c r="BJ163" s="59">
        <f t="shared" si="146"/>
        <v>396.05161661639647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46.057550863798248</v>
      </c>
      <c r="BQ163" s="21">
        <f>EXP(-LN(2)/25)*BQ162+(1-EXP(-LN(2)/25))/(LN(2)/25)*Calculateur!BL163*Calculateur!BN163*VLOOKUP('Données projet'!$B$11,Paramètres!$A$1:$I$89,3,0)*0.475*44/12</f>
        <v>4.2894169781034215</v>
      </c>
      <c r="BR163" s="21">
        <f>EXP(-LN(2)/2)*BR162+(1-EXP(-LN(2)/2))/(LN(2)/2)*BL163*BO163*VLOOKUP('Données projet'!$B$11,Paramètres!$A$1:$I$89,3,0)*0.475*44/12</f>
        <v>9.3619904545774212E-12</v>
      </c>
      <c r="BS163" s="22">
        <f t="shared" si="169"/>
        <v>50.346967841911038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-5.1727511163335289E-14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341.60063595566282</v>
      </c>
      <c r="CE163" s="59">
        <f t="shared" si="148"/>
        <v>317.05609766344219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37.800903051375627</v>
      </c>
      <c r="CL163" s="21">
        <f>EXP(-LN(2)/25)*CL162+(1-EXP(-LN(2)/25))/(LN(2)/25)*Calculateur!CG163*Calculateur!CI163*VLOOKUP('Données projet'!$B$12,Paramètres!$A$1:$I$89,3,0)*0.475*44/12</f>
        <v>3.9839613957325084</v>
      </c>
      <c r="CM163" s="21">
        <f>EXP(-LN(2)/2)*CM162+(1-EXP(-LN(2)/2))/(LN(2)/2)*CG163*CJ163*VLOOKUP('Données projet'!$B$12,Paramètres!$A$1:$I$89,3,0)*0.475*44/12</f>
        <v>7.9120451793535855E-13</v>
      </c>
      <c r="CN163" s="22">
        <f t="shared" si="172"/>
        <v>41.784864447108923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8.5265128291212022E-14</v>
      </c>
      <c r="CU163" s="17">
        <f>CT163*VLOOKUP('Données projet'!$B$13,Paramètres!$A$1:$I$89,3,0)*VLOOKUP('Données projet'!$B$13,Paramètres!$A$1:$I$89,5,0)</f>
        <v>8.9119112089974823E-14</v>
      </c>
      <c r="CV163" s="13">
        <f t="shared" si="173"/>
        <v>1.3568952080113142E-12</v>
      </c>
      <c r="CW163" s="20">
        <f t="shared" si="174"/>
        <v>2.5184749408430782E-12</v>
      </c>
      <c r="CX163" s="59">
        <f t="shared" si="122"/>
        <v>287.75907759269086</v>
      </c>
      <c r="CY163" s="59">
        <f ca="1">AVERAGE(OFFSET($CX$3,0,0,'Données projet'!$E$13+1,1))-AVERAGE(OFFSET($H$3,0,0,'Données projet'!$E$13+1,1))</f>
        <v>287.73449456153207</v>
      </c>
      <c r="CZ163" s="59">
        <f t="shared" si="150"/>
        <v>296.74833899433281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20.051153074442752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20.051153074442752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1.4024999999999999</v>
      </c>
      <c r="DO163" s="12">
        <f>IF('Données projet'!$A$166&gt;35,DO162+DN163-DW162,IF(A163&lt;'Données projet'!$A$166,$DL$205^A163,IF(A163='Données projet'!$A$166,'Données projet'!$B$166,DO162+DN163-DW162)))</f>
        <v>114.02749999999982</v>
      </c>
      <c r="DP163" s="17">
        <f>DO163*VLOOKUP('Données projet'!$B$14,Paramètres!$A$1:$I$89,3,0)*VLOOKUP('Données projet'!$B$14,Paramètres!$A$1:$I$89,5,0)</f>
        <v>115.62388499999982</v>
      </c>
      <c r="DQ163" s="13">
        <f t="shared" si="176"/>
        <v>30.652146097549053</v>
      </c>
      <c r="DR163" s="20">
        <f t="shared" si="177"/>
        <v>254.76408749489761</v>
      </c>
      <c r="DS163" s="59">
        <f t="shared" si="125"/>
        <v>542.52316508758599</v>
      </c>
      <c r="DT163" s="59">
        <f ca="1">AVERAGE(OFFSET($DS$3,0,0,'Données projet'!$E$14+1,1))-AVERAGE(OFFSET($H$3,0,0,'Données projet'!$E$14+1,1))</f>
        <v>532.34688562681413</v>
      </c>
      <c r="DU163" s="59">
        <f t="shared" si="152"/>
        <v>345.42627129678556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147.87677923765074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147.87677923765074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-5.1431925385259088E-14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256.20286603823035</v>
      </c>
      <c r="EP163" s="59">
        <f t="shared" si="154"/>
        <v>364.83827155069434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5.1625897856543279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5.1625897856543279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1.4024999999999999</v>
      </c>
      <c r="FE163" s="12">
        <f>IF('Données projet'!$A$218&gt;35,FE162+FD163-FM162,IF(A163&lt;'Données projet'!$A$218,$FB$205^A163,IF(A163='Données projet'!$A$218,'Données projet'!$B$218,FE162+FD163-FM162)))</f>
        <v>114.02749999999982</v>
      </c>
      <c r="FF163" s="17">
        <f>FE163*VLOOKUP('Données projet'!$B$16,Paramètres!$A$1:$I$89,3,0)*VLOOKUP('Données projet'!$B$16,Paramètres!$A$1:$I$89,5,0)</f>
        <v>76.489646999999877</v>
      </c>
      <c r="FG163" s="13">
        <f t="shared" si="182"/>
        <v>21.276656015017906</v>
      </c>
      <c r="FH163" s="20">
        <f t="shared" si="183"/>
        <v>170.27631108448929</v>
      </c>
      <c r="FI163" s="59">
        <f t="shared" si="131"/>
        <v>458.03538867717765</v>
      </c>
      <c r="FJ163" s="59">
        <f ca="1">AVERAGE(OFFSET($FI$3,0,0,'Données projet'!$E$16+1,1))-AVERAGE(OFFSET($H$3,0,0,'Données projet'!$E$16+1,1))</f>
        <v>380.73695370216979</v>
      </c>
      <c r="FK163" s="59">
        <f t="shared" si="156"/>
        <v>249.34467160415713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120.5764507630075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120.5764507630075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1.4024999999999999</v>
      </c>
      <c r="FZ163" s="12">
        <f>IF('Données projet'!$A$244&gt;35,FZ162+FY163-GH162,IF(A163&lt;'Données projet'!$A$244,$FW$205^A163,IF(A163='Données projet'!$A$244,'Données projet'!$B$244,FZ162+FY163-GH162)))</f>
        <v>114.02749999999982</v>
      </c>
      <c r="GA163" s="17">
        <f>FZ163*VLOOKUP('Données projet'!$B$17,Paramètres!$A$1:$I$89,3,0)*VLOOKUP('Données projet'!$B$17,Paramètres!$A$1:$I$89,5,0)</f>
        <v>110.28739799999984</v>
      </c>
      <c r="GB163" s="13">
        <f t="shared" si="185"/>
        <v>29.398687496529416</v>
      </c>
      <c r="GC163" s="20">
        <f t="shared" si="186"/>
        <v>243.28659890645511</v>
      </c>
      <c r="GD163" s="59">
        <f t="shared" si="134"/>
        <v>531.0456764991435</v>
      </c>
      <c r="GE163" s="59">
        <f ca="1">AVERAGE(OFFSET($GD$3,0,0,'Données projet'!$E$17+1,1))-AVERAGE(OFFSET($H$3,0,0,'Données projet'!$E$17+1,1))</f>
        <v>511.7458522930001</v>
      </c>
      <c r="GF163" s="59">
        <f t="shared" si="158"/>
        <v>332.37317679966122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141.05169711898986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141.05169711898986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-1.7053025658242404E-13</v>
      </c>
      <c r="GV163" s="17">
        <f>GU163*VLOOKUP('Données projet'!$B$18,Paramètres!$A$1:$I$89,3,0)*VLOOKUP('Données projet'!$B$18,Paramètres!$A$1:$I$89,5,0)</f>
        <v>-1.4897523215040567E-13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348.77506423101278</v>
      </c>
      <c r="HA163" s="59">
        <f t="shared" si="160"/>
        <v>336.13747591329548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27.398870662104763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27.398870662104763</v>
      </c>
    </row>
    <row r="164" spans="1:218" x14ac:dyDescent="0.2">
      <c r="A164" s="10">
        <f t="shared" si="161"/>
        <v>161</v>
      </c>
      <c r="B164" s="71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5">
        <f t="shared" si="110"/>
        <v>183.33333333333334</v>
      </c>
      <c r="I164" s="6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-2.1282176021486519E-13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387.50901594883317</v>
      </c>
      <c r="T164" s="59">
        <f t="shared" si="142"/>
        <v>361.3623790401972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73.271754333513087</v>
      </c>
      <c r="AA164" s="21">
        <f>EXP(-LN(2)/25)*AA163+(1-EXP(-LN(2)/25))/(LN(2)/25)*Calculateur!V164*Calculateur!X164*VLOOKUP('Données projet'!$B$9,Paramètres!$A$1:$I$89,3,0)*0.475*44/12</f>
        <v>7.850403279745052</v>
      </c>
      <c r="AB164" s="21">
        <f>EXP(-LN(2)/2)*AB163+(1-EXP(-LN(2)/2))/(LN(2)/2)*V164*Y164*VLOOKUP('Données projet'!$B$9,Paramètres!$A$1:$I$89,3,0)*0.475*44/12</f>
        <v>6.4892177930256518E-8</v>
      </c>
      <c r="AC164" s="22">
        <f t="shared" si="163"/>
        <v>81.122157678150316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373.47758082856359</v>
      </c>
      <c r="AO164" s="59">
        <f t="shared" si="144"/>
        <v>277.24895424120166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38.639344525188662</v>
      </c>
      <c r="AV164" s="21">
        <f>EXP(-LN(2)/25)*AV163+(1-EXP(-LN(2)/25))/(LN(2)/25)*Calculateur!AQ164*Calculateur!AS164*VLOOKUP('Données projet'!$B$10,Paramètres!$A$1:$I$89,3,0)*0.475*44/12</f>
        <v>3.8055750425105415</v>
      </c>
      <c r="AW164" s="21">
        <f>EXP(-LN(2)/2)*AW163+(1-EXP(-LN(2)/2))/(LN(2)/2)*AQ164*AT164*VLOOKUP('Données projet'!$B$10,Paramètres!$A$1:$I$89,3,0)*0.475*44/12</f>
        <v>2.0503891056955767E-11</v>
      </c>
      <c r="AX164" s="21">
        <f t="shared" si="166"/>
        <v>42.444919567719708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-6.8212102632969618E-13</v>
      </c>
      <c r="BE164" s="13">
        <f>BD164*VLOOKUP('Données projet'!$B$11,Paramètres!$A$1:$I$89,3,0)*VLOOKUP('Données projet'!$B$11,Paramètres!$A$1:$I$89,5,0)</f>
        <v>-4.0790837374515837E-13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460.88622650237176</v>
      </c>
      <c r="BJ164" s="59">
        <f t="shared" si="146"/>
        <v>396.05161661639647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45.154390383691307</v>
      </c>
      <c r="BQ164" s="21">
        <f>EXP(-LN(2)/25)*BQ163+(1-EXP(-LN(2)/25))/(LN(2)/25)*Calculateur!BL164*Calculateur!BN164*VLOOKUP('Données projet'!$B$11,Paramètres!$A$1:$I$89,3,0)*0.475*44/12</f>
        <v>4.1721226452665485</v>
      </c>
      <c r="BR164" s="21">
        <f>EXP(-LN(2)/2)*BR163+(1-EXP(-LN(2)/2))/(LN(2)/2)*BL164*BO164*VLOOKUP('Données projet'!$B$11,Paramètres!$A$1:$I$89,3,0)*0.475*44/12</f>
        <v>6.6199269358354233E-12</v>
      </c>
      <c r="BS164" s="22">
        <f t="shared" si="169"/>
        <v>49.326513028964477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-5.1727511163335289E-14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341.60063595566282</v>
      </c>
      <c r="CE164" s="59">
        <f t="shared" si="148"/>
        <v>317.05609766344219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37.059650398812394</v>
      </c>
      <c r="CL164" s="21">
        <f>EXP(-LN(2)/25)*CL163+(1-EXP(-LN(2)/25))/(LN(2)/25)*Calculateur!CG164*Calculateur!CI164*VLOOKUP('Données projet'!$B$12,Paramètres!$A$1:$I$89,3,0)*0.475*44/12</f>
        <v>3.8750197618587787</v>
      </c>
      <c r="CM164" s="21">
        <f>EXP(-LN(2)/2)*CM163+(1-EXP(-LN(2)/2))/(LN(2)/2)*CG164*CJ164*VLOOKUP('Données projet'!$B$12,Paramètres!$A$1:$I$89,3,0)*0.475*44/12</f>
        <v>5.5946607993752538E-13</v>
      </c>
      <c r="CN164" s="22">
        <f t="shared" si="172"/>
        <v>40.934670160671736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8.5265128291212022E-14</v>
      </c>
      <c r="CU164" s="17">
        <f>CT164*VLOOKUP('Données projet'!$B$13,Paramètres!$A$1:$I$89,3,0)*VLOOKUP('Données projet'!$B$13,Paramètres!$A$1:$I$89,5,0)</f>
        <v>8.9119112089974823E-14</v>
      </c>
      <c r="CV164" s="13">
        <f t="shared" si="173"/>
        <v>1.3568952080113142E-12</v>
      </c>
      <c r="CW164" s="20">
        <f t="shared" si="174"/>
        <v>2.5184749408430782E-12</v>
      </c>
      <c r="CX164" s="59">
        <f t="shared" si="122"/>
        <v>287.8557784676222</v>
      </c>
      <c r="CY164" s="59">
        <f ca="1">AVERAGE(OFFSET($CX$3,0,0,'Données projet'!$E$13+1,1))-AVERAGE(OFFSET($H$3,0,0,'Données projet'!$E$13+1,1))</f>
        <v>287.73449456153207</v>
      </c>
      <c r="CZ164" s="59">
        <f t="shared" si="150"/>
        <v>296.74833899433281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19.657962192648693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19.657962192648693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115.43</v>
      </c>
      <c r="DM164" s="12">
        <f>VLOOKUP(A164,'Données projet'!$A$165:$I$185,9,0)</f>
        <v>1.4024999999999999</v>
      </c>
      <c r="DN164" s="12">
        <f t="array" ref="DN164">INDEX(DM:DM,MIN(IF(ISNUMBER(DM164:DM360),ROW(DM164:DM360),"")))</f>
        <v>1.4024999999999999</v>
      </c>
      <c r="DO164" s="12">
        <f>IF('Données projet'!$A$166&gt;35,DO163+DN164-DW163,IF(A164&lt;'Données projet'!$A$166,$DL$205^A164,IF(A164='Données projet'!$A$166,'Données projet'!$B$166,DO163+DN164-DW163)))</f>
        <v>115.42999999999982</v>
      </c>
      <c r="DP164" s="17">
        <f>DO164*VLOOKUP('Données projet'!$B$14,Paramètres!$A$1:$I$89,3,0)*VLOOKUP('Données projet'!$B$14,Paramètres!$A$1:$I$89,5,0)</f>
        <v>117.04601999999983</v>
      </c>
      <c r="DQ164" s="13">
        <f t="shared" si="176"/>
        <v>30.98503573728636</v>
      </c>
      <c r="DR164" s="20">
        <f t="shared" si="177"/>
        <v>257.82075540910677</v>
      </c>
      <c r="DS164" s="59">
        <f t="shared" si="125"/>
        <v>545.67653387672647</v>
      </c>
      <c r="DT164" s="59">
        <f ca="1">AVERAGE(OFFSET($DS$3,0,0,'Données projet'!$E$14+1,1))-AVERAGE(OFFSET($H$3,0,0,'Données projet'!$E$14+1,1))</f>
        <v>532.34688562681413</v>
      </c>
      <c r="DU164" s="59">
        <f t="shared" si="152"/>
        <v>345.42627129678556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115.43</v>
      </c>
      <c r="DX164" s="16">
        <f>IF(ISNA(VLOOKUP(A164,'Données projet'!$A$165:$I$185,5,0)),0%,VLOOKUP(A164,'Données projet'!$A$165:$I$185,5,0)*VLOOKUP('Données projet'!$B$14,Paramètres!$A$1:$I$89,7,0))</f>
        <v>0.34400000000000003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189.48747819709376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189.48747819709376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-5.1431925385259088E-14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256.20286603823035</v>
      </c>
      <c r="EP164" s="59">
        <f t="shared" si="154"/>
        <v>364.83827155069434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5.0613545488264906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5.0613545488264906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>
        <f>VLOOKUP(A164,'Données projet'!$A$217:$I$237,2,0)</f>
        <v>115.43</v>
      </c>
      <c r="FC164" s="12">
        <f>VLOOKUP(A164,'Données projet'!$A$217:$I$237,9,0)</f>
        <v>1.4024999999999999</v>
      </c>
      <c r="FD164" s="12">
        <f t="array" ref="FD164">INDEX(FC:FC,MIN(IF(ISNUMBER(FC164:FC360),ROW(FC164:FC360),"")))</f>
        <v>1.4024999999999999</v>
      </c>
      <c r="FE164" s="12">
        <f>IF('Données projet'!$A$218&gt;35,FE163+FD164-FM163,IF(A164&lt;'Données projet'!$A$218,$FB$205^A164,IF(A164='Données projet'!$A$218,'Données projet'!$B$218,FE163+FD164-FM163)))</f>
        <v>115.42999999999982</v>
      </c>
      <c r="FF164" s="17">
        <f>FE164*VLOOKUP('Données projet'!$B$16,Paramètres!$A$1:$I$89,3,0)*VLOOKUP('Données projet'!$B$16,Paramètres!$A$1:$I$89,5,0)</f>
        <v>77.430443999999881</v>
      </c>
      <c r="FG164" s="13">
        <f t="shared" si="182"/>
        <v>21.507725589497706</v>
      </c>
      <c r="FH164" s="20">
        <f t="shared" si="183"/>
        <v>172.31731203504162</v>
      </c>
      <c r="FI164" s="59">
        <f t="shared" si="131"/>
        <v>460.17309050266135</v>
      </c>
      <c r="FJ164" s="59">
        <f ca="1">AVERAGE(OFFSET($FI$3,0,0,'Données projet'!$E$16+1,1))-AVERAGE(OFFSET($H$3,0,0,'Données projet'!$E$16+1,1))</f>
        <v>380.73695370216979</v>
      </c>
      <c r="FK164" s="59">
        <f t="shared" si="156"/>
        <v>249.34467160415713</v>
      </c>
      <c r="FL164" s="15">
        <f>IF(ISNA(VLOOKUP(A164,'Données projet'!$A$217:$I$237,3,0)),0,VLOOKUP(A164,'Données projet'!$A$217:$I$237,3,0))</f>
        <v>15</v>
      </c>
      <c r="FM164" s="15">
        <f>IF(ISNA(VLOOKUP(A164,'Données projet'!$A$217:$I$237,4,0)),0,VLOOKUP(A164,'Données projet'!$A$217:$I$237,4,0))</f>
        <v>115.43</v>
      </c>
      <c r="FN164" s="16">
        <f>IF(ISNA(VLOOKUP(A164,'Données projet'!$A$217:$I$237,5,0)),0%,VLOOKUP(A164,'Données projet'!$A$217:$I$237,5,0)*VLOOKUP('Données projet'!$B$16,Paramètres!$A$1:$I$89,7,0))</f>
        <v>0.42400000000000004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154.50517452993796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154.50517452993796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>
        <f>VLOOKUP(A164,'Données projet'!$A$243:$I$263,2,0)</f>
        <v>115.43</v>
      </c>
      <c r="FX164" s="12">
        <f>VLOOKUP(A164,'Données projet'!$A$243:$I$263,9,0)</f>
        <v>1.4024999999999999</v>
      </c>
      <c r="FY164" s="12">
        <f t="array" ref="FY164">INDEX(FX:FX,MIN(IF(ISNUMBER(FX164:FX360),ROW(FX164:FX360),"")))</f>
        <v>1.4024999999999999</v>
      </c>
      <c r="FZ164" s="12">
        <f>IF('Données projet'!$A$244&gt;35,FZ163+FY164-GH163,IF(A164&lt;'Données projet'!$A$244,$FW$205^A164,IF(A164='Données projet'!$A$244,'Données projet'!$B$244,FZ163+FY164-GH163)))</f>
        <v>115.42999999999982</v>
      </c>
      <c r="GA164" s="17">
        <f>FZ164*VLOOKUP('Données projet'!$B$17,Paramètres!$A$1:$I$89,3,0)*VLOOKUP('Données projet'!$B$17,Paramètres!$A$1:$I$89,5,0)</f>
        <v>111.64389599999984</v>
      </c>
      <c r="GB164" s="13">
        <f t="shared" si="185"/>
        <v>29.71796427598634</v>
      </c>
      <c r="GC164" s="20">
        <f t="shared" si="186"/>
        <v>246.20523998067588</v>
      </c>
      <c r="GD164" s="59">
        <f t="shared" si="134"/>
        <v>534.06101844829561</v>
      </c>
      <c r="GE164" s="59">
        <f ca="1">AVERAGE(OFFSET($GD$3,0,0,'Données projet'!$E$17+1,1))-AVERAGE(OFFSET($H$3,0,0,'Données projet'!$E$17+1,1))</f>
        <v>511.7458522930001</v>
      </c>
      <c r="GF164" s="59">
        <f t="shared" si="158"/>
        <v>332.37317679966122</v>
      </c>
      <c r="GG164" s="15">
        <f>IF(ISNA(VLOOKUP(A164,'Données projet'!$A$243:$I$263,3,0)),0,VLOOKUP(A164,'Données projet'!$A$243:$I$263,3,0))</f>
        <v>15</v>
      </c>
      <c r="GH164" s="15">
        <f>IF(ISNA(VLOOKUP(A164,'Données projet'!$A$243:$I$263,4,0)),0,VLOOKUP(A164,'Données projet'!$A$243:$I$263,4,0))</f>
        <v>115.43</v>
      </c>
      <c r="GI164" s="16">
        <f>IF(ISNA(VLOOKUP(A164,'Données projet'!$A$243:$I$263,5,0)),0%,VLOOKUP(A164,'Données projet'!$A$243:$I$263,5,0)*VLOOKUP('Données projet'!$B$17,Paramètres!$A$1:$I$89,7,0))</f>
        <v>0.34400000000000003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180.74190228030474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180.74190228030474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-1.7053025658242404E-13</v>
      </c>
      <c r="GV164" s="17">
        <f>GU164*VLOOKUP('Données projet'!$B$18,Paramètres!$A$1:$I$89,3,0)*VLOOKUP('Données projet'!$B$18,Paramètres!$A$1:$I$89,5,0)</f>
        <v>-1.4897523215040567E-13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348.77506423101278</v>
      </c>
      <c r="HA164" s="59">
        <f t="shared" si="160"/>
        <v>336.13747591329548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26.861595520081853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26.861595520081853</v>
      </c>
    </row>
    <row r="165" spans="1:218" x14ac:dyDescent="0.2">
      <c r="A165" s="10">
        <f t="shared" si="161"/>
        <v>162</v>
      </c>
      <c r="B165" s="71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5">
        <f t="shared" si="110"/>
        <v>183.33333333333334</v>
      </c>
      <c r="I165" s="6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-2.1282176021486519E-13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387.50901594883317</v>
      </c>
      <c r="T165" s="59">
        <f t="shared" si="142"/>
        <v>361.3623790401972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71.834939922390134</v>
      </c>
      <c r="AA165" s="21">
        <f>EXP(-LN(2)/25)*AA164+(1-EXP(-LN(2)/25))/(LN(2)/25)*Calculateur!V165*Calculateur!X165*VLOOKUP('Données projet'!$B$9,Paramètres!$A$1:$I$89,3,0)*0.475*44/12</f>
        <v>7.6357335892256577</v>
      </c>
      <c r="AB165" s="21">
        <f>EXP(-LN(2)/2)*AB164+(1-EXP(-LN(2)/2))/(LN(2)/2)*V165*Y165*VLOOKUP('Données projet'!$B$9,Paramètres!$A$1:$I$89,3,0)*0.475*44/12</f>
        <v>4.5885699060448405E-8</v>
      </c>
      <c r="AC165" s="22">
        <f t="shared" si="163"/>
        <v>79.470673557501485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373.47758082856359</v>
      </c>
      <c r="AO165" s="59">
        <f t="shared" si="144"/>
        <v>277.24895424120166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37.88165054672276</v>
      </c>
      <c r="AV165" s="21">
        <f>EXP(-LN(2)/25)*AV164+(1-EXP(-LN(2)/25))/(LN(2)/25)*Calculateur!AQ165*Calculateur!AS165*VLOOKUP('Données projet'!$B$10,Paramètres!$A$1:$I$89,3,0)*0.475*44/12</f>
        <v>3.701511392846597</v>
      </c>
      <c r="AW165" s="21">
        <f>EXP(-LN(2)/2)*AW164+(1-EXP(-LN(2)/2))/(LN(2)/2)*AQ165*AT165*VLOOKUP('Données projet'!$B$10,Paramètres!$A$1:$I$89,3,0)*0.475*44/12</f>
        <v>1.4498440407083632E-11</v>
      </c>
      <c r="AX165" s="21">
        <f t="shared" si="166"/>
        <v>41.583161939583853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-6.8212102632969618E-13</v>
      </c>
      <c r="BE165" s="13">
        <f>BD165*VLOOKUP('Données projet'!$B$11,Paramètres!$A$1:$I$89,3,0)*VLOOKUP('Données projet'!$B$11,Paramètres!$A$1:$I$89,5,0)</f>
        <v>-4.0790837374515837E-13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460.88622650237176</v>
      </c>
      <c r="BJ165" s="59">
        <f t="shared" si="146"/>
        <v>396.05161661639647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44.268940329725758</v>
      </c>
      <c r="BQ165" s="21">
        <f>EXP(-LN(2)/25)*BQ164+(1-EXP(-LN(2)/25))/(LN(2)/25)*Calculateur!BL165*Calculateur!BN165*VLOOKUP('Données projet'!$B$11,Paramètres!$A$1:$I$89,3,0)*0.475*44/12</f>
        <v>4.0580357321293405</v>
      </c>
      <c r="BR165" s="21">
        <f>EXP(-LN(2)/2)*BR164+(1-EXP(-LN(2)/2))/(LN(2)/2)*BL165*BO165*VLOOKUP('Données projet'!$B$11,Paramètres!$A$1:$I$89,3,0)*0.475*44/12</f>
        <v>4.6809952272887106E-12</v>
      </c>
      <c r="BS165" s="22">
        <f t="shared" si="169"/>
        <v>48.326976061859781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-5.1727511163335289E-14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341.60063595566282</v>
      </c>
      <c r="CE165" s="59">
        <f t="shared" si="148"/>
        <v>317.05609766344219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36.332933258646449</v>
      </c>
      <c r="CL165" s="21">
        <f>EXP(-LN(2)/25)*CL164+(1-EXP(-LN(2)/25))/(LN(2)/25)*Calculateur!CG165*Calculateur!CI165*VLOOKUP('Données projet'!$B$12,Paramètres!$A$1:$I$89,3,0)*0.475*44/12</f>
        <v>3.7690571426923176</v>
      </c>
      <c r="CM165" s="21">
        <f>EXP(-LN(2)/2)*CM164+(1-EXP(-LN(2)/2))/(LN(2)/2)*CG165*CJ165*VLOOKUP('Données projet'!$B$12,Paramètres!$A$1:$I$89,3,0)*0.475*44/12</f>
        <v>3.9560225896767927E-13</v>
      </c>
      <c r="CN165" s="22">
        <f t="shared" si="172"/>
        <v>40.101990401339165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8.5265128291212022E-14</v>
      </c>
      <c r="CU165" s="17">
        <f>CT165*VLOOKUP('Données projet'!$B$13,Paramètres!$A$1:$I$89,3,0)*VLOOKUP('Données projet'!$B$13,Paramètres!$A$1:$I$89,5,0)</f>
        <v>8.9119112089974823E-14</v>
      </c>
      <c r="CV165" s="13">
        <f t="shared" si="173"/>
        <v>1.3568952080113142E-12</v>
      </c>
      <c r="CW165" s="20">
        <f t="shared" si="174"/>
        <v>2.5184749408430782E-12</v>
      </c>
      <c r="CX165" s="59">
        <f t="shared" si="122"/>
        <v>287.95080179856421</v>
      </c>
      <c r="CY165" s="59">
        <f ca="1">AVERAGE(OFFSET($CX$3,0,0,'Données projet'!$E$13+1,1))-AVERAGE(OFFSET($H$3,0,0,'Données projet'!$E$13+1,1))</f>
        <v>287.73449456153207</v>
      </c>
      <c r="CZ165" s="59">
        <f t="shared" si="150"/>
        <v>296.74833899433281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19.272481544223858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19.272481544223858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-1.8474111129762605E-13</v>
      </c>
      <c r="DP165" s="17">
        <f>DO165*VLOOKUP('Données projet'!$B$14,Paramètres!$A$1:$I$89,3,0)*VLOOKUP('Données projet'!$B$14,Paramètres!$A$1:$I$89,5,0)</f>
        <v>-1.8732748685579284E-13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532.34688562681413</v>
      </c>
      <c r="DU165" s="59">
        <f t="shared" si="152"/>
        <v>345.42627129678556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185.77174432559829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185.77174432559829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-5.1431925385259088E-14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256.20286603823035</v>
      </c>
      <c r="EP165" s="59">
        <f t="shared" si="154"/>
        <v>364.83827155069434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4.96210447324545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4.96210447324545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-1.8474111129762605E-13</v>
      </c>
      <c r="FF165" s="17">
        <f>FE165*VLOOKUP('Données projet'!$B$16,Paramètres!$A$1:$I$89,3,0)*VLOOKUP('Données projet'!$B$16,Paramètres!$A$1:$I$89,5,0)</f>
        <v>-1.2392433745844755E-13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380.73695370216979</v>
      </c>
      <c r="FK165" s="59">
        <f t="shared" si="156"/>
        <v>249.34467160415713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151.47542229625702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151.47542229625702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-1.8474111129762605E-13</v>
      </c>
      <c r="GA165" s="17">
        <f>FZ165*VLOOKUP('Données projet'!$B$17,Paramètres!$A$1:$I$89,3,0)*VLOOKUP('Données projet'!$B$17,Paramètres!$A$1:$I$89,5,0)</f>
        <v>-1.7868160284706392E-13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511.7458522930001</v>
      </c>
      <c r="GF165" s="59">
        <f t="shared" si="158"/>
        <v>332.37317679966122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177.1976638182629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177.1976638182629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-1.7053025658242404E-13</v>
      </c>
      <c r="GV165" s="17">
        <f>GU165*VLOOKUP('Données projet'!$B$18,Paramètres!$A$1:$I$89,3,0)*VLOOKUP('Données projet'!$B$18,Paramètres!$A$1:$I$89,5,0)</f>
        <v>-1.4897523215040567E-13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348.77506423101278</v>
      </c>
      <c r="HA165" s="59">
        <f t="shared" si="160"/>
        <v>336.13747591329548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26.334856015888533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26.334856015888533</v>
      </c>
    </row>
    <row r="166" spans="1:218" x14ac:dyDescent="0.2">
      <c r="A166" s="10">
        <f t="shared" si="161"/>
        <v>163</v>
      </c>
      <c r="B166" s="71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5">
        <f t="shared" si="110"/>
        <v>183.33333333333334</v>
      </c>
      <c r="I166" s="6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-2.1282176021486519E-13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387.50901594883317</v>
      </c>
      <c r="T166" s="59">
        <f t="shared" si="142"/>
        <v>361.3623790401972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70.426300565499048</v>
      </c>
      <c r="AA166" s="21">
        <f>EXP(-LN(2)/25)*AA165+(1-EXP(-LN(2)/25))/(LN(2)/25)*Calculateur!V166*Calculateur!X166*VLOOKUP('Données projet'!$B$9,Paramètres!$A$1:$I$89,3,0)*0.475*44/12</f>
        <v>7.4269340526825047</v>
      </c>
      <c r="AB166" s="21">
        <f>EXP(-LN(2)/2)*AB165+(1-EXP(-LN(2)/2))/(LN(2)/2)*V166*Y166*VLOOKUP('Données projet'!$B$9,Paramètres!$A$1:$I$89,3,0)*0.475*44/12</f>
        <v>3.2446088965128259E-8</v>
      </c>
      <c r="AC166" s="22">
        <f t="shared" si="163"/>
        <v>77.853234650627641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373.47758082856359</v>
      </c>
      <c r="AO166" s="59">
        <f t="shared" si="144"/>
        <v>277.24895424120166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37.138814485026877</v>
      </c>
      <c r="AV166" s="21">
        <f>EXP(-LN(2)/25)*AV165+(1-EXP(-LN(2)/25))/(LN(2)/25)*Calculateur!AQ166*Calculateur!AS166*VLOOKUP('Données projet'!$B$10,Paramètres!$A$1:$I$89,3,0)*0.475*44/12</f>
        <v>3.6002933691551826</v>
      </c>
      <c r="AW166" s="21">
        <f>EXP(-LN(2)/2)*AW165+(1-EXP(-LN(2)/2))/(LN(2)/2)*AQ166*AT166*VLOOKUP('Données projet'!$B$10,Paramètres!$A$1:$I$89,3,0)*0.475*44/12</f>
        <v>1.0251945528477885E-11</v>
      </c>
      <c r="AX166" s="21">
        <f t="shared" si="166"/>
        <v>40.739107854192312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-6.8212102632969618E-13</v>
      </c>
      <c r="BE166" s="13">
        <f>BD166*VLOOKUP('Données projet'!$B$11,Paramètres!$A$1:$I$89,3,0)*VLOOKUP('Données projet'!$B$11,Paramètres!$A$1:$I$89,5,0)</f>
        <v>-4.0790837374515837E-13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460.88622650237176</v>
      </c>
      <c r="BJ166" s="59">
        <f t="shared" si="146"/>
        <v>396.05161661639647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43.400853411247269</v>
      </c>
      <c r="BQ166" s="21">
        <f>EXP(-LN(2)/25)*BQ165+(1-EXP(-LN(2)/25))/(LN(2)/25)*Calculateur!BL166*Calculateur!BN166*VLOOKUP('Données projet'!$B$11,Paramètres!$A$1:$I$89,3,0)*0.475*44/12</f>
        <v>3.9470685316314396</v>
      </c>
      <c r="BR166" s="21">
        <f>EXP(-LN(2)/2)*BR165+(1-EXP(-LN(2)/2))/(LN(2)/2)*BL166*BO166*VLOOKUP('Données projet'!$B$11,Paramètres!$A$1:$I$89,3,0)*0.475*44/12</f>
        <v>3.3099634679177117E-12</v>
      </c>
      <c r="BS166" s="22">
        <f t="shared" si="169"/>
        <v>47.347921942882017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-5.1727511163335289E-14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341.60063595566282</v>
      </c>
      <c r="CE166" s="59">
        <f t="shared" si="148"/>
        <v>317.05609766344219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35.620466598345473</v>
      </c>
      <c r="CL166" s="21">
        <f>EXP(-LN(2)/25)*CL165+(1-EXP(-LN(2)/25))/(LN(2)/25)*Calculateur!CG166*Calculateur!CI166*VLOOKUP('Données projet'!$B$12,Paramètres!$A$1:$I$89,3,0)*0.475*44/12</f>
        <v>3.6659920769192955</v>
      </c>
      <c r="CM166" s="21">
        <f>EXP(-LN(2)/2)*CM165+(1-EXP(-LN(2)/2))/(LN(2)/2)*CG166*CJ166*VLOOKUP('Données projet'!$B$12,Paramètres!$A$1:$I$89,3,0)*0.475*44/12</f>
        <v>2.7973303996876269E-13</v>
      </c>
      <c r="CN166" s="22">
        <f t="shared" si="172"/>
        <v>39.286458675265045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8.5265128291212022E-14</v>
      </c>
      <c r="CU166" s="17">
        <f>CT166*VLOOKUP('Données projet'!$B$13,Paramètres!$A$1:$I$89,3,0)*VLOOKUP('Données projet'!$B$13,Paramètres!$A$1:$I$89,5,0)</f>
        <v>8.9119112089974823E-14</v>
      </c>
      <c r="CV166" s="13">
        <f t="shared" si="173"/>
        <v>1.3568952080113142E-12</v>
      </c>
      <c r="CW166" s="20">
        <f t="shared" si="174"/>
        <v>2.5184749408430782E-12</v>
      </c>
      <c r="CX166" s="59">
        <f t="shared" si="122"/>
        <v>288.04417668715473</v>
      </c>
      <c r="CY166" s="59">
        <f ca="1">AVERAGE(OFFSET($CX$3,0,0,'Données projet'!$E$13+1,1))-AVERAGE(OFFSET($H$3,0,0,'Données projet'!$E$13+1,1))</f>
        <v>287.73449456153207</v>
      </c>
      <c r="CZ166" s="59">
        <f t="shared" si="150"/>
        <v>296.74833899433281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18.894559936194653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18.894559936194653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-1.8474111129762605E-13</v>
      </c>
      <c r="DP166" s="17">
        <f>DO166*VLOOKUP('Données projet'!$B$14,Paramètres!$A$1:$I$89,3,0)*VLOOKUP('Données projet'!$B$14,Paramètres!$A$1:$I$89,5,0)</f>
        <v>-1.8732748685579284E-13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532.34688562681413</v>
      </c>
      <c r="DU166" s="59">
        <f t="shared" si="152"/>
        <v>345.42627129678556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182.12887372894895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182.12887372894895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-5.1431925385259088E-14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256.20286603823035</v>
      </c>
      <c r="EP166" s="59">
        <f t="shared" si="154"/>
        <v>364.83827155069434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4.8648006311099854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4.8648006311099854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-1.8474111129762605E-13</v>
      </c>
      <c r="FF166" s="17">
        <f>FE166*VLOOKUP('Données projet'!$B$16,Paramètres!$A$1:$I$89,3,0)*VLOOKUP('Données projet'!$B$16,Paramètres!$A$1:$I$89,5,0)</f>
        <v>-1.2392433745844755E-13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380.73695370216979</v>
      </c>
      <c r="FK166" s="59">
        <f t="shared" si="156"/>
        <v>249.34467160415713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148.50508165591219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148.50508165591219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-1.8474111129762605E-13</v>
      </c>
      <c r="GA166" s="17">
        <f>FZ166*VLOOKUP('Données projet'!$B$17,Paramètres!$A$1:$I$89,3,0)*VLOOKUP('Données projet'!$B$17,Paramètres!$A$1:$I$89,5,0)</f>
        <v>-1.7868160284706392E-13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511.7458522930001</v>
      </c>
      <c r="GF166" s="59">
        <f t="shared" si="158"/>
        <v>332.37317679966122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173.72292571068968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173.72292571068968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-1.7053025658242404E-13</v>
      </c>
      <c r="GV166" s="17">
        <f>GU166*VLOOKUP('Données projet'!$B$18,Paramètres!$A$1:$I$89,3,0)*VLOOKUP('Données projet'!$B$18,Paramètres!$A$1:$I$89,5,0)</f>
        <v>-1.4897523215040567E-13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348.77506423101278</v>
      </c>
      <c r="HA166" s="59">
        <f t="shared" si="160"/>
        <v>336.13747591329548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25.81844555209307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25.81844555209307</v>
      </c>
    </row>
    <row r="167" spans="1:218" x14ac:dyDescent="0.2">
      <c r="A167" s="10">
        <f t="shared" si="161"/>
        <v>164</v>
      </c>
      <c r="B167" s="71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5">
        <f t="shared" si="110"/>
        <v>183.33333333333334</v>
      </c>
      <c r="I167" s="6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-2.1282176021486519E-13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387.50901594883317</v>
      </c>
      <c r="T167" s="59">
        <f t="shared" si="142"/>
        <v>361.3623790401972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69.04528376721143</v>
      </c>
      <c r="AA167" s="21">
        <f>EXP(-LN(2)/25)*AA166+(1-EXP(-LN(2)/25))/(LN(2)/25)*Calculateur!V167*Calculateur!X167*VLOOKUP('Données projet'!$B$9,Paramètres!$A$1:$I$89,3,0)*0.475*44/12</f>
        <v>7.2238441504464141</v>
      </c>
      <c r="AB167" s="21">
        <f>EXP(-LN(2)/2)*AB166+(1-EXP(-LN(2)/2))/(LN(2)/2)*V167*Y167*VLOOKUP('Données projet'!$B$9,Paramètres!$A$1:$I$89,3,0)*0.475*44/12</f>
        <v>2.2942849530224203E-8</v>
      </c>
      <c r="AC167" s="22">
        <f t="shared" si="163"/>
        <v>76.269127940600697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373.47758082856359</v>
      </c>
      <c r="AO167" s="59">
        <f t="shared" si="144"/>
        <v>277.24895424120166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36.410544985415591</v>
      </c>
      <c r="AV167" s="21">
        <f>EXP(-LN(2)/25)*AV166+(1-EXP(-LN(2)/25))/(LN(2)/25)*Calculateur!AQ167*Calculateur!AS167*VLOOKUP('Données projet'!$B$10,Paramètres!$A$1:$I$89,3,0)*0.475*44/12</f>
        <v>3.5018431576444344</v>
      </c>
      <c r="AW167" s="21">
        <f>EXP(-LN(2)/2)*AW166+(1-EXP(-LN(2)/2))/(LN(2)/2)*AQ167*AT167*VLOOKUP('Données projet'!$B$10,Paramètres!$A$1:$I$89,3,0)*0.475*44/12</f>
        <v>7.2492202035418167E-12</v>
      </c>
      <c r="AX167" s="21">
        <f t="shared" si="166"/>
        <v>39.912388143067275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-6.8212102632969618E-13</v>
      </c>
      <c r="BE167" s="13">
        <f>BD167*VLOOKUP('Données projet'!$B$11,Paramètres!$A$1:$I$89,3,0)*VLOOKUP('Données projet'!$B$11,Paramètres!$A$1:$I$89,5,0)</f>
        <v>-4.0790837374515837E-13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460.88622650237176</v>
      </c>
      <c r="BJ167" s="59">
        <f t="shared" si="146"/>
        <v>396.05161661639647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42.549789147759405</v>
      </c>
      <c r="BQ167" s="21">
        <f>EXP(-LN(2)/25)*BQ166+(1-EXP(-LN(2)/25))/(LN(2)/25)*Calculateur!BL167*Calculateur!BN167*VLOOKUP('Données projet'!$B$11,Paramètres!$A$1:$I$89,3,0)*0.475*44/12</f>
        <v>3.8391357350666651</v>
      </c>
      <c r="BR167" s="21">
        <f>EXP(-LN(2)/2)*BR166+(1-EXP(-LN(2)/2))/(LN(2)/2)*BL167*BO167*VLOOKUP('Données projet'!$B$11,Paramètres!$A$1:$I$89,3,0)*0.475*44/12</f>
        <v>2.3404976136443553E-12</v>
      </c>
      <c r="BS167" s="22">
        <f t="shared" si="169"/>
        <v>46.388924882828405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-5.1727511163335289E-14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341.60063595566282</v>
      </c>
      <c r="CE167" s="59">
        <f t="shared" si="148"/>
        <v>317.05609766344219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34.921970974691249</v>
      </c>
      <c r="CL167" s="21">
        <f>EXP(-LN(2)/25)*CL166+(1-EXP(-LN(2)/25))/(LN(2)/25)*Calculateur!CG167*Calculateur!CI167*VLOOKUP('Données projet'!$B$12,Paramètres!$A$1:$I$89,3,0)*0.475*44/12</f>
        <v>3.5657453307897926</v>
      </c>
      <c r="CM167" s="21">
        <f>EXP(-LN(2)/2)*CM166+(1-EXP(-LN(2)/2))/(LN(2)/2)*CG167*CJ167*VLOOKUP('Données projet'!$B$12,Paramètres!$A$1:$I$89,3,0)*0.475*44/12</f>
        <v>1.9780112948383964E-13</v>
      </c>
      <c r="CN167" s="22">
        <f t="shared" si="172"/>
        <v>38.487716305481243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8.5265128291212022E-14</v>
      </c>
      <c r="CU167" s="17">
        <f>CT167*VLOOKUP('Données projet'!$B$13,Paramètres!$A$1:$I$89,3,0)*VLOOKUP('Données projet'!$B$13,Paramètres!$A$1:$I$89,5,0)</f>
        <v>8.9119112089974823E-14</v>
      </c>
      <c r="CV167" s="13">
        <f t="shared" si="173"/>
        <v>1.3568952080113142E-12</v>
      </c>
      <c r="CW167" s="20">
        <f t="shared" si="174"/>
        <v>2.5184749408430782E-12</v>
      </c>
      <c r="CX167" s="59">
        <f t="shared" si="122"/>
        <v>288.13593173018319</v>
      </c>
      <c r="CY167" s="59">
        <f ca="1">AVERAGE(OFFSET($CX$3,0,0,'Données projet'!$E$13+1,1))-AVERAGE(OFFSET($H$3,0,0,'Données projet'!$E$13+1,1))</f>
        <v>287.73449456153207</v>
      </c>
      <c r="CZ167" s="59">
        <f t="shared" si="150"/>
        <v>296.74833899433281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18.524049140389483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18.524049140389483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-1.8474111129762605E-13</v>
      </c>
      <c r="DP167" s="17">
        <f>DO167*VLOOKUP('Données projet'!$B$14,Paramètres!$A$1:$I$89,3,0)*VLOOKUP('Données projet'!$B$14,Paramètres!$A$1:$I$89,5,0)</f>
        <v>-1.8732748685579284E-13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532.34688562681413</v>
      </c>
      <c r="DU167" s="59">
        <f t="shared" si="152"/>
        <v>345.42627129678556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178.55743760276823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178.55743760276823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-5.1431925385259088E-14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256.20286603823035</v>
      </c>
      <c r="EP167" s="59">
        <f t="shared" si="154"/>
        <v>364.83827155069434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4.7694048579693131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4.7694048579693131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-1.8474111129762605E-13</v>
      </c>
      <c r="FF167" s="17">
        <f>FE167*VLOOKUP('Données projet'!$B$16,Paramètres!$A$1:$I$89,3,0)*VLOOKUP('Données projet'!$B$16,Paramètres!$A$1:$I$89,5,0)</f>
        <v>-1.2392433745844755E-13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380.73695370216979</v>
      </c>
      <c r="FK167" s="59">
        <f t="shared" si="156"/>
        <v>249.34467160415713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145.5929875837956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145.5929875837956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-1.8474111129762605E-13</v>
      </c>
      <c r="GA167" s="17">
        <f>FZ167*VLOOKUP('Données projet'!$B$17,Paramètres!$A$1:$I$89,3,0)*VLOOKUP('Données projet'!$B$17,Paramètres!$A$1:$I$89,5,0)</f>
        <v>-1.7868160284706392E-13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511.7458522930001</v>
      </c>
      <c r="GF167" s="59">
        <f t="shared" si="158"/>
        <v>332.37317679966122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170.316325098025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170.316325098025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-1.7053025658242404E-13</v>
      </c>
      <c r="GV167" s="17">
        <f>GU167*VLOOKUP('Données projet'!$B$18,Paramètres!$A$1:$I$89,3,0)*VLOOKUP('Données projet'!$B$18,Paramètres!$A$1:$I$89,5,0)</f>
        <v>-1.4897523215040567E-13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348.77506423101278</v>
      </c>
      <c r="HA167" s="59">
        <f t="shared" si="160"/>
        <v>336.13747591329548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25.312161582513355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25.312161582513355</v>
      </c>
    </row>
    <row r="168" spans="1:218" x14ac:dyDescent="0.2">
      <c r="A168" s="10">
        <f t="shared" si="161"/>
        <v>165</v>
      </c>
      <c r="B168" s="71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5">
        <f t="shared" si="110"/>
        <v>183.33333333333334</v>
      </c>
      <c r="I168" s="6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-2.1282176021486519E-13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387.50901594883317</v>
      </c>
      <c r="T168" s="59">
        <f t="shared" si="142"/>
        <v>361.3623790401972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67.691347866001152</v>
      </c>
      <c r="AA168" s="21">
        <f>EXP(-LN(2)/25)*AA167+(1-EXP(-LN(2)/25))/(LN(2)/25)*Calculateur!V168*Calculateur!X168*VLOOKUP('Données projet'!$B$9,Paramètres!$A$1:$I$89,3,0)*0.475*44/12</f>
        <v>7.0263077522670034</v>
      </c>
      <c r="AB168" s="21">
        <f>EXP(-LN(2)/2)*AB167+(1-EXP(-LN(2)/2))/(LN(2)/2)*V168*Y168*VLOOKUP('Données projet'!$B$9,Paramètres!$A$1:$I$89,3,0)*0.475*44/12</f>
        <v>1.622304448256413E-8</v>
      </c>
      <c r="AC168" s="22">
        <f t="shared" si="163"/>
        <v>74.717655634491194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373.47758082856359</v>
      </c>
      <c r="AO168" s="59">
        <f t="shared" si="144"/>
        <v>277.24895424120166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35.696556406491148</v>
      </c>
      <c r="AV168" s="21">
        <f>EXP(-LN(2)/25)*AV167+(1-EXP(-LN(2)/25))/(LN(2)/25)*Calculateur!AQ168*Calculateur!AS168*VLOOKUP('Données projet'!$B$10,Paramètres!$A$1:$I$89,3,0)*0.475*44/12</f>
        <v>3.4060850723447191</v>
      </c>
      <c r="AW168" s="21">
        <f>EXP(-LN(2)/2)*AW167+(1-EXP(-LN(2)/2))/(LN(2)/2)*AQ168*AT168*VLOOKUP('Données projet'!$B$10,Paramètres!$A$1:$I$89,3,0)*0.475*44/12</f>
        <v>5.1259727642389435E-12</v>
      </c>
      <c r="AX168" s="21">
        <f t="shared" si="166"/>
        <v>39.102641478840987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-6.8212102632969618E-13</v>
      </c>
      <c r="BE168" s="13">
        <f>BD168*VLOOKUP('Données projet'!$B$11,Paramètres!$A$1:$I$89,3,0)*VLOOKUP('Données projet'!$B$11,Paramètres!$A$1:$I$89,5,0)</f>
        <v>-4.0790837374515837E-13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460.88622650237176</v>
      </c>
      <c r="BJ168" s="59">
        <f t="shared" si="146"/>
        <v>396.05161661639647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41.715413735380594</v>
      </c>
      <c r="BQ168" s="21">
        <f>EXP(-LN(2)/25)*BQ167+(1-EXP(-LN(2)/25))/(LN(2)/25)*Calculateur!BL168*Calculateur!BN168*VLOOKUP('Données projet'!$B$11,Paramètres!$A$1:$I$89,3,0)*0.475*44/12</f>
        <v>3.7341543664998933</v>
      </c>
      <c r="BR168" s="21">
        <f>EXP(-LN(2)/2)*BR167+(1-EXP(-LN(2)/2))/(LN(2)/2)*BL168*BO168*VLOOKUP('Données projet'!$B$11,Paramètres!$A$1:$I$89,3,0)*0.475*44/12</f>
        <v>1.6549817339588558E-12</v>
      </c>
      <c r="BS168" s="22">
        <f t="shared" si="169"/>
        <v>45.449568101882143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-5.1727511163335289E-14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341.60063595566282</v>
      </c>
      <c r="CE168" s="59">
        <f t="shared" si="148"/>
        <v>317.05609766344219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34.23717242417662</v>
      </c>
      <c r="CL168" s="21">
        <f>EXP(-LN(2)/25)*CL167+(1-EXP(-LN(2)/25))/(LN(2)/25)*Calculateur!CG168*Calculateur!CI168*VLOOKUP('Données projet'!$B$12,Paramètres!$A$1:$I$89,3,0)*0.475*44/12</f>
        <v>3.4682398372049486</v>
      </c>
      <c r="CM168" s="21">
        <f>EXP(-LN(2)/2)*CM167+(1-EXP(-LN(2)/2))/(LN(2)/2)*CG168*CJ168*VLOOKUP('Données projet'!$B$12,Paramètres!$A$1:$I$89,3,0)*0.475*44/12</f>
        <v>1.3986651998438135E-13</v>
      </c>
      <c r="CN168" s="22">
        <f t="shared" si="172"/>
        <v>37.70541226138171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8.5265128291212022E-14</v>
      </c>
      <c r="CU168" s="17">
        <f>CT168*VLOOKUP('Données projet'!$B$13,Paramètres!$A$1:$I$89,3,0)*VLOOKUP('Données projet'!$B$13,Paramètres!$A$1:$I$89,5,0)</f>
        <v>8.9119112089974823E-14</v>
      </c>
      <c r="CV168" s="13">
        <f t="shared" si="173"/>
        <v>1.3568952080113142E-12</v>
      </c>
      <c r="CW168" s="20">
        <f t="shared" si="174"/>
        <v>2.5184749408430782E-12</v>
      </c>
      <c r="CX168" s="59">
        <f t="shared" si="122"/>
        <v>288.22609502834865</v>
      </c>
      <c r="CY168" s="59">
        <f ca="1">AVERAGE(OFFSET($CX$3,0,0,'Données projet'!$E$13+1,1))-AVERAGE(OFFSET($H$3,0,0,'Données projet'!$E$13+1,1))</f>
        <v>287.73449456153207</v>
      </c>
      <c r="CZ168" s="59">
        <f t="shared" si="150"/>
        <v>296.74833899433281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18.160803835300783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18.160803835300783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-1.8474111129762605E-13</v>
      </c>
      <c r="DP168" s="17">
        <f>DO168*VLOOKUP('Données projet'!$B$14,Paramètres!$A$1:$I$89,3,0)*VLOOKUP('Données projet'!$B$14,Paramètres!$A$1:$I$89,5,0)</f>
        <v>-1.8732748685579284E-13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532.34688562681413</v>
      </c>
      <c r="DU168" s="59">
        <f t="shared" si="152"/>
        <v>345.42627129678556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175.056035160661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175.056035160661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-5.1431925385259088E-14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256.20286603823035</v>
      </c>
      <c r="EP168" s="59">
        <f t="shared" si="154"/>
        <v>364.83827155069434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4.6758797377542534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4.6758797377542534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-1.8474111129762605E-13</v>
      </c>
      <c r="FF168" s="17">
        <f>FE168*VLOOKUP('Données projet'!$B$16,Paramètres!$A$1:$I$89,3,0)*VLOOKUP('Données projet'!$B$16,Paramètres!$A$1:$I$89,5,0)</f>
        <v>-1.2392433745844755E-13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380.73695370216979</v>
      </c>
      <c r="FK168" s="59">
        <f t="shared" si="156"/>
        <v>249.34467160415713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142.73799790023125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142.73799790023125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-1.8474111129762605E-13</v>
      </c>
      <c r="GA168" s="17">
        <f>FZ168*VLOOKUP('Données projet'!$B$17,Paramètres!$A$1:$I$89,3,0)*VLOOKUP('Données projet'!$B$17,Paramètres!$A$1:$I$89,5,0)</f>
        <v>-1.7868160284706392E-13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511.7458522930001</v>
      </c>
      <c r="GF168" s="59">
        <f t="shared" si="158"/>
        <v>332.37317679966122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166.97652584555348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166.97652584555348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-1.7053025658242404E-13</v>
      </c>
      <c r="GV168" s="17">
        <f>GU168*VLOOKUP('Données projet'!$B$18,Paramètres!$A$1:$I$89,3,0)*VLOOKUP('Données projet'!$B$18,Paramètres!$A$1:$I$89,5,0)</f>
        <v>-1.4897523215040567E-13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348.77506423101278</v>
      </c>
      <c r="HA168" s="59">
        <f t="shared" si="160"/>
        <v>336.13747591329548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24.81580553277437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24.81580553277437</v>
      </c>
    </row>
    <row r="169" spans="1:218" x14ac:dyDescent="0.2">
      <c r="A169" s="10">
        <f t="shared" si="161"/>
        <v>166</v>
      </c>
      <c r="B169" s="71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5">
        <f t="shared" si="110"/>
        <v>183.33333333333334</v>
      </c>
      <c r="I169" s="6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-2.1282176021486519E-13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387.50901594883317</v>
      </c>
      <c r="T169" s="59">
        <f t="shared" si="142"/>
        <v>361.3623790401972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66.363961821994252</v>
      </c>
      <c r="AA169" s="21">
        <f>EXP(-LN(2)/25)*AA168+(1-EXP(-LN(2)/25))/(LN(2)/25)*Calculateur!V169*Calculateur!X169*VLOOKUP('Données projet'!$B$9,Paramètres!$A$1:$I$89,3,0)*0.475*44/12</f>
        <v>6.8341729972837966</v>
      </c>
      <c r="AB169" s="21">
        <f>EXP(-LN(2)/2)*AB168+(1-EXP(-LN(2)/2))/(LN(2)/2)*V169*Y169*VLOOKUP('Données projet'!$B$9,Paramètres!$A$1:$I$89,3,0)*0.475*44/12</f>
        <v>1.1471424765112101E-8</v>
      </c>
      <c r="AC169" s="22">
        <f t="shared" si="163"/>
        <v>73.198134830749481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373.47758082856359</v>
      </c>
      <c r="AO169" s="59">
        <f t="shared" si="144"/>
        <v>277.24895424120166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34.996568708109386</v>
      </c>
      <c r="AV169" s="21">
        <f>EXP(-LN(2)/25)*AV168+(1-EXP(-LN(2)/25))/(LN(2)/25)*Calculateur!AQ169*Calculateur!AS169*VLOOKUP('Données projet'!$B$10,Paramètres!$A$1:$I$89,3,0)*0.475*44/12</f>
        <v>3.3129454969232235</v>
      </c>
      <c r="AW169" s="21">
        <f>EXP(-LN(2)/2)*AW168+(1-EXP(-LN(2)/2))/(LN(2)/2)*AQ169*AT169*VLOOKUP('Données projet'!$B$10,Paramètres!$A$1:$I$89,3,0)*0.475*44/12</f>
        <v>3.6246101017709092E-12</v>
      </c>
      <c r="AX169" s="21">
        <f t="shared" si="166"/>
        <v>38.309514205036237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-6.8212102632969618E-13</v>
      </c>
      <c r="BE169" s="13">
        <f>BD169*VLOOKUP('Données projet'!$B$11,Paramètres!$A$1:$I$89,3,0)*VLOOKUP('Données projet'!$B$11,Paramètres!$A$1:$I$89,5,0)</f>
        <v>-4.0790837374515837E-13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460.88622650237176</v>
      </c>
      <c r="BJ169" s="59">
        <f t="shared" si="146"/>
        <v>396.05161661639647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40.897399915919785</v>
      </c>
      <c r="BQ169" s="21">
        <f>EXP(-LN(2)/25)*BQ168+(1-EXP(-LN(2)/25))/(LN(2)/25)*Calculateur!BL169*Calculateur!BN169*VLOOKUP('Données projet'!$B$11,Paramètres!$A$1:$I$89,3,0)*0.475*44/12</f>
        <v>3.63204371897731</v>
      </c>
      <c r="BR169" s="21">
        <f>EXP(-LN(2)/2)*BR168+(1-EXP(-LN(2)/2))/(LN(2)/2)*BL169*BO169*VLOOKUP('Données projet'!$B$11,Paramètres!$A$1:$I$89,3,0)*0.475*44/12</f>
        <v>1.1702488068221777E-12</v>
      </c>
      <c r="BS169" s="22">
        <f t="shared" si="169"/>
        <v>44.529443634898264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-5.1727511163335289E-14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341.60063595566282</v>
      </c>
      <c r="CE169" s="59">
        <f t="shared" si="148"/>
        <v>317.05609766344219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33.56580235555171</v>
      </c>
      <c r="CL169" s="21">
        <f>EXP(-LN(2)/25)*CL168+(1-EXP(-LN(2)/25))/(LN(2)/25)*Calculateur!CG169*Calculateur!CI169*VLOOKUP('Données projet'!$B$12,Paramètres!$A$1:$I$89,3,0)*0.475*44/12</f>
        <v>3.3734006364697731</v>
      </c>
      <c r="CM169" s="21">
        <f>EXP(-LN(2)/2)*CM168+(1-EXP(-LN(2)/2))/(LN(2)/2)*CG169*CJ169*VLOOKUP('Données projet'!$B$12,Paramètres!$A$1:$I$89,3,0)*0.475*44/12</f>
        <v>9.8900564741919819E-14</v>
      </c>
      <c r="CN169" s="22">
        <f t="shared" si="172"/>
        <v>36.939202992021585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8.5265128291212022E-14</v>
      </c>
      <c r="CU169" s="17">
        <f>CT169*VLOOKUP('Données projet'!$B$13,Paramètres!$A$1:$I$89,3,0)*VLOOKUP('Données projet'!$B$13,Paramètres!$A$1:$I$89,5,0)</f>
        <v>8.9119112089974823E-14</v>
      </c>
      <c r="CV169" s="13">
        <f t="shared" si="173"/>
        <v>1.3568952080113142E-12</v>
      </c>
      <c r="CW169" s="20">
        <f t="shared" si="174"/>
        <v>2.5184749408430782E-12</v>
      </c>
      <c r="CX169" s="59">
        <f t="shared" si="122"/>
        <v>288.31469419486592</v>
      </c>
      <c r="CY169" s="59">
        <f ca="1">AVERAGE(OFFSET($CX$3,0,0,'Données projet'!$E$13+1,1))-AVERAGE(OFFSET($H$3,0,0,'Données projet'!$E$13+1,1))</f>
        <v>287.73449456153207</v>
      </c>
      <c r="CZ169" s="59">
        <f t="shared" si="150"/>
        <v>296.74833899433281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17.80468154908711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17.80468154908711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-1.8474111129762605E-13</v>
      </c>
      <c r="DP169" s="17">
        <f>DO169*VLOOKUP('Données projet'!$B$14,Paramètres!$A$1:$I$89,3,0)*VLOOKUP('Données projet'!$B$14,Paramètres!$A$1:$I$89,5,0)</f>
        <v>-1.8732748685579284E-13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532.34688562681413</v>
      </c>
      <c r="DU169" s="59">
        <f t="shared" si="152"/>
        <v>345.42627129678556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171.62329308479886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171.62329308479886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-5.1431925385259088E-14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256.20286603823035</v>
      </c>
      <c r="EP169" s="59">
        <f t="shared" si="154"/>
        <v>364.83827155069434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4.5841885881019202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4.5841885881019202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-1.8474111129762605E-13</v>
      </c>
      <c r="FF169" s="17">
        <f>FE169*VLOOKUP('Données projet'!$B$16,Paramètres!$A$1:$I$89,3,0)*VLOOKUP('Données projet'!$B$16,Paramètres!$A$1:$I$89,5,0)</f>
        <v>-1.2392433745844755E-13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380.73695370216979</v>
      </c>
      <c r="FK169" s="59">
        <f t="shared" si="156"/>
        <v>249.34467160415713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139.9389928229898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139.9389928229898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-1.8474111129762605E-13</v>
      </c>
      <c r="GA169" s="17">
        <f>FZ169*VLOOKUP('Données projet'!$B$17,Paramètres!$A$1:$I$89,3,0)*VLOOKUP('Données projet'!$B$17,Paramètres!$A$1:$I$89,5,0)</f>
        <v>-1.7868160284706392E-13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511.7458522930001</v>
      </c>
      <c r="GF169" s="59">
        <f t="shared" si="158"/>
        <v>332.37317679966122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163.70221801934653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163.70221801934653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-1.7053025658242404E-13</v>
      </c>
      <c r="GV169" s="17">
        <f>GU169*VLOOKUP('Données projet'!$B$18,Paramètres!$A$1:$I$89,3,0)*VLOOKUP('Données projet'!$B$18,Paramètres!$A$1:$I$89,5,0)</f>
        <v>-1.4897523215040567E-13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348.77506423101278</v>
      </c>
      <c r="HA169" s="59">
        <f t="shared" si="160"/>
        <v>336.13747591329548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24.329182722423468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24.329182722423468</v>
      </c>
    </row>
    <row r="170" spans="1:218" x14ac:dyDescent="0.2">
      <c r="A170" s="10">
        <f t="shared" si="161"/>
        <v>167</v>
      </c>
      <c r="B170" s="71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5">
        <f t="shared" si="110"/>
        <v>183.33333333333334</v>
      </c>
      <c r="I170" s="6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-2.1282176021486519E-13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387.50901594883317</v>
      </c>
      <c r="T170" s="59">
        <f t="shared" si="142"/>
        <v>361.3623790401972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65.062605008684784</v>
      </c>
      <c r="AA170" s="21">
        <f>EXP(-LN(2)/25)*AA169+(1-EXP(-LN(2)/25))/(LN(2)/25)*Calculateur!V170*Calculateur!X170*VLOOKUP('Données projet'!$B$9,Paramètres!$A$1:$I$89,3,0)*0.475*44/12</f>
        <v>6.6472921772795326</v>
      </c>
      <c r="AB170" s="21">
        <f>EXP(-LN(2)/2)*AB169+(1-EXP(-LN(2)/2))/(LN(2)/2)*V170*Y170*VLOOKUP('Données projet'!$B$9,Paramètres!$A$1:$I$89,3,0)*0.475*44/12</f>
        <v>8.1115222412820648E-9</v>
      </c>
      <c r="AC170" s="22">
        <f t="shared" si="163"/>
        <v>71.70989719407585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373.47758082856359</v>
      </c>
      <c r="AO170" s="59">
        <f t="shared" si="144"/>
        <v>277.24895424120166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34.310307341542547</v>
      </c>
      <c r="AV170" s="21">
        <f>EXP(-LN(2)/25)*AV169+(1-EXP(-LN(2)/25))/(LN(2)/25)*Calculateur!AQ170*Calculateur!AS170*VLOOKUP('Données projet'!$B$10,Paramètres!$A$1:$I$89,3,0)*0.475*44/12</f>
        <v>3.2223528280896261</v>
      </c>
      <c r="AW170" s="21">
        <f>EXP(-LN(2)/2)*AW169+(1-EXP(-LN(2)/2))/(LN(2)/2)*AQ170*AT170*VLOOKUP('Données projet'!$B$10,Paramètres!$A$1:$I$89,3,0)*0.475*44/12</f>
        <v>2.5629863821194721E-12</v>
      </c>
      <c r="AX170" s="21">
        <f t="shared" si="166"/>
        <v>37.532660169634738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-6.8212102632969618E-13</v>
      </c>
      <c r="BE170" s="13">
        <f>BD170*VLOOKUP('Données projet'!$B$11,Paramètres!$A$1:$I$89,3,0)*VLOOKUP('Données projet'!$B$11,Paramètres!$A$1:$I$89,5,0)</f>
        <v>-4.0790837374515837E-13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460.88622650237176</v>
      </c>
      <c r="BJ170" s="59">
        <f t="shared" si="146"/>
        <v>396.05161661639647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40.095426848519438</v>
      </c>
      <c r="BQ170" s="21">
        <f>EXP(-LN(2)/25)*BQ169+(1-EXP(-LN(2)/25))/(LN(2)/25)*Calculateur!BL170*Calculateur!BN170*VLOOKUP('Données projet'!$B$11,Paramètres!$A$1:$I$89,3,0)*0.475*44/12</f>
        <v>3.5327252924809973</v>
      </c>
      <c r="BR170" s="21">
        <f>EXP(-LN(2)/2)*BR169+(1-EXP(-LN(2)/2))/(LN(2)/2)*BL170*BO170*VLOOKUP('Données projet'!$B$11,Paramètres!$A$1:$I$89,3,0)*0.475*44/12</f>
        <v>8.2749086697942791E-13</v>
      </c>
      <c r="BS170" s="22">
        <f t="shared" si="169"/>
        <v>43.628152141001259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-5.1727511163335289E-14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341.60063595566282</v>
      </c>
      <c r="CE170" s="59">
        <f t="shared" si="148"/>
        <v>317.05609766344219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32.907597444477226</v>
      </c>
      <c r="CL170" s="21">
        <f>EXP(-LN(2)/25)*CL169+(1-EXP(-LN(2)/25))/(LN(2)/25)*Calculateur!CG170*Calculateur!CI170*VLOOKUP('Données projet'!$B$12,Paramètres!$A$1:$I$89,3,0)*0.475*44/12</f>
        <v>3.2811548186660775</v>
      </c>
      <c r="CM170" s="21">
        <f>EXP(-LN(2)/2)*CM169+(1-EXP(-LN(2)/2))/(LN(2)/2)*CG170*CJ170*VLOOKUP('Données projet'!$B$12,Paramètres!$A$1:$I$89,3,0)*0.475*44/12</f>
        <v>6.9933259992190673E-14</v>
      </c>
      <c r="CN170" s="22">
        <f t="shared" si="172"/>
        <v>36.188752263143371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8.5265128291212022E-14</v>
      </c>
      <c r="CU170" s="17">
        <f>CT170*VLOOKUP('Données projet'!$B$13,Paramètres!$A$1:$I$89,3,0)*VLOOKUP('Données projet'!$B$13,Paramètres!$A$1:$I$89,5,0)</f>
        <v>8.9119112089974823E-14</v>
      </c>
      <c r="CV170" s="13">
        <f t="shared" si="173"/>
        <v>1.3568952080113142E-12</v>
      </c>
      <c r="CW170" s="20">
        <f t="shared" si="174"/>
        <v>2.5184749408430782E-12</v>
      </c>
      <c r="CX170" s="59">
        <f t="shared" si="122"/>
        <v>288.40175636392212</v>
      </c>
      <c r="CY170" s="59">
        <f ca="1">AVERAGE(OFFSET($CX$3,0,0,'Données projet'!$E$13+1,1))-AVERAGE(OFFSET($H$3,0,0,'Données projet'!$E$13+1,1))</f>
        <v>287.73449456153207</v>
      </c>
      <c r="CZ170" s="59">
        <f t="shared" si="150"/>
        <v>296.74833899433281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17.455542603692944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17.455542603692944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-1.8474111129762605E-13</v>
      </c>
      <c r="DP170" s="17">
        <f>DO170*VLOOKUP('Données projet'!$B$14,Paramètres!$A$1:$I$89,3,0)*VLOOKUP('Données projet'!$B$14,Paramètres!$A$1:$I$89,5,0)</f>
        <v>-1.8732748685579284E-13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532.34688562681413</v>
      </c>
      <c r="DU170" s="59">
        <f t="shared" si="152"/>
        <v>345.42627129678556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168.25786498727845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168.25786498727845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-5.1431925385259088E-14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256.20286603823035</v>
      </c>
      <c r="EP170" s="59">
        <f t="shared" si="154"/>
        <v>364.83827155069434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4.4942954459681905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4.4942954459681905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-1.8474111129762605E-13</v>
      </c>
      <c r="FF170" s="17">
        <f>FE170*VLOOKUP('Données projet'!$B$16,Paramètres!$A$1:$I$89,3,0)*VLOOKUP('Données projet'!$B$16,Paramètres!$A$1:$I$89,5,0)</f>
        <v>-1.2392433745844755E-13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380.73695370216979</v>
      </c>
      <c r="FK170" s="59">
        <f t="shared" si="156"/>
        <v>249.34467160415713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137.19487452808855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137.19487452808855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-1.8474111129762605E-13</v>
      </c>
      <c r="GA170" s="17">
        <f>FZ170*VLOOKUP('Données projet'!$B$17,Paramètres!$A$1:$I$89,3,0)*VLOOKUP('Données projet'!$B$17,Paramètres!$A$1:$I$89,5,0)</f>
        <v>-1.7868160284706392E-13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511.7458522930001</v>
      </c>
      <c r="GF170" s="59">
        <f t="shared" si="158"/>
        <v>332.37317679966122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160.49211737248092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160.49211737248092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-1.7053025658242404E-13</v>
      </c>
      <c r="GV170" s="17">
        <f>GU170*VLOOKUP('Données projet'!$B$18,Paramètres!$A$1:$I$89,3,0)*VLOOKUP('Données projet'!$B$18,Paramètres!$A$1:$I$89,5,0)</f>
        <v>-1.4897523215040567E-13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348.77506423101278</v>
      </c>
      <c r="HA170" s="59">
        <f t="shared" si="160"/>
        <v>336.13747591329548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23.85210228857294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23.85210228857294</v>
      </c>
    </row>
    <row r="171" spans="1:218" x14ac:dyDescent="0.2">
      <c r="A171" s="10">
        <f t="shared" si="161"/>
        <v>168</v>
      </c>
      <c r="B171" s="71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5">
        <f t="shared" si="110"/>
        <v>183.33333333333334</v>
      </c>
      <c r="I171" s="6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-2.1282176021486519E-13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387.50901594883317</v>
      </c>
      <c r="T171" s="59">
        <f t="shared" si="142"/>
        <v>361.3623790401972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63.786767008735033</v>
      </c>
      <c r="AA171" s="21">
        <f>EXP(-LN(2)/25)*AA170+(1-EXP(-LN(2)/25))/(LN(2)/25)*Calculateur!V171*Calculateur!X171*VLOOKUP('Données projet'!$B$9,Paramètres!$A$1:$I$89,3,0)*0.475*44/12</f>
        <v>6.4655216231259205</v>
      </c>
      <c r="AB171" s="21">
        <f>EXP(-LN(2)/2)*AB170+(1-EXP(-LN(2)/2))/(LN(2)/2)*V171*Y171*VLOOKUP('Données projet'!$B$9,Paramètres!$A$1:$I$89,3,0)*0.475*44/12</f>
        <v>5.7357123825560506E-9</v>
      </c>
      <c r="AC171" s="22">
        <f t="shared" si="163"/>
        <v>70.252288637596664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373.47758082856359</v>
      </c>
      <c r="AO171" s="59">
        <f t="shared" si="144"/>
        <v>277.24895424120166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33.637503141795982</v>
      </c>
      <c r="AV171" s="21">
        <f>EXP(-LN(2)/25)*AV170+(1-EXP(-LN(2)/25))/(LN(2)/25)*Calculateur!AQ171*Calculateur!AS171*VLOOKUP('Données projet'!$B$10,Paramètres!$A$1:$I$89,3,0)*0.475*44/12</f>
        <v>3.1342374205493448</v>
      </c>
      <c r="AW171" s="21">
        <f>EXP(-LN(2)/2)*AW170+(1-EXP(-LN(2)/2))/(LN(2)/2)*AQ171*AT171*VLOOKUP('Données projet'!$B$10,Paramètres!$A$1:$I$89,3,0)*0.475*44/12</f>
        <v>1.8123050508854548E-12</v>
      </c>
      <c r="AX171" s="21">
        <f t="shared" si="166"/>
        <v>36.771740562347141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-6.8212102632969618E-13</v>
      </c>
      <c r="BE171" s="13">
        <f>BD171*VLOOKUP('Données projet'!$B$11,Paramètres!$A$1:$I$89,3,0)*VLOOKUP('Données projet'!$B$11,Paramètres!$A$1:$I$89,5,0)</f>
        <v>-4.0790837374515837E-13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460.88622650237176</v>
      </c>
      <c r="BJ171" s="59">
        <f t="shared" si="146"/>
        <v>396.05161661639647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39.30917998381554</v>
      </c>
      <c r="BQ171" s="21">
        <f>EXP(-LN(2)/25)*BQ170+(1-EXP(-LN(2)/25))/(LN(2)/25)*Calculateur!BL171*Calculateur!BN171*VLOOKUP('Données projet'!$B$11,Paramètres!$A$1:$I$89,3,0)*0.475*44/12</f>
        <v>3.4361227335801554</v>
      </c>
      <c r="BR171" s="21">
        <f>EXP(-LN(2)/2)*BR170+(1-EXP(-LN(2)/2))/(LN(2)/2)*BL171*BO171*VLOOKUP('Données projet'!$B$11,Paramètres!$A$1:$I$89,3,0)*0.475*44/12</f>
        <v>5.8512440341108883E-13</v>
      </c>
      <c r="BS171" s="22">
        <f t="shared" si="169"/>
        <v>42.745302717396278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-5.1727511163335289E-14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341.60063595566282</v>
      </c>
      <c r="CE171" s="59">
        <f t="shared" si="148"/>
        <v>317.05609766344219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32.26229953024356</v>
      </c>
      <c r="CL171" s="21">
        <f>EXP(-LN(2)/25)*CL170+(1-EXP(-LN(2)/25))/(LN(2)/25)*Calculateur!CG171*Calculateur!CI171*VLOOKUP('Données projet'!$B$12,Paramètres!$A$1:$I$89,3,0)*0.475*44/12</f>
        <v>3.191431467601221</v>
      </c>
      <c r="CM171" s="21">
        <f>EXP(-LN(2)/2)*CM170+(1-EXP(-LN(2)/2))/(LN(2)/2)*CG171*CJ171*VLOOKUP('Données projet'!$B$12,Paramètres!$A$1:$I$89,3,0)*0.475*44/12</f>
        <v>4.9450282370959909E-14</v>
      </c>
      <c r="CN171" s="22">
        <f t="shared" si="172"/>
        <v>35.453730997844829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8.5265128291212022E-14</v>
      </c>
      <c r="CU171" s="17">
        <f>CT171*VLOOKUP('Données projet'!$B$13,Paramètres!$A$1:$I$89,3,0)*VLOOKUP('Données projet'!$B$13,Paramètres!$A$1:$I$89,5,0)</f>
        <v>8.9119112089974823E-14</v>
      </c>
      <c r="CV171" s="13">
        <f t="shared" si="173"/>
        <v>1.3568952080113142E-12</v>
      </c>
      <c r="CW171" s="20">
        <f t="shared" si="174"/>
        <v>2.5184749408430782E-12</v>
      </c>
      <c r="CX171" s="59">
        <f t="shared" si="122"/>
        <v>288.48730819898702</v>
      </c>
      <c r="CY171" s="59">
        <f ca="1">AVERAGE(OFFSET($CX$3,0,0,'Données projet'!$E$13+1,1))-AVERAGE(OFFSET($H$3,0,0,'Données projet'!$E$13+1,1))</f>
        <v>287.73449456153207</v>
      </c>
      <c r="CZ171" s="59">
        <f t="shared" si="150"/>
        <v>296.74833899433281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17.113250060064228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17.113250060064228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-1.8474111129762605E-13</v>
      </c>
      <c r="DP171" s="17">
        <f>DO171*VLOOKUP('Données projet'!$B$14,Paramètres!$A$1:$I$89,3,0)*VLOOKUP('Données projet'!$B$14,Paramètres!$A$1:$I$89,5,0)</f>
        <v>-1.8732748685579284E-13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532.34688562681413</v>
      </c>
      <c r="DU171" s="59">
        <f t="shared" si="152"/>
        <v>345.42627129678556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164.95843088204197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164.95843088204197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-5.1431925385259088E-14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256.20286603823035</v>
      </c>
      <c r="EP171" s="59">
        <f t="shared" si="154"/>
        <v>364.83827155069434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4.4061650535223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4.4061650535223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-1.8474111129762605E-13</v>
      </c>
      <c r="FF171" s="17">
        <f>FE171*VLOOKUP('Données projet'!$B$16,Paramètres!$A$1:$I$89,3,0)*VLOOKUP('Données projet'!$B$16,Paramètres!$A$1:$I$89,5,0)</f>
        <v>-1.2392433745844755E-13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380.73695370216979</v>
      </c>
      <c r="FK171" s="59">
        <f t="shared" si="156"/>
        <v>249.34467160415713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134.50456671920341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134.50456671920341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-1.8474111129762605E-13</v>
      </c>
      <c r="GA171" s="17">
        <f>FZ171*VLOOKUP('Données projet'!$B$17,Paramètres!$A$1:$I$89,3,0)*VLOOKUP('Données projet'!$B$17,Paramètres!$A$1:$I$89,5,0)</f>
        <v>-1.7868160284706392E-13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511.7458522930001</v>
      </c>
      <c r="GF171" s="59">
        <f t="shared" si="158"/>
        <v>332.37317679966122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157.34496484133228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157.34496484133228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-1.7053025658242404E-13</v>
      </c>
      <c r="GV171" s="17">
        <f>GU171*VLOOKUP('Données projet'!$B$18,Paramètres!$A$1:$I$89,3,0)*VLOOKUP('Données projet'!$B$18,Paramètres!$A$1:$I$89,5,0)</f>
        <v>-1.4897523215040567E-13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348.77506423101278</v>
      </c>
      <c r="HA171" s="59">
        <f t="shared" si="160"/>
        <v>336.13747591329548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23.384377111039893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23.384377111039893</v>
      </c>
    </row>
    <row r="172" spans="1:218" x14ac:dyDescent="0.2">
      <c r="A172" s="10">
        <f t="shared" si="161"/>
        <v>169</v>
      </c>
      <c r="B172" s="71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5">
        <f t="shared" si="110"/>
        <v>183.33333333333334</v>
      </c>
      <c r="I172" s="6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-2.1282176021486519E-13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387.50901594883317</v>
      </c>
      <c r="T172" s="59">
        <f t="shared" si="142"/>
        <v>361.3623790401972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62.535947413779958</v>
      </c>
      <c r="AA172" s="21">
        <f>EXP(-LN(2)/25)*AA171+(1-EXP(-LN(2)/25))/(LN(2)/25)*Calculateur!V172*Calculateur!X172*VLOOKUP('Données projet'!$B$9,Paramètres!$A$1:$I$89,3,0)*0.475*44/12</f>
        <v>6.2887215943345369</v>
      </c>
      <c r="AB172" s="21">
        <f>EXP(-LN(2)/2)*AB171+(1-EXP(-LN(2)/2))/(LN(2)/2)*V172*Y172*VLOOKUP('Données projet'!$B$9,Paramètres!$A$1:$I$89,3,0)*0.475*44/12</f>
        <v>4.0557611206410324E-9</v>
      </c>
      <c r="AC172" s="22">
        <f t="shared" si="163"/>
        <v>68.824669012170261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373.47758082856359</v>
      </c>
      <c r="AO172" s="59">
        <f t="shared" si="144"/>
        <v>277.24895424120166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32.977892222036409</v>
      </c>
      <c r="AV172" s="21">
        <f>EXP(-LN(2)/25)*AV171+(1-EXP(-LN(2)/25))/(LN(2)/25)*Calculateur!AQ172*Calculateur!AS172*VLOOKUP('Données projet'!$B$10,Paramètres!$A$1:$I$89,3,0)*0.475*44/12</f>
        <v>3.0485315334620404</v>
      </c>
      <c r="AW172" s="21">
        <f>EXP(-LN(2)/2)*AW171+(1-EXP(-LN(2)/2))/(LN(2)/2)*AQ172*AT172*VLOOKUP('Données projet'!$B$10,Paramètres!$A$1:$I$89,3,0)*0.475*44/12</f>
        <v>1.2814931910597363E-12</v>
      </c>
      <c r="AX172" s="21">
        <f t="shared" si="166"/>
        <v>36.026423755499728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-6.8212102632969618E-13</v>
      </c>
      <c r="BE172" s="13">
        <f>BD172*VLOOKUP('Données projet'!$B$11,Paramètres!$A$1:$I$89,3,0)*VLOOKUP('Données projet'!$B$11,Paramètres!$A$1:$I$89,5,0)</f>
        <v>-4.0790837374515837E-13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460.88622650237176</v>
      </c>
      <c r="BJ172" s="59">
        <f t="shared" si="146"/>
        <v>396.05161661639647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38.538350940565252</v>
      </c>
      <c r="BQ172" s="21">
        <f>EXP(-LN(2)/25)*BQ171+(1-EXP(-LN(2)/25))/(LN(2)/25)*Calculateur!BL172*Calculateur!BN172*VLOOKUP('Données projet'!$B$11,Paramètres!$A$1:$I$89,3,0)*0.475*44/12</f>
        <v>3.3421617767325649</v>
      </c>
      <c r="BR172" s="21">
        <f>EXP(-LN(2)/2)*BR171+(1-EXP(-LN(2)/2))/(LN(2)/2)*BL172*BO172*VLOOKUP('Données projet'!$B$11,Paramètres!$A$1:$I$89,3,0)*0.475*44/12</f>
        <v>4.1374543348971396E-13</v>
      </c>
      <c r="BS172" s="22">
        <f t="shared" si="169"/>
        <v>41.880512717298231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-5.1727511163335289E-14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341.60063595566282</v>
      </c>
      <c r="CE172" s="59">
        <f t="shared" si="148"/>
        <v>317.05609766344219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31.62965551451515</v>
      </c>
      <c r="CL172" s="21">
        <f>EXP(-LN(2)/25)*CL171+(1-EXP(-LN(2)/25))/(LN(2)/25)*Calculateur!CG172*Calculateur!CI172*VLOOKUP('Données projet'!$B$12,Paramètres!$A$1:$I$89,3,0)*0.475*44/12</f>
        <v>3.1041616062895789</v>
      </c>
      <c r="CM172" s="21">
        <f>EXP(-LN(2)/2)*CM171+(1-EXP(-LN(2)/2))/(LN(2)/2)*CG172*CJ172*VLOOKUP('Données projet'!$B$12,Paramètres!$A$1:$I$89,3,0)*0.475*44/12</f>
        <v>3.4966629996095336E-14</v>
      </c>
      <c r="CN172" s="22">
        <f t="shared" si="172"/>
        <v>34.733817120804765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8.5265128291212022E-14</v>
      </c>
      <c r="CU172" s="17">
        <f>CT172*VLOOKUP('Données projet'!$B$13,Paramètres!$A$1:$I$89,3,0)*VLOOKUP('Données projet'!$B$13,Paramètres!$A$1:$I$89,5,0)</f>
        <v>8.9119112089974823E-14</v>
      </c>
      <c r="CV172" s="13">
        <f t="shared" si="173"/>
        <v>1.3568952080113142E-12</v>
      </c>
      <c r="CW172" s="20">
        <f t="shared" si="174"/>
        <v>2.5184749408430782E-12</v>
      </c>
      <c r="CX172" s="59">
        <f t="shared" si="122"/>
        <v>288.57137590097892</v>
      </c>
      <c r="CY172" s="59">
        <f ca="1">AVERAGE(OFFSET($CX$3,0,0,'Données projet'!$E$13+1,1))-AVERAGE(OFFSET($H$3,0,0,'Données projet'!$E$13+1,1))</f>
        <v>287.73449456153207</v>
      </c>
      <c r="CZ172" s="59">
        <f t="shared" si="150"/>
        <v>296.74833899433281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16.777669664438232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16.777669664438232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-1.8474111129762605E-13</v>
      </c>
      <c r="DP172" s="17">
        <f>DO172*VLOOKUP('Données projet'!$B$14,Paramètres!$A$1:$I$89,3,0)*VLOOKUP('Données projet'!$B$14,Paramètres!$A$1:$I$89,5,0)</f>
        <v>-1.8732748685579284E-13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532.34688562681413</v>
      </c>
      <c r="DU172" s="59">
        <f t="shared" si="152"/>
        <v>345.42627129678556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161.72369666715309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161.72369666715309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-5.1431925385259088E-14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256.20286603823035</v>
      </c>
      <c r="EP172" s="59">
        <f t="shared" si="154"/>
        <v>364.83827155069434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4.319762844318042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4.319762844318042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-1.8474111129762605E-13</v>
      </c>
      <c r="FF172" s="17">
        <f>FE172*VLOOKUP('Données projet'!$B$16,Paramètres!$A$1:$I$89,3,0)*VLOOKUP('Données projet'!$B$16,Paramètres!$A$1:$I$89,5,0)</f>
        <v>-1.2392433745844755E-13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380.73695370216979</v>
      </c>
      <c r="FK172" s="59">
        <f t="shared" si="156"/>
        <v>249.34467160415713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131.86701420552478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131.86701420552478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-1.8474111129762605E-13</v>
      </c>
      <c r="GA172" s="17">
        <f>FZ172*VLOOKUP('Données projet'!$B$17,Paramètres!$A$1:$I$89,3,0)*VLOOKUP('Données projet'!$B$17,Paramètres!$A$1:$I$89,5,0)</f>
        <v>-1.7868160284706392E-13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511.7458522930001</v>
      </c>
      <c r="GF172" s="59">
        <f t="shared" si="158"/>
        <v>332.37317679966122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154.25952605174598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154.25952605174598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-1.7053025658242404E-13</v>
      </c>
      <c r="GV172" s="17">
        <f>GU172*VLOOKUP('Données projet'!$B$18,Paramètres!$A$1:$I$89,3,0)*VLOOKUP('Données projet'!$B$18,Paramètres!$A$1:$I$89,5,0)</f>
        <v>-1.4897523215040567E-13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348.77506423101278</v>
      </c>
      <c r="HA172" s="59">
        <f t="shared" si="160"/>
        <v>336.13747591329548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22.925823738954076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22.925823738954076</v>
      </c>
    </row>
    <row r="173" spans="1:218" x14ac:dyDescent="0.2">
      <c r="A173" s="10">
        <f t="shared" si="161"/>
        <v>170</v>
      </c>
      <c r="B173" s="71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5">
        <f t="shared" si="110"/>
        <v>183.33333333333334</v>
      </c>
      <c r="I173" s="6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-2.1282176021486519E-13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387.50901594883317</v>
      </c>
      <c r="T173" s="59">
        <f t="shared" si="142"/>
        <v>361.3623790401972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61.30965562815733</v>
      </c>
      <c r="AA173" s="21">
        <f>EXP(-LN(2)/25)*AA172+(1-EXP(-LN(2)/25))/(LN(2)/25)*Calculateur!V173*Calculateur!X173*VLOOKUP('Données projet'!$B$9,Paramètres!$A$1:$I$89,3,0)*0.475*44/12</f>
        <v>6.116756171627963</v>
      </c>
      <c r="AB173" s="21">
        <f>EXP(-LN(2)/2)*AB172+(1-EXP(-LN(2)/2))/(LN(2)/2)*V173*Y173*VLOOKUP('Données projet'!$B$9,Paramètres!$A$1:$I$89,3,0)*0.475*44/12</f>
        <v>2.8678561912780253E-9</v>
      </c>
      <c r="AC173" s="22">
        <f t="shared" si="163"/>
        <v>67.426411802653149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373.47758082856359</v>
      </c>
      <c r="AO173" s="59">
        <f t="shared" si="144"/>
        <v>277.24895424120166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32.331215870090389</v>
      </c>
      <c r="AV173" s="21">
        <f>EXP(-LN(2)/25)*AV172+(1-EXP(-LN(2)/25))/(LN(2)/25)*Calculateur!AQ173*Calculateur!AS173*VLOOKUP('Données projet'!$B$10,Paramètres!$A$1:$I$89,3,0)*0.475*44/12</f>
        <v>2.9651692783642152</v>
      </c>
      <c r="AW173" s="21">
        <f>EXP(-LN(2)/2)*AW172+(1-EXP(-LN(2)/2))/(LN(2)/2)*AQ173*AT173*VLOOKUP('Données projet'!$B$10,Paramètres!$A$1:$I$89,3,0)*0.475*44/12</f>
        <v>9.061525254427275E-13</v>
      </c>
      <c r="AX173" s="21">
        <f t="shared" si="166"/>
        <v>35.296385148455514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-6.8212102632969618E-13</v>
      </c>
      <c r="BE173" s="13">
        <f>BD173*VLOOKUP('Données projet'!$B$11,Paramètres!$A$1:$I$89,3,0)*VLOOKUP('Données projet'!$B$11,Paramètres!$A$1:$I$89,5,0)</f>
        <v>-4.0790837374515837E-13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460.88622650237176</v>
      </c>
      <c r="BJ173" s="59">
        <f t="shared" si="146"/>
        <v>396.05161661639647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37.782637384693807</v>
      </c>
      <c r="BQ173" s="21">
        <f>EXP(-LN(2)/25)*BQ172+(1-EXP(-LN(2)/25))/(LN(2)/25)*Calculateur!BL173*Calculateur!BN173*VLOOKUP('Données projet'!$B$11,Paramètres!$A$1:$I$89,3,0)*0.475*44/12</f>
        <v>3.2507701871911636</v>
      </c>
      <c r="BR173" s="21">
        <f>EXP(-LN(2)/2)*BR172+(1-EXP(-LN(2)/2))/(LN(2)/2)*BL173*BO173*VLOOKUP('Données projet'!$B$11,Paramètres!$A$1:$I$89,3,0)*0.475*44/12</f>
        <v>2.9256220170554441E-13</v>
      </c>
      <c r="BS173" s="22">
        <f t="shared" si="169"/>
        <v>41.033407571885263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-5.1727511163335289E-14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341.60063595566282</v>
      </c>
      <c r="CE173" s="59">
        <f t="shared" si="148"/>
        <v>317.05609766344219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31.009417262060428</v>
      </c>
      <c r="CL173" s="21">
        <f>EXP(-LN(2)/25)*CL172+(1-EXP(-LN(2)/25))/(LN(2)/25)*Calculateur!CG173*Calculateur!CI173*VLOOKUP('Données projet'!$B$12,Paramètres!$A$1:$I$89,3,0)*0.475*44/12</f>
        <v>3.0192781439248262</v>
      </c>
      <c r="CM173" s="21">
        <f>EXP(-LN(2)/2)*CM172+(1-EXP(-LN(2)/2))/(LN(2)/2)*CG173*CJ173*VLOOKUP('Données projet'!$B$12,Paramètres!$A$1:$I$89,3,0)*0.475*44/12</f>
        <v>2.4725141185479955E-14</v>
      </c>
      <c r="CN173" s="22">
        <f t="shared" si="172"/>
        <v>34.028695405985275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8.5265128291212022E-14</v>
      </c>
      <c r="CU173" s="17">
        <f>CT173*VLOOKUP('Données projet'!$B$13,Paramètres!$A$1:$I$89,3,0)*VLOOKUP('Données projet'!$B$13,Paramètres!$A$1:$I$89,5,0)</f>
        <v>8.9119112089974823E-14</v>
      </c>
      <c r="CV173" s="13">
        <f t="shared" si="173"/>
        <v>1.3568952080113142E-12</v>
      </c>
      <c r="CW173" s="20">
        <f t="shared" si="174"/>
        <v>2.5184749408430782E-12</v>
      </c>
      <c r="CX173" s="59">
        <f t="shared" si="122"/>
        <v>288.65398521628839</v>
      </c>
      <c r="CY173" s="59">
        <f ca="1">AVERAGE(OFFSET($CX$3,0,0,'Données projet'!$E$13+1,1))-AVERAGE(OFFSET($H$3,0,0,'Données projet'!$E$13+1,1))</f>
        <v>287.73449456153207</v>
      </c>
      <c r="CZ173" s="59">
        <f t="shared" si="150"/>
        <v>296.74833899433281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16.448669795686634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16.448669795686634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-1.8474111129762605E-13</v>
      </c>
      <c r="DP173" s="17">
        <f>DO173*VLOOKUP('Données projet'!$B$14,Paramètres!$A$1:$I$89,3,0)*VLOOKUP('Données projet'!$B$14,Paramètres!$A$1:$I$89,5,0)</f>
        <v>-1.8732748685579284E-13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532.34688562681413</v>
      </c>
      <c r="DU173" s="59">
        <f t="shared" si="152"/>
        <v>345.42627129678556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158.55239361722514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158.55239361722514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-5.1431925385259088E-14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256.20286603823035</v>
      </c>
      <c r="EP173" s="59">
        <f t="shared" si="154"/>
        <v>364.83827155069434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4.235054929736136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4.235054929736136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-1.8474111129762605E-13</v>
      </c>
      <c r="FF173" s="17">
        <f>FE173*VLOOKUP('Données projet'!$B$16,Paramètres!$A$1:$I$89,3,0)*VLOOKUP('Données projet'!$B$16,Paramètres!$A$1:$I$89,5,0)</f>
        <v>-1.2392433745844755E-13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380.73695370216979</v>
      </c>
      <c r="FK173" s="59">
        <f t="shared" si="156"/>
        <v>249.34467160415713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129.28118248789121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129.28118248789121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-1.8474111129762605E-13</v>
      </c>
      <c r="GA173" s="17">
        <f>FZ173*VLOOKUP('Données projet'!$B$17,Paramètres!$A$1:$I$89,3,0)*VLOOKUP('Données projet'!$B$17,Paramètres!$A$1:$I$89,5,0)</f>
        <v>-1.7868160284706392E-13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511.7458522930001</v>
      </c>
      <c r="GF173" s="59">
        <f t="shared" si="158"/>
        <v>332.37317679966122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151.23459083489161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151.23459083489161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-1.7053025658242404E-13</v>
      </c>
      <c r="GV173" s="17">
        <f>GU173*VLOOKUP('Données projet'!$B$18,Paramètres!$A$1:$I$89,3,0)*VLOOKUP('Données projet'!$B$18,Paramètres!$A$1:$I$89,5,0)</f>
        <v>-1.4897523215040567E-13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348.77506423101278</v>
      </c>
      <c r="HA173" s="59">
        <f t="shared" si="160"/>
        <v>336.13747591329548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22.476262318804924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22.476262318804924</v>
      </c>
    </row>
    <row r="174" spans="1:218" x14ac:dyDescent="0.2">
      <c r="A174" s="10">
        <f t="shared" si="161"/>
        <v>171</v>
      </c>
      <c r="B174" s="71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5">
        <f t="shared" si="110"/>
        <v>183.33333333333334</v>
      </c>
      <c r="I174" s="6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-2.1282176021486519E-13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387.50901594883317</v>
      </c>
      <c r="T174" s="59">
        <f t="shared" si="142"/>
        <v>361.3623790401972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60.10741067648663</v>
      </c>
      <c r="AA174" s="21">
        <f>EXP(-LN(2)/25)*AA173+(1-EXP(-LN(2)/25))/(LN(2)/25)*Calculateur!V174*Calculateur!X174*VLOOKUP('Données projet'!$B$9,Paramètres!$A$1:$I$89,3,0)*0.475*44/12</f>
        <v>5.9494931524485697</v>
      </c>
      <c r="AB174" s="21">
        <f>EXP(-LN(2)/2)*AB173+(1-EXP(-LN(2)/2))/(LN(2)/2)*V174*Y174*VLOOKUP('Données projet'!$B$9,Paramètres!$A$1:$I$89,3,0)*0.475*44/12</f>
        <v>2.0278805603205162E-9</v>
      </c>
      <c r="AC174" s="22">
        <f t="shared" si="163"/>
        <v>66.05690383096308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373.47758082856359</v>
      </c>
      <c r="AO174" s="59">
        <f t="shared" si="144"/>
        <v>277.24895424120166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31.697220446972398</v>
      </c>
      <c r="AV174" s="21">
        <f>EXP(-LN(2)/25)*AV173+(1-EXP(-LN(2)/25))/(LN(2)/25)*Calculateur!AQ174*Calculateur!AS174*VLOOKUP('Données projet'!$B$10,Paramètres!$A$1:$I$89,3,0)*0.475*44/12</f>
        <v>2.8840865685158703</v>
      </c>
      <c r="AW174" s="21">
        <f>EXP(-LN(2)/2)*AW173+(1-EXP(-LN(2)/2))/(LN(2)/2)*AQ174*AT174*VLOOKUP('Données projet'!$B$10,Paramètres!$A$1:$I$89,3,0)*0.475*44/12</f>
        <v>6.4074659552986824E-13</v>
      </c>
      <c r="AX174" s="21">
        <f t="shared" si="166"/>
        <v>34.58130701548891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-6.8212102632969618E-13</v>
      </c>
      <c r="BE174" s="13">
        <f>BD174*VLOOKUP('Données projet'!$B$11,Paramètres!$A$1:$I$89,3,0)*VLOOKUP('Données projet'!$B$11,Paramètres!$A$1:$I$89,5,0)</f>
        <v>-4.0790837374515837E-13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460.88622650237176</v>
      </c>
      <c r="BJ174" s="59">
        <f t="shared" si="146"/>
        <v>396.05161661639647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37.041742910713246</v>
      </c>
      <c r="BQ174" s="21">
        <f>EXP(-LN(2)/25)*BQ173+(1-EXP(-LN(2)/25))/(LN(2)/25)*Calculateur!BL174*Calculateur!BN174*VLOOKUP('Données projet'!$B$11,Paramètres!$A$1:$I$89,3,0)*0.475*44/12</f>
        <v>3.1618777054718468</v>
      </c>
      <c r="BR174" s="21">
        <f>EXP(-LN(2)/2)*BR173+(1-EXP(-LN(2)/2))/(LN(2)/2)*BL174*BO174*VLOOKUP('Données projet'!$B$11,Paramètres!$A$1:$I$89,3,0)*0.475*44/12</f>
        <v>2.0687271674485698E-13</v>
      </c>
      <c r="BS174" s="22">
        <f t="shared" si="169"/>
        <v>40.203620616185297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-5.1727511163335289E-14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341.60063595566282</v>
      </c>
      <c r="CE174" s="59">
        <f t="shared" si="148"/>
        <v>317.05609766344219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30.401341503428363</v>
      </c>
      <c r="CL174" s="21">
        <f>EXP(-LN(2)/25)*CL173+(1-EXP(-LN(2)/25))/(LN(2)/25)*Calculateur!CG174*Calculateur!CI174*VLOOKUP('Données projet'!$B$12,Paramètres!$A$1:$I$89,3,0)*0.475*44/12</f>
        <v>2.9367158243022651</v>
      </c>
      <c r="CM174" s="21">
        <f>EXP(-LN(2)/2)*CM173+(1-EXP(-LN(2)/2))/(LN(2)/2)*CG174*CJ174*VLOOKUP('Données projet'!$B$12,Paramètres!$A$1:$I$89,3,0)*0.475*44/12</f>
        <v>1.7483314998047668E-14</v>
      </c>
      <c r="CN174" s="22">
        <f t="shared" si="172"/>
        <v>33.338057327730638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8.5265128291212022E-14</v>
      </c>
      <c r="CU174" s="17">
        <f>CT174*VLOOKUP('Données projet'!$B$13,Paramètres!$A$1:$I$89,3,0)*VLOOKUP('Données projet'!$B$13,Paramètres!$A$1:$I$89,5,0)</f>
        <v>8.9119112089974823E-14</v>
      </c>
      <c r="CV174" s="13">
        <f t="shared" si="173"/>
        <v>1.3568952080113142E-12</v>
      </c>
      <c r="CW174" s="20">
        <f t="shared" si="174"/>
        <v>2.5184749408430782E-12</v>
      </c>
      <c r="CX174" s="59">
        <f t="shared" si="122"/>
        <v>288.73516144466402</v>
      </c>
      <c r="CY174" s="59">
        <f ca="1">AVERAGE(OFFSET($CX$3,0,0,'Données projet'!$E$13+1,1))-AVERAGE(OFFSET($H$3,0,0,'Données projet'!$E$13+1,1))</f>
        <v>287.73449456153207</v>
      </c>
      <c r="CZ174" s="59">
        <f t="shared" si="150"/>
        <v>296.74833899433281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16.126121413691148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16.126121413691148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-1.8474111129762605E-13</v>
      </c>
      <c r="DP174" s="17">
        <f>DO174*VLOOKUP('Données projet'!$B$14,Paramètres!$A$1:$I$89,3,0)*VLOOKUP('Données projet'!$B$14,Paramètres!$A$1:$I$89,5,0)</f>
        <v>-1.8732748685579284E-13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532.34688562681413</v>
      </c>
      <c r="DU174" s="59">
        <f t="shared" si="152"/>
        <v>345.42627129678556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155.44327788580239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155.44327788580239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-5.1431925385259088E-14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256.20286603823035</v>
      </c>
      <c r="EP174" s="59">
        <f t="shared" si="154"/>
        <v>364.83827155069434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4.1520080856924544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4.1520080856924544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-1.8474111129762605E-13</v>
      </c>
      <c r="FF174" s="17">
        <f>FE174*VLOOKUP('Données projet'!$B$16,Paramètres!$A$1:$I$89,3,0)*VLOOKUP('Données projet'!$B$16,Paramètres!$A$1:$I$89,5,0)</f>
        <v>-1.2392433745844755E-13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380.73695370216979</v>
      </c>
      <c r="FK174" s="59">
        <f t="shared" si="156"/>
        <v>249.34467160415713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126.74605735303882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126.74605735303882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-1.8474111129762605E-13</v>
      </c>
      <c r="GA174" s="17">
        <f>FZ174*VLOOKUP('Données projet'!$B$17,Paramètres!$A$1:$I$89,3,0)*VLOOKUP('Données projet'!$B$17,Paramètres!$A$1:$I$89,5,0)</f>
        <v>-1.7868160284706392E-13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511.7458522930001</v>
      </c>
      <c r="GF174" s="59">
        <f t="shared" si="158"/>
        <v>332.37317679966122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148.26897275261146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148.26897275261146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-1.7053025658242404E-13</v>
      </c>
      <c r="GV174" s="17">
        <f>GU174*VLOOKUP('Données projet'!$B$18,Paramètres!$A$1:$I$89,3,0)*VLOOKUP('Données projet'!$B$18,Paramètres!$A$1:$I$89,5,0)</f>
        <v>-1.4897523215040567E-13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348.77506423101278</v>
      </c>
      <c r="HA174" s="59">
        <f t="shared" si="160"/>
        <v>336.13747591329548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22.035516523899506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22.035516523899506</v>
      </c>
    </row>
    <row r="175" spans="1:218" x14ac:dyDescent="0.2">
      <c r="A175" s="10">
        <f t="shared" si="161"/>
        <v>172</v>
      </c>
      <c r="B175" s="71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5">
        <f t="shared" si="110"/>
        <v>183.33333333333334</v>
      </c>
      <c r="I175" s="6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-2.1282176021486519E-13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387.50901594883317</v>
      </c>
      <c r="T175" s="59">
        <f t="shared" si="142"/>
        <v>361.3623790401972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58.928741015021181</v>
      </c>
      <c r="AA175" s="21">
        <f>EXP(-LN(2)/25)*AA174+(1-EXP(-LN(2)/25))/(LN(2)/25)*Calculateur!V175*Calculateur!X175*VLOOKUP('Données projet'!$B$9,Paramètres!$A$1:$I$89,3,0)*0.475*44/12</f>
        <v>5.7868039493246162</v>
      </c>
      <c r="AB175" s="21">
        <f>EXP(-LN(2)/2)*AB174+(1-EXP(-LN(2)/2))/(LN(2)/2)*V175*Y175*VLOOKUP('Données projet'!$B$9,Paramètres!$A$1:$I$89,3,0)*0.475*44/12</f>
        <v>1.4339280956390127E-9</v>
      </c>
      <c r="AC175" s="22">
        <f t="shared" si="163"/>
        <v>64.715544965779728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373.47758082856359</v>
      </c>
      <c r="AO175" s="59">
        <f t="shared" si="144"/>
        <v>277.24895424120166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31.075657287402727</v>
      </c>
      <c r="AV175" s="21">
        <f>EXP(-LN(2)/25)*AV174+(1-EXP(-LN(2)/25))/(LN(2)/25)*Calculateur!AQ175*Calculateur!AS175*VLOOKUP('Données projet'!$B$10,Paramètres!$A$1:$I$89,3,0)*0.475*44/12</f>
        <v>2.805221069632283</v>
      </c>
      <c r="AW175" s="21">
        <f>EXP(-LN(2)/2)*AW174+(1-EXP(-LN(2)/2))/(LN(2)/2)*AQ175*AT175*VLOOKUP('Données projet'!$B$10,Paramètres!$A$1:$I$89,3,0)*0.475*44/12</f>
        <v>4.5307626272136385E-13</v>
      </c>
      <c r="AX175" s="21">
        <f t="shared" si="166"/>
        <v>33.880878357035463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-6.8212102632969618E-13</v>
      </c>
      <c r="BE175" s="13">
        <f>BD175*VLOOKUP('Données projet'!$B$11,Paramètres!$A$1:$I$89,3,0)*VLOOKUP('Données projet'!$B$11,Paramètres!$A$1:$I$89,5,0)</f>
        <v>-4.0790837374515837E-13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460.88622650237176</v>
      </c>
      <c r="BJ175" s="59">
        <f t="shared" si="146"/>
        <v>396.05161661639647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36.315376925466438</v>
      </c>
      <c r="BQ175" s="21">
        <f>EXP(-LN(2)/25)*BQ174+(1-EXP(-LN(2)/25))/(LN(2)/25)*Calculateur!BL175*Calculateur!BN175*VLOOKUP('Données projet'!$B$11,Paramètres!$A$1:$I$89,3,0)*0.475*44/12</f>
        <v>3.0754159933397971</v>
      </c>
      <c r="BR175" s="21">
        <f>EXP(-LN(2)/2)*BR174+(1-EXP(-LN(2)/2))/(LN(2)/2)*BL175*BO175*VLOOKUP('Données projet'!$B$11,Paramètres!$A$1:$I$89,3,0)*0.475*44/12</f>
        <v>1.4628110085277221E-13</v>
      </c>
      <c r="BS175" s="22">
        <f t="shared" si="169"/>
        <v>39.390792918806383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-5.1727511163335289E-14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341.60063595566282</v>
      </c>
      <c r="CE175" s="59">
        <f t="shared" si="148"/>
        <v>317.05609766344219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29.805189739533482</v>
      </c>
      <c r="CL175" s="21">
        <f>EXP(-LN(2)/25)*CL174+(1-EXP(-LN(2)/25))/(LN(2)/25)*Calculateur!CG175*Calculateur!CI175*VLOOKUP('Données projet'!$B$12,Paramètres!$A$1:$I$89,3,0)*0.475*44/12</f>
        <v>2.8564111756515462</v>
      </c>
      <c r="CM175" s="21">
        <f>EXP(-LN(2)/2)*CM174+(1-EXP(-LN(2)/2))/(LN(2)/2)*CG175*CJ175*VLOOKUP('Données projet'!$B$12,Paramètres!$A$1:$I$89,3,0)*0.475*44/12</f>
        <v>1.2362570592739977E-14</v>
      </c>
      <c r="CN175" s="22">
        <f t="shared" si="172"/>
        <v>32.661600915185041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8.5265128291212022E-14</v>
      </c>
      <c r="CU175" s="17">
        <f>CT175*VLOOKUP('Données projet'!$B$13,Paramètres!$A$1:$I$89,3,0)*VLOOKUP('Données projet'!$B$13,Paramètres!$A$1:$I$89,5,0)</f>
        <v>8.9119112089974823E-14</v>
      </c>
      <c r="CV175" s="13">
        <f t="shared" si="173"/>
        <v>1.3568952080113142E-12</v>
      </c>
      <c r="CW175" s="20">
        <f t="shared" si="174"/>
        <v>2.5184749408430782E-12</v>
      </c>
      <c r="CX175" s="59">
        <f t="shared" si="122"/>
        <v>288.81492944696015</v>
      </c>
      <c r="CY175" s="59">
        <f ca="1">AVERAGE(OFFSET($CX$3,0,0,'Données projet'!$E$13+1,1))-AVERAGE(OFFSET($H$3,0,0,'Données projet'!$E$13+1,1))</f>
        <v>287.73449456153207</v>
      </c>
      <c r="CZ175" s="59">
        <f t="shared" si="150"/>
        <v>296.74833899433281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15.809898008731507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15.809898008731507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-1.8474111129762605E-13</v>
      </c>
      <c r="DP175" s="17">
        <f>DO175*VLOOKUP('Données projet'!$B$14,Paramètres!$A$1:$I$89,3,0)*VLOOKUP('Données projet'!$B$14,Paramètres!$A$1:$I$89,5,0)</f>
        <v>-1.8732748685579284E-13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532.34688562681413</v>
      </c>
      <c r="DU175" s="59">
        <f t="shared" si="152"/>
        <v>345.42627129678556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152.3951300174995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152.3951300174995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-5.1431925385259088E-14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256.20286603823035</v>
      </c>
      <c r="EP175" s="59">
        <f t="shared" si="154"/>
        <v>364.83827155069434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4.0705897396068966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4.0705897396068966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-1.8474111129762605E-13</v>
      </c>
      <c r="FF175" s="17">
        <f>FE175*VLOOKUP('Données projet'!$B$16,Paramètres!$A$1:$I$89,3,0)*VLOOKUP('Données projet'!$B$16,Paramètres!$A$1:$I$89,5,0)</f>
        <v>-1.2392433745844755E-13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380.73695370216979</v>
      </c>
      <c r="FK175" s="59">
        <f t="shared" si="156"/>
        <v>249.34467160415713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124.26064447580724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124.26064447580724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-1.8474111129762605E-13</v>
      </c>
      <c r="GA175" s="17">
        <f>FZ175*VLOOKUP('Données projet'!$B$17,Paramètres!$A$1:$I$89,3,0)*VLOOKUP('Données projet'!$B$17,Paramètres!$A$1:$I$89,5,0)</f>
        <v>-1.7868160284706392E-13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511.7458522930001</v>
      </c>
      <c r="GF175" s="59">
        <f t="shared" si="158"/>
        <v>332.37317679966122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145.36150863207641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145.36150863207641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-1.7053025658242404E-13</v>
      </c>
      <c r="GV175" s="17">
        <f>GU175*VLOOKUP('Données projet'!$B$18,Paramètres!$A$1:$I$89,3,0)*VLOOKUP('Données projet'!$B$18,Paramètres!$A$1:$I$89,5,0)</f>
        <v>-1.4897523215040567E-13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348.77506423101278</v>
      </c>
      <c r="HA175" s="59">
        <f t="shared" si="160"/>
        <v>336.13747591329548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21.603413485203795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21.603413485203795</v>
      </c>
    </row>
    <row r="176" spans="1:218" x14ac:dyDescent="0.2">
      <c r="A176" s="10">
        <f t="shared" si="161"/>
        <v>173</v>
      </c>
      <c r="B176" s="71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5">
        <f t="shared" si="110"/>
        <v>183.33333333333334</v>
      </c>
      <c r="I176" s="6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-2.1282176021486519E-13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387.50901594883317</v>
      </c>
      <c r="T176" s="59">
        <f t="shared" si="142"/>
        <v>361.3623790401972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57.773184346699558</v>
      </c>
      <c r="AA176" s="21">
        <f>EXP(-LN(2)/25)*AA175+(1-EXP(-LN(2)/25))/(LN(2)/25)*Calculateur!V176*Calculateur!X176*VLOOKUP('Données projet'!$B$9,Paramètres!$A$1:$I$89,3,0)*0.475*44/12</f>
        <v>5.6285634910155409</v>
      </c>
      <c r="AB176" s="21">
        <f>EXP(-LN(2)/2)*AB175+(1-EXP(-LN(2)/2))/(LN(2)/2)*V176*Y176*VLOOKUP('Données projet'!$B$9,Paramètres!$A$1:$I$89,3,0)*0.475*44/12</f>
        <v>1.0139402801602581E-9</v>
      </c>
      <c r="AC176" s="22">
        <f t="shared" si="163"/>
        <v>63.401747838729037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373.47758082856359</v>
      </c>
      <c r="AO176" s="59">
        <f t="shared" si="144"/>
        <v>277.24895424120166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30.466282602276124</v>
      </c>
      <c r="AV176" s="21">
        <f>EXP(-LN(2)/25)*AV175+(1-EXP(-LN(2)/25))/(LN(2)/25)*Calculateur!AQ176*Calculateur!AS176*VLOOKUP('Données projet'!$B$10,Paramètres!$A$1:$I$89,3,0)*0.475*44/12</f>
        <v>2.7285121519630238</v>
      </c>
      <c r="AW176" s="21">
        <f>EXP(-LN(2)/2)*AW175+(1-EXP(-LN(2)/2))/(LN(2)/2)*AQ176*AT176*VLOOKUP('Données projet'!$B$10,Paramètres!$A$1:$I$89,3,0)*0.475*44/12</f>
        <v>3.2037329776493417E-13</v>
      </c>
      <c r="AX176" s="21">
        <f t="shared" si="166"/>
        <v>33.194794754239467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-6.8212102632969618E-13</v>
      </c>
      <c r="BE176" s="13">
        <f>BD176*VLOOKUP('Données projet'!$B$11,Paramètres!$A$1:$I$89,3,0)*VLOOKUP('Données projet'!$B$11,Paramètres!$A$1:$I$89,5,0)</f>
        <v>-4.0790837374515837E-13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460.88622650237176</v>
      </c>
      <c r="BJ176" s="59">
        <f t="shared" si="146"/>
        <v>396.05161661639647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35.603254534150814</v>
      </c>
      <c r="BQ176" s="21">
        <f>EXP(-LN(2)/25)*BQ175+(1-EXP(-LN(2)/25))/(LN(2)/25)*Calculateur!BL176*Calculateur!BN176*VLOOKUP('Données projet'!$B$11,Paramètres!$A$1:$I$89,3,0)*0.475*44/12</f>
        <v>2.991318581272822</v>
      </c>
      <c r="BR176" s="21">
        <f>EXP(-LN(2)/2)*BR175+(1-EXP(-LN(2)/2))/(LN(2)/2)*BL176*BO176*VLOOKUP('Données projet'!$B$11,Paramètres!$A$1:$I$89,3,0)*0.475*44/12</f>
        <v>1.0343635837242849E-13</v>
      </c>
      <c r="BS176" s="22">
        <f t="shared" si="169"/>
        <v>38.594573115423742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-5.1727511163335289E-14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341.60063595566282</v>
      </c>
      <c r="CE176" s="59">
        <f t="shared" si="148"/>
        <v>317.05609766344219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29.220728148111906</v>
      </c>
      <c r="CL176" s="21">
        <f>EXP(-LN(2)/25)*CL175+(1-EXP(-LN(2)/25))/(LN(2)/25)*Calculateur!CG176*Calculateur!CI176*VLOOKUP('Données projet'!$B$12,Paramètres!$A$1:$I$89,3,0)*0.475*44/12</f>
        <v>2.7783024618412195</v>
      </c>
      <c r="CM176" s="21">
        <f>EXP(-LN(2)/2)*CM175+(1-EXP(-LN(2)/2))/(LN(2)/2)*CG176*CJ176*VLOOKUP('Données projet'!$B$12,Paramètres!$A$1:$I$89,3,0)*0.475*44/12</f>
        <v>8.7416574990238341E-15</v>
      </c>
      <c r="CN176" s="22">
        <f t="shared" si="172"/>
        <v>31.999030609953131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8.5265128291212022E-14</v>
      </c>
      <c r="CU176" s="17">
        <f>CT176*VLOOKUP('Données projet'!$B$13,Paramètres!$A$1:$I$89,3,0)*VLOOKUP('Données projet'!$B$13,Paramètres!$A$1:$I$89,5,0)</f>
        <v>8.9119112089974823E-14</v>
      </c>
      <c r="CV176" s="13">
        <f t="shared" si="173"/>
        <v>1.3568952080113142E-12</v>
      </c>
      <c r="CW176" s="20">
        <f t="shared" si="174"/>
        <v>2.5184749408430782E-12</v>
      </c>
      <c r="CX176" s="59">
        <f t="shared" si="122"/>
        <v>288.89331365275098</v>
      </c>
      <c r="CY176" s="59">
        <f ca="1">AVERAGE(OFFSET($CX$3,0,0,'Données projet'!$E$13+1,1))-AVERAGE(OFFSET($H$3,0,0,'Données projet'!$E$13+1,1))</f>
        <v>287.73449456153207</v>
      </c>
      <c r="CZ176" s="59">
        <f t="shared" si="150"/>
        <v>296.74833899433281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15.499875551865891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15.499875551865891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-1.8474111129762605E-13</v>
      </c>
      <c r="DP176" s="17">
        <f>DO176*VLOOKUP('Données projet'!$B$14,Paramètres!$A$1:$I$89,3,0)*VLOOKUP('Données projet'!$B$14,Paramètres!$A$1:$I$89,5,0)</f>
        <v>-1.8732748685579284E-13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532.34688562681413</v>
      </c>
      <c r="DU176" s="59">
        <f t="shared" si="152"/>
        <v>345.42627129678556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149.40675446970741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149.40675446970741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-5.1431925385259088E-14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256.20286603823035</v>
      </c>
      <c r="EP176" s="59">
        <f t="shared" si="154"/>
        <v>364.83827155069434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3.990767957627789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3.990767957627789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-1.8474111129762605E-13</v>
      </c>
      <c r="FF176" s="17">
        <f>FE176*VLOOKUP('Données projet'!$B$16,Paramètres!$A$1:$I$89,3,0)*VLOOKUP('Données projet'!$B$16,Paramètres!$A$1:$I$89,5,0)</f>
        <v>-1.2392433745844755E-13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380.73695370216979</v>
      </c>
      <c r="FK176" s="59">
        <f t="shared" si="156"/>
        <v>249.34467160415713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121.823969029146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121.823969029146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-1.8474111129762605E-13</v>
      </c>
      <c r="GA176" s="17">
        <f>FZ176*VLOOKUP('Données projet'!$B$17,Paramètres!$A$1:$I$89,3,0)*VLOOKUP('Données projet'!$B$17,Paramètres!$A$1:$I$89,5,0)</f>
        <v>-1.7868160284706392E-13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511.7458522930001</v>
      </c>
      <c r="GF176" s="59">
        <f t="shared" si="158"/>
        <v>332.37317679966122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142.51105810956705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142.51105810956705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-1.7053025658242404E-13</v>
      </c>
      <c r="GV176" s="17">
        <f>GU176*VLOOKUP('Données projet'!$B$18,Paramètres!$A$1:$I$89,3,0)*VLOOKUP('Données projet'!$B$18,Paramètres!$A$1:$I$89,5,0)</f>
        <v>-1.4897523215040567E-13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348.77506423101278</v>
      </c>
      <c r="HA176" s="59">
        <f t="shared" si="160"/>
        <v>336.13747591329548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21.179783723540076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21.179783723540076</v>
      </c>
    </row>
    <row r="177" spans="1:218" x14ac:dyDescent="0.2">
      <c r="A177" s="10">
        <f t="shared" si="161"/>
        <v>174</v>
      </c>
      <c r="B177" s="71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5">
        <f t="shared" si="110"/>
        <v>183.33333333333334</v>
      </c>
      <c r="I177" s="6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-2.1282176021486519E-13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387.50901594883317</v>
      </c>
      <c r="T177" s="59">
        <f t="shared" si="142"/>
        <v>361.3623790401972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56.640287439823751</v>
      </c>
      <c r="AA177" s="21">
        <f>EXP(-LN(2)/25)*AA176+(1-EXP(-LN(2)/25))/(LN(2)/25)*Calculateur!V177*Calculateur!X177*VLOOKUP('Données projet'!$B$9,Paramètres!$A$1:$I$89,3,0)*0.475*44/12</f>
        <v>5.474650126360431</v>
      </c>
      <c r="AB177" s="21">
        <f>EXP(-LN(2)/2)*AB176+(1-EXP(-LN(2)/2))/(LN(2)/2)*V177*Y177*VLOOKUP('Données projet'!$B$9,Paramètres!$A$1:$I$89,3,0)*0.475*44/12</f>
        <v>7.1696404781950633E-10</v>
      </c>
      <c r="AC177" s="22">
        <f t="shared" si="163"/>
        <v>62.114937566901148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373.47758082856359</v>
      </c>
      <c r="AO177" s="59">
        <f t="shared" si="144"/>
        <v>277.24895424120166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29.868857383042997</v>
      </c>
      <c r="AV177" s="21">
        <f>EXP(-LN(2)/25)*AV176+(1-EXP(-LN(2)/25))/(LN(2)/25)*Calculateur!AQ177*Calculateur!AS177*VLOOKUP('Données projet'!$B$10,Paramètres!$A$1:$I$89,3,0)*0.475*44/12</f>
        <v>2.6539008436813769</v>
      </c>
      <c r="AW177" s="21">
        <f>EXP(-LN(2)/2)*AW176+(1-EXP(-LN(2)/2))/(LN(2)/2)*AQ177*AT177*VLOOKUP('Données projet'!$B$10,Paramètres!$A$1:$I$89,3,0)*0.475*44/12</f>
        <v>2.2653813136068195E-13</v>
      </c>
      <c r="AX177" s="21">
        <f t="shared" si="166"/>
        <v>32.522758226724598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-6.8212102632969618E-13</v>
      </c>
      <c r="BE177" s="13">
        <f>BD177*VLOOKUP('Données projet'!$B$11,Paramètres!$A$1:$I$89,3,0)*VLOOKUP('Données projet'!$B$11,Paramètres!$A$1:$I$89,5,0)</f>
        <v>-4.0790837374515837E-13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460.88622650237176</v>
      </c>
      <c r="BJ177" s="59">
        <f t="shared" si="146"/>
        <v>396.05161661639647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34.905096428577124</v>
      </c>
      <c r="BQ177" s="21">
        <f>EXP(-LN(2)/25)*BQ176+(1-EXP(-LN(2)/25))/(LN(2)/25)*Calculateur!BL177*Calculateur!BN177*VLOOKUP('Données projet'!$B$11,Paramètres!$A$1:$I$89,3,0)*0.475*44/12</f>
        <v>2.9095208173613094</v>
      </c>
      <c r="BR177" s="21">
        <f>EXP(-LN(2)/2)*BR176+(1-EXP(-LN(2)/2))/(LN(2)/2)*BL177*BO177*VLOOKUP('Données projet'!$B$11,Paramètres!$A$1:$I$89,3,0)*0.475*44/12</f>
        <v>7.3140550426386104E-14</v>
      </c>
      <c r="BS177" s="22">
        <f t="shared" si="169"/>
        <v>37.814617245938507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-5.1727511163335289E-14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341.60063595566282</v>
      </c>
      <c r="CE177" s="59">
        <f t="shared" si="148"/>
        <v>317.05609766344219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28.64772749201174</v>
      </c>
      <c r="CL177" s="21">
        <f>EXP(-LN(2)/25)*CL176+(1-EXP(-LN(2)/25))/(LN(2)/25)*Calculateur!CG177*Calculateur!CI177*VLOOKUP('Données projet'!$B$12,Paramètres!$A$1:$I$89,3,0)*0.475*44/12</f>
        <v>2.7023296349175947</v>
      </c>
      <c r="CM177" s="21">
        <f>EXP(-LN(2)/2)*CM176+(1-EXP(-LN(2)/2))/(LN(2)/2)*CG177*CJ177*VLOOKUP('Données projet'!$B$12,Paramètres!$A$1:$I$89,3,0)*0.475*44/12</f>
        <v>6.1812852963699887E-15</v>
      </c>
      <c r="CN177" s="22">
        <f t="shared" si="172"/>
        <v>31.350057126929343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8.5265128291212022E-14</v>
      </c>
      <c r="CU177" s="17">
        <f>CT177*VLOOKUP('Données projet'!$B$13,Paramètres!$A$1:$I$89,3,0)*VLOOKUP('Données projet'!$B$13,Paramètres!$A$1:$I$89,5,0)</f>
        <v>8.9119112089974823E-14</v>
      </c>
      <c r="CV177" s="13">
        <f t="shared" si="173"/>
        <v>1.3568952080113142E-12</v>
      </c>
      <c r="CW177" s="20">
        <f t="shared" si="174"/>
        <v>2.5184749408430782E-12</v>
      </c>
      <c r="CX177" s="59">
        <f t="shared" si="122"/>
        <v>288.97033806781224</v>
      </c>
      <c r="CY177" s="59">
        <f ca="1">AVERAGE(OFFSET($CX$3,0,0,'Données projet'!$E$13+1,1))-AVERAGE(OFFSET($H$3,0,0,'Données projet'!$E$13+1,1))</f>
        <v>287.73449456153207</v>
      </c>
      <c r="CZ177" s="59">
        <f t="shared" si="150"/>
        <v>296.74833899433281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15.195932446284383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15.195932446284383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-1.8474111129762605E-13</v>
      </c>
      <c r="DP177" s="17">
        <f>DO177*VLOOKUP('Données projet'!$B$14,Paramètres!$A$1:$I$89,3,0)*VLOOKUP('Données projet'!$B$14,Paramètres!$A$1:$I$89,5,0)</f>
        <v>-1.8732748685579284E-13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532.34688562681413</v>
      </c>
      <c r="DU177" s="59">
        <f t="shared" si="152"/>
        <v>345.42627129678556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146.47697914367842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146.47697914367842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-5.1431925385259088E-14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256.20286603823035</v>
      </c>
      <c r="EP177" s="59">
        <f t="shared" si="154"/>
        <v>364.83827155069434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3.912511432106812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3.912511432106812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-1.8474111129762605E-13</v>
      </c>
      <c r="FF177" s="17">
        <f>FE177*VLOOKUP('Données projet'!$B$16,Paramètres!$A$1:$I$89,3,0)*VLOOKUP('Données projet'!$B$16,Paramètres!$A$1:$I$89,5,0)</f>
        <v>-1.2392433745844755E-13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380.73695370216979</v>
      </c>
      <c r="FK177" s="59">
        <f t="shared" si="156"/>
        <v>249.34467160415713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119.43507530176852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119.43507530176852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-1.8474111129762605E-13</v>
      </c>
      <c r="GA177" s="17">
        <f>FZ177*VLOOKUP('Données projet'!$B$17,Paramètres!$A$1:$I$89,3,0)*VLOOKUP('Données projet'!$B$17,Paramètres!$A$1:$I$89,5,0)</f>
        <v>-1.7868160284706392E-13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511.7458522930001</v>
      </c>
      <c r="GF177" s="59">
        <f t="shared" si="158"/>
        <v>332.37317679966122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139.71650318320093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139.71650318320093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-1.7053025658242404E-13</v>
      </c>
      <c r="GV177" s="17">
        <f>GU177*VLOOKUP('Données projet'!$B$18,Paramètres!$A$1:$I$89,3,0)*VLOOKUP('Données projet'!$B$18,Paramètres!$A$1:$I$89,5,0)</f>
        <v>-1.4897523215040567E-13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348.77506423101278</v>
      </c>
      <c r="HA177" s="59">
        <f t="shared" si="160"/>
        <v>336.13747591329548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20.764461083113943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20.764461083113943</v>
      </c>
    </row>
    <row r="178" spans="1:218" x14ac:dyDescent="0.2">
      <c r="A178" s="10">
        <f t="shared" si="161"/>
        <v>175</v>
      </c>
      <c r="B178" s="71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5">
        <f t="shared" si="110"/>
        <v>183.33333333333334</v>
      </c>
      <c r="I178" s="6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-2.1282176021486519E-13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387.50901594883317</v>
      </c>
      <c r="T178" s="59">
        <f t="shared" si="142"/>
        <v>361.3623790401972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55.529605950292897</v>
      </c>
      <c r="AA178" s="21">
        <f>EXP(-LN(2)/25)*AA177+(1-EXP(-LN(2)/25))/(LN(2)/25)*Calculateur!V178*Calculateur!X178*VLOOKUP('Données projet'!$B$9,Paramètres!$A$1:$I$89,3,0)*0.475*44/12</f>
        <v>5.3249455307557669</v>
      </c>
      <c r="AB178" s="21">
        <f>EXP(-LN(2)/2)*AB177+(1-EXP(-LN(2)/2))/(LN(2)/2)*V178*Y178*VLOOKUP('Données projet'!$B$9,Paramètres!$A$1:$I$89,3,0)*0.475*44/12</f>
        <v>5.0697014008012905E-10</v>
      </c>
      <c r="AC178" s="22">
        <f t="shared" si="163"/>
        <v>60.854551481555639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373.47758082856359</v>
      </c>
      <c r="AO178" s="59">
        <f t="shared" si="144"/>
        <v>277.24895424120166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29.283147307965628</v>
      </c>
      <c r="AV178" s="21">
        <f>EXP(-LN(2)/25)*AV177+(1-EXP(-LN(2)/25))/(LN(2)/25)*Calculateur!AQ178*Calculateur!AS178*VLOOKUP('Données projet'!$B$10,Paramètres!$A$1:$I$89,3,0)*0.475*44/12</f>
        <v>2.5813297855483297</v>
      </c>
      <c r="AW178" s="21">
        <f>EXP(-LN(2)/2)*AW177+(1-EXP(-LN(2)/2))/(LN(2)/2)*AQ178*AT178*VLOOKUP('Données projet'!$B$10,Paramètres!$A$1:$I$89,3,0)*0.475*44/12</f>
        <v>1.6018664888246711E-13</v>
      </c>
      <c r="AX178" s="21">
        <f t="shared" si="166"/>
        <v>31.864477093514118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-6.8212102632969618E-13</v>
      </c>
      <c r="BE178" s="13">
        <f>BD178*VLOOKUP('Données projet'!$B$11,Paramètres!$A$1:$I$89,3,0)*VLOOKUP('Données projet'!$B$11,Paramètres!$A$1:$I$89,5,0)</f>
        <v>-4.0790837374515837E-13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460.88622650237176</v>
      </c>
      <c r="BJ178" s="59">
        <f t="shared" si="146"/>
        <v>396.05161661639647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34.220628777619332</v>
      </c>
      <c r="BQ178" s="21">
        <f>EXP(-LN(2)/25)*BQ177+(1-EXP(-LN(2)/25))/(LN(2)/25)*Calculateur!BL178*Calculateur!BN178*VLOOKUP('Données projet'!$B$11,Paramètres!$A$1:$I$89,3,0)*0.475*44/12</f>
        <v>2.8299598176055145</v>
      </c>
      <c r="BR178" s="21">
        <f>EXP(-LN(2)/2)*BR177+(1-EXP(-LN(2)/2))/(LN(2)/2)*BL178*BO178*VLOOKUP('Données projet'!$B$11,Paramètres!$A$1:$I$89,3,0)*0.475*44/12</f>
        <v>5.1718179186214245E-14</v>
      </c>
      <c r="BS178" s="22">
        <f t="shared" si="169"/>
        <v>37.050588595224895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-5.1727511163335289E-14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341.60063595566282</v>
      </c>
      <c r="CE178" s="59">
        <f t="shared" si="148"/>
        <v>317.05609766344219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28.085963029281807</v>
      </c>
      <c r="CL178" s="21">
        <f>EXP(-LN(2)/25)*CL177+(1-EXP(-LN(2)/25))/(LN(2)/25)*Calculateur!CG178*Calculateur!CI178*VLOOKUP('Données projet'!$B$12,Paramètres!$A$1:$I$89,3,0)*0.475*44/12</f>
        <v>2.6284342889414338</v>
      </c>
      <c r="CM178" s="21">
        <f>EXP(-LN(2)/2)*CM177+(1-EXP(-LN(2)/2))/(LN(2)/2)*CG178*CJ178*VLOOKUP('Données projet'!$B$12,Paramètres!$A$1:$I$89,3,0)*0.475*44/12</f>
        <v>4.3708287495119171E-15</v>
      </c>
      <c r="CN178" s="22">
        <f t="shared" si="172"/>
        <v>30.714397318223245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8.5265128291212022E-14</v>
      </c>
      <c r="CU178" s="17">
        <f>CT178*VLOOKUP('Données projet'!$B$13,Paramètres!$A$1:$I$89,3,0)*VLOOKUP('Données projet'!$B$13,Paramètres!$A$1:$I$89,5,0)</f>
        <v>8.9119112089974823E-14</v>
      </c>
      <c r="CV178" s="13">
        <f t="shared" si="173"/>
        <v>1.3568952080113142E-12</v>
      </c>
      <c r="CW178" s="20">
        <f t="shared" si="174"/>
        <v>2.5184749408430782E-12</v>
      </c>
      <c r="CX178" s="59">
        <f t="shared" si="122"/>
        <v>289.0460262814729</v>
      </c>
      <c r="CY178" s="59">
        <f ca="1">AVERAGE(OFFSET($CX$3,0,0,'Données projet'!$E$13+1,1))-AVERAGE(OFFSET($H$3,0,0,'Données projet'!$E$13+1,1))</f>
        <v>287.73449456153207</v>
      </c>
      <c r="CZ178" s="59">
        <f t="shared" si="150"/>
        <v>296.74833899433281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14.89794947961634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14.89794947961634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-1.8474111129762605E-13</v>
      </c>
      <c r="DP178" s="17">
        <f>DO178*VLOOKUP('Données projet'!$B$14,Paramètres!$A$1:$I$89,3,0)*VLOOKUP('Données projet'!$B$14,Paramètres!$A$1:$I$89,5,0)</f>
        <v>-1.8732748685579284E-13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532.34688562681413</v>
      </c>
      <c r="DU178" s="59">
        <f t="shared" si="152"/>
        <v>345.42627129678556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143.60465492480637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143.60465492480637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-5.1431925385259088E-14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256.20286603823035</v>
      </c>
      <c r="EP178" s="59">
        <f t="shared" si="154"/>
        <v>364.83827155069434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3.835789469319534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3.835789469319534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-1.8474111129762605E-13</v>
      </c>
      <c r="FF178" s="17">
        <f>FE178*VLOOKUP('Données projet'!$B$16,Paramètres!$A$1:$I$89,3,0)*VLOOKUP('Données projet'!$B$16,Paramètres!$A$1:$I$89,5,0)</f>
        <v>-1.2392433745844755E-13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380.73695370216979</v>
      </c>
      <c r="FK178" s="59">
        <f t="shared" si="156"/>
        <v>249.34467160415713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117.09302632330362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117.09302632330362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-1.8474111129762605E-13</v>
      </c>
      <c r="GA178" s="17">
        <f>FZ178*VLOOKUP('Données projet'!$B$17,Paramètres!$A$1:$I$89,3,0)*VLOOKUP('Données projet'!$B$17,Paramètres!$A$1:$I$89,5,0)</f>
        <v>-1.7868160284706392E-13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511.7458522930001</v>
      </c>
      <c r="GF178" s="59">
        <f t="shared" si="158"/>
        <v>332.37317679966122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136.97674777443066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136.97674777443066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-1.7053025658242404E-13</v>
      </c>
      <c r="GV178" s="17">
        <f>GU178*VLOOKUP('Données projet'!$B$18,Paramètres!$A$1:$I$89,3,0)*VLOOKUP('Données projet'!$B$18,Paramètres!$A$1:$I$89,5,0)</f>
        <v>-1.4897523215040567E-13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348.77506423101278</v>
      </c>
      <c r="HA178" s="59">
        <f t="shared" si="160"/>
        <v>336.13747591329548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20.357282666344769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20.357282666344769</v>
      </c>
    </row>
    <row r="179" spans="1:218" x14ac:dyDescent="0.2">
      <c r="A179" s="10">
        <f t="shared" si="161"/>
        <v>176</v>
      </c>
      <c r="B179" s="71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5">
        <f t="shared" si="110"/>
        <v>183.33333333333334</v>
      </c>
      <c r="I179" s="6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-2.1282176021486519E-13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387.50901594883317</v>
      </c>
      <c r="T179" s="59">
        <f t="shared" si="142"/>
        <v>361.3623790401972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54.440704247322927</v>
      </c>
      <c r="AA179" s="21">
        <f>EXP(-LN(2)/25)*AA178+(1-EXP(-LN(2)/25))/(LN(2)/25)*Calculateur!V179*Calculateur!X179*VLOOKUP('Données projet'!$B$9,Paramètres!$A$1:$I$89,3,0)*0.475*44/12</f>
        <v>5.1793346151905357</v>
      </c>
      <c r="AB179" s="21">
        <f>EXP(-LN(2)/2)*AB178+(1-EXP(-LN(2)/2))/(LN(2)/2)*V179*Y179*VLOOKUP('Données projet'!$B$9,Paramètres!$A$1:$I$89,3,0)*0.475*44/12</f>
        <v>3.5848202390975316E-10</v>
      </c>
      <c r="AC179" s="22">
        <f t="shared" si="163"/>
        <v>59.620038862871944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373.47758082856359</v>
      </c>
      <c r="AO179" s="59">
        <f t="shared" si="144"/>
        <v>277.24895424120166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28.708922650212656</v>
      </c>
      <c r="AV179" s="21">
        <f>EXP(-LN(2)/25)*AV178+(1-EXP(-LN(2)/25))/(LN(2)/25)*Calculateur!AQ179*Calculateur!AS179*VLOOKUP('Données projet'!$B$10,Paramètres!$A$1:$I$89,3,0)*0.475*44/12</f>
        <v>2.5107431868162768</v>
      </c>
      <c r="AW179" s="21">
        <f>EXP(-LN(2)/2)*AW178+(1-EXP(-LN(2)/2))/(LN(2)/2)*AQ179*AT179*VLOOKUP('Données projet'!$B$10,Paramètres!$A$1:$I$89,3,0)*0.475*44/12</f>
        <v>1.13269065680341E-13</v>
      </c>
      <c r="AX179" s="21">
        <f t="shared" si="166"/>
        <v>31.219665837029048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-6.8212102632969618E-13</v>
      </c>
      <c r="BE179" s="13">
        <f>BD179*VLOOKUP('Données projet'!$B$11,Paramètres!$A$1:$I$89,3,0)*VLOOKUP('Données projet'!$B$11,Paramètres!$A$1:$I$89,5,0)</f>
        <v>-4.0790837374515837E-13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460.88622650237176</v>
      </c>
      <c r="BJ179" s="59">
        <f t="shared" si="146"/>
        <v>396.05161661639647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33.54958311981278</v>
      </c>
      <c r="BQ179" s="21">
        <f>EXP(-LN(2)/25)*BQ178+(1-EXP(-LN(2)/25))/(LN(2)/25)*Calculateur!BL179*Calculateur!BN179*VLOOKUP('Données projet'!$B$11,Paramètres!$A$1:$I$89,3,0)*0.475*44/12</f>
        <v>2.7525744175719731</v>
      </c>
      <c r="BR179" s="21">
        <f>EXP(-LN(2)/2)*BR178+(1-EXP(-LN(2)/2))/(LN(2)/2)*BL179*BO179*VLOOKUP('Données projet'!$B$11,Paramètres!$A$1:$I$89,3,0)*0.475*44/12</f>
        <v>3.6570275213193052E-14</v>
      </c>
      <c r="BS179" s="22">
        <f t="shared" si="169"/>
        <v>36.302157537384787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-5.1727511163335289E-14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341.60063595566282</v>
      </c>
      <c r="CE179" s="59">
        <f t="shared" si="148"/>
        <v>317.05609766344219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27.535214425023518</v>
      </c>
      <c r="CL179" s="21">
        <f>EXP(-LN(2)/25)*CL178+(1-EXP(-LN(2)/25))/(LN(2)/25)*Calculateur!CG179*Calculateur!CI179*VLOOKUP('Données projet'!$B$12,Paramètres!$A$1:$I$89,3,0)*0.475*44/12</f>
        <v>2.5565596150869783</v>
      </c>
      <c r="CM179" s="21">
        <f>EXP(-LN(2)/2)*CM178+(1-EXP(-LN(2)/2))/(LN(2)/2)*CG179*CJ179*VLOOKUP('Données projet'!$B$12,Paramètres!$A$1:$I$89,3,0)*0.475*44/12</f>
        <v>3.0906426481849943E-15</v>
      </c>
      <c r="CN179" s="22">
        <f t="shared" si="172"/>
        <v>30.091774040110501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8.5265128291212022E-14</v>
      </c>
      <c r="CU179" s="17">
        <f>CT179*VLOOKUP('Données projet'!$B$13,Paramètres!$A$1:$I$89,3,0)*VLOOKUP('Données projet'!$B$13,Paramètres!$A$1:$I$89,5,0)</f>
        <v>8.9119112089974823E-14</v>
      </c>
      <c r="CV179" s="13">
        <f t="shared" si="173"/>
        <v>1.3568952080113142E-12</v>
      </c>
      <c r="CW179" s="20">
        <f t="shared" si="174"/>
        <v>2.5184749408430782E-12</v>
      </c>
      <c r="CX179" s="59">
        <f t="shared" si="122"/>
        <v>289.1204014738401</v>
      </c>
      <c r="CY179" s="59">
        <f ca="1">AVERAGE(OFFSET($CX$3,0,0,'Données projet'!$E$13+1,1))-AVERAGE(OFFSET($H$3,0,0,'Données projet'!$E$13+1,1))</f>
        <v>287.73449456153207</v>
      </c>
      <c r="CZ179" s="59">
        <f t="shared" si="150"/>
        <v>296.74833899433281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14.605809777172993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14.605809777172993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-1.8474111129762605E-13</v>
      </c>
      <c r="DP179" s="17">
        <f>DO179*VLOOKUP('Données projet'!$B$14,Paramètres!$A$1:$I$89,3,0)*VLOOKUP('Données projet'!$B$14,Paramètres!$A$1:$I$89,5,0)</f>
        <v>-1.8732748685579284E-13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532.34688562681413</v>
      </c>
      <c r="DU179" s="59">
        <f t="shared" si="152"/>
        <v>345.42627129678556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140.78865523192161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140.78865523192161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-5.1431925385259088E-14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256.20286603823035</v>
      </c>
      <c r="EP179" s="59">
        <f t="shared" si="154"/>
        <v>364.83827155069434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3.7605719774267379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3.7605719774267379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-1.8474111129762605E-13</v>
      </c>
      <c r="FF179" s="17">
        <f>FE179*VLOOKUP('Données projet'!$B$16,Paramètres!$A$1:$I$89,3,0)*VLOOKUP('Données projet'!$B$16,Paramètres!$A$1:$I$89,5,0)</f>
        <v>-1.2392433745844755E-13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380.73695370216979</v>
      </c>
      <c r="FK179" s="59">
        <f t="shared" si="156"/>
        <v>249.34467160415713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114.79690349679758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114.79690349679758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-1.8474111129762605E-13</v>
      </c>
      <c r="GA179" s="17">
        <f>FZ179*VLOOKUP('Données projet'!$B$17,Paramètres!$A$1:$I$89,3,0)*VLOOKUP('Données projet'!$B$17,Paramètres!$A$1:$I$89,5,0)</f>
        <v>-1.7868160284706392E-13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511.7458522930001</v>
      </c>
      <c r="GF179" s="59">
        <f t="shared" si="158"/>
        <v>332.37317679966122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134.29071729814058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134.29071729814058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-1.7053025658242404E-13</v>
      </c>
      <c r="GV179" s="17">
        <f>GU179*VLOOKUP('Données projet'!$B$18,Paramètres!$A$1:$I$89,3,0)*VLOOKUP('Données projet'!$B$18,Paramètres!$A$1:$I$89,5,0)</f>
        <v>-1.4897523215040567E-13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348.77506423101278</v>
      </c>
      <c r="HA179" s="59">
        <f t="shared" si="160"/>
        <v>336.13747591329548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19.958088769974125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19.958088769974125</v>
      </c>
    </row>
    <row r="180" spans="1:218" x14ac:dyDescent="0.2">
      <c r="A180" s="10">
        <f t="shared" si="161"/>
        <v>177</v>
      </c>
      <c r="B180" s="71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5">
        <f t="shared" si="110"/>
        <v>183.33333333333334</v>
      </c>
      <c r="I180" s="6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-2.1282176021486519E-13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387.50901594883317</v>
      </c>
      <c r="T180" s="59">
        <f t="shared" si="142"/>
        <v>361.3623790401972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53.373155242583742</v>
      </c>
      <c r="AA180" s="21">
        <f>EXP(-LN(2)/25)*AA179+(1-EXP(-LN(2)/25))/(LN(2)/25)*Calculateur!V180*Calculateur!X180*VLOOKUP('Données projet'!$B$9,Paramètres!$A$1:$I$89,3,0)*0.475*44/12</f>
        <v>5.0377054377687802</v>
      </c>
      <c r="AB180" s="21">
        <f>EXP(-LN(2)/2)*AB179+(1-EXP(-LN(2)/2))/(LN(2)/2)*V180*Y180*VLOOKUP('Données projet'!$B$9,Paramètres!$A$1:$I$89,3,0)*0.475*44/12</f>
        <v>2.5348507004006452E-10</v>
      </c>
      <c r="AC180" s="22">
        <f t="shared" si="163"/>
        <v>58.410860680606007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373.47758082856359</v>
      </c>
      <c r="AO180" s="59">
        <f t="shared" si="144"/>
        <v>277.24895424120166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28.145958187755763</v>
      </c>
      <c r="AV180" s="21">
        <f>EXP(-LN(2)/25)*AV179+(1-EXP(-LN(2)/25))/(LN(2)/25)*Calculateur!AQ180*Calculateur!AS180*VLOOKUP('Données projet'!$B$10,Paramètres!$A$1:$I$89,3,0)*0.475*44/12</f>
        <v>2.4420867823385399</v>
      </c>
      <c r="AW180" s="21">
        <f>EXP(-LN(2)/2)*AW179+(1-EXP(-LN(2)/2))/(LN(2)/2)*AQ180*AT180*VLOOKUP('Données projet'!$B$10,Paramètres!$A$1:$I$89,3,0)*0.475*44/12</f>
        <v>8.0093324441233567E-14</v>
      </c>
      <c r="AX180" s="21">
        <f t="shared" si="166"/>
        <v>30.588044970094384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-6.8212102632969618E-13</v>
      </c>
      <c r="BE180" s="13">
        <f>BD180*VLOOKUP('Données projet'!$B$11,Paramètres!$A$1:$I$89,3,0)*VLOOKUP('Données projet'!$B$11,Paramètres!$A$1:$I$89,5,0)</f>
        <v>-4.0790837374515837E-13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460.88622650237176</v>
      </c>
      <c r="BJ180" s="59">
        <f t="shared" si="146"/>
        <v>396.05161661639647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32.891696258058381</v>
      </c>
      <c r="BQ180" s="21">
        <f>EXP(-LN(2)/25)*BQ179+(1-EXP(-LN(2)/25))/(LN(2)/25)*Calculateur!BL180*Calculateur!BN180*VLOOKUP('Données projet'!$B$11,Paramètres!$A$1:$I$89,3,0)*0.475*44/12</f>
        <v>2.6773051253718698</v>
      </c>
      <c r="BR180" s="21">
        <f>EXP(-LN(2)/2)*BR179+(1-EXP(-LN(2)/2))/(LN(2)/2)*BL180*BO180*VLOOKUP('Données projet'!$B$11,Paramètres!$A$1:$I$89,3,0)*0.475*44/12</f>
        <v>2.5859089593107122E-14</v>
      </c>
      <c r="BS180" s="22">
        <f t="shared" si="169"/>
        <v>35.569001383430276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-5.1727511163335289E-14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341.60063595566282</v>
      </c>
      <c r="CE180" s="59">
        <f t="shared" si="148"/>
        <v>317.05609766344219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26.995265664971257</v>
      </c>
      <c r="CL180" s="21">
        <f>EXP(-LN(2)/25)*CL179+(1-EXP(-LN(2)/25))/(LN(2)/25)*Calculateur!CG180*Calculateur!CI180*VLOOKUP('Données projet'!$B$12,Paramètres!$A$1:$I$89,3,0)*0.475*44/12</f>
        <v>2.4866503579687977</v>
      </c>
      <c r="CM180" s="21">
        <f>EXP(-LN(2)/2)*CM179+(1-EXP(-LN(2)/2))/(LN(2)/2)*CG180*CJ180*VLOOKUP('Données projet'!$B$12,Paramètres!$A$1:$I$89,3,0)*0.475*44/12</f>
        <v>2.1854143747559585E-15</v>
      </c>
      <c r="CN180" s="22">
        <f t="shared" si="172"/>
        <v>29.481916022940059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8.5265128291212022E-14</v>
      </c>
      <c r="CU180" s="17">
        <f>CT180*VLOOKUP('Données projet'!$B$13,Paramètres!$A$1:$I$89,3,0)*VLOOKUP('Données projet'!$B$13,Paramètres!$A$1:$I$89,5,0)</f>
        <v>8.9119112089974823E-14</v>
      </c>
      <c r="CV180" s="13">
        <f t="shared" si="173"/>
        <v>1.3568952080113142E-12</v>
      </c>
      <c r="CW180" s="20">
        <f t="shared" si="174"/>
        <v>2.5184749408430782E-12</v>
      </c>
      <c r="CX180" s="59">
        <f t="shared" si="122"/>
        <v>289.19348642289776</v>
      </c>
      <c r="CY180" s="59">
        <f ca="1">AVERAGE(OFFSET($CX$3,0,0,'Données projet'!$E$13+1,1))-AVERAGE(OFFSET($H$3,0,0,'Données projet'!$E$13+1,1))</f>
        <v>287.73449456153207</v>
      </c>
      <c r="CZ180" s="59">
        <f t="shared" si="150"/>
        <v>296.74833899433281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14.319398756106937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14.319398756106937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-1.8474111129762605E-13</v>
      </c>
      <c r="DP180" s="17">
        <f>DO180*VLOOKUP('Données projet'!$B$14,Paramètres!$A$1:$I$89,3,0)*VLOOKUP('Données projet'!$B$14,Paramètres!$A$1:$I$89,5,0)</f>
        <v>-1.8732748685579284E-13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532.34688562681413</v>
      </c>
      <c r="DU180" s="59">
        <f t="shared" si="152"/>
        <v>345.42627129678556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138.0278755754241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138.0278755754241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-5.1431925385259088E-14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256.20286603823035</v>
      </c>
      <c r="EP180" s="59">
        <f t="shared" si="154"/>
        <v>364.83827155069434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3.6868294546718197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3.6868294546718197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-1.8474111129762605E-13</v>
      </c>
      <c r="FF180" s="17">
        <f>FE180*VLOOKUP('Données projet'!$B$16,Paramètres!$A$1:$I$89,3,0)*VLOOKUP('Données projet'!$B$16,Paramètres!$A$1:$I$89,5,0)</f>
        <v>-1.2392433745844755E-13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380.73695370216979</v>
      </c>
      <c r="FK180" s="59">
        <f t="shared" si="156"/>
        <v>249.34467160415713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112.5458062384227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112.5458062384227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-1.8474111129762605E-13</v>
      </c>
      <c r="GA180" s="17">
        <f>FZ180*VLOOKUP('Données projet'!$B$17,Paramètres!$A$1:$I$89,3,0)*VLOOKUP('Données projet'!$B$17,Paramètres!$A$1:$I$89,5,0)</f>
        <v>-1.7868160284706392E-13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511.7458522930001</v>
      </c>
      <c r="GF180" s="59">
        <f t="shared" si="158"/>
        <v>332.37317679966122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131.65735824117374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131.65735824117374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-1.7053025658242404E-13</v>
      </c>
      <c r="GV180" s="17">
        <f>GU180*VLOOKUP('Données projet'!$B$18,Paramètres!$A$1:$I$89,3,0)*VLOOKUP('Données projet'!$B$18,Paramètres!$A$1:$I$89,5,0)</f>
        <v>-1.4897523215040567E-13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348.77506423101278</v>
      </c>
      <c r="HA180" s="59">
        <f t="shared" si="160"/>
        <v>336.13747591329548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19.566722822427074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19.566722822427074</v>
      </c>
    </row>
    <row r="181" spans="1:218" x14ac:dyDescent="0.2">
      <c r="A181" s="10">
        <f t="shared" si="161"/>
        <v>178</v>
      </c>
      <c r="B181" s="71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5">
        <f t="shared" si="110"/>
        <v>183.33333333333334</v>
      </c>
      <c r="I181" s="6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-2.1282176021486519E-13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387.50901594883317</v>
      </c>
      <c r="T181" s="59">
        <f t="shared" si="142"/>
        <v>361.3623790401972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52.326540222686894</v>
      </c>
      <c r="AA181" s="21">
        <f>EXP(-LN(2)/25)*AA180+(1-EXP(-LN(2)/25))/(LN(2)/25)*Calculateur!V181*Calculateur!X181*VLOOKUP('Données projet'!$B$9,Paramètres!$A$1:$I$89,3,0)*0.475*44/12</f>
        <v>4.8999491176515777</v>
      </c>
      <c r="AB181" s="21">
        <f>EXP(-LN(2)/2)*AB180+(1-EXP(-LN(2)/2))/(LN(2)/2)*V181*Y181*VLOOKUP('Données projet'!$B$9,Paramètres!$A$1:$I$89,3,0)*0.475*44/12</f>
        <v>1.7924101195487658E-10</v>
      </c>
      <c r="AC181" s="22">
        <f t="shared" si="163"/>
        <v>57.226489340517716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373.47758082856359</v>
      </c>
      <c r="AO181" s="59">
        <f t="shared" si="144"/>
        <v>277.24895424120166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27.594033115033234</v>
      </c>
      <c r="AV181" s="21">
        <f>EXP(-LN(2)/25)*AV180+(1-EXP(-LN(2)/25))/(LN(2)/25)*Calculateur!AQ181*Calculateur!AS181*VLOOKUP('Données projet'!$B$10,Paramètres!$A$1:$I$89,3,0)*0.475*44/12</f>
        <v>2.3753077908517302</v>
      </c>
      <c r="AW181" s="21">
        <f>EXP(-LN(2)/2)*AW180+(1-EXP(-LN(2)/2))/(LN(2)/2)*AQ181*AT181*VLOOKUP('Données projet'!$B$10,Paramètres!$A$1:$I$89,3,0)*0.475*44/12</f>
        <v>5.6634532840170506E-14</v>
      </c>
      <c r="AX181" s="21">
        <f t="shared" si="166"/>
        <v>29.969340905885019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-6.8212102632969618E-13</v>
      </c>
      <c r="BE181" s="13">
        <f>BD181*VLOOKUP('Données projet'!$B$11,Paramètres!$A$1:$I$89,3,0)*VLOOKUP('Données projet'!$B$11,Paramètres!$A$1:$I$89,5,0)</f>
        <v>-4.0790837374515837E-13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460.88622650237176</v>
      </c>
      <c r="BJ181" s="59">
        <f t="shared" si="146"/>
        <v>396.05161661639647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32.246710156391622</v>
      </c>
      <c r="BQ181" s="21">
        <f>EXP(-LN(2)/25)*BQ180+(1-EXP(-LN(2)/25))/(LN(2)/25)*Calculateur!BL181*Calculateur!BN181*VLOOKUP('Données projet'!$B$11,Paramètres!$A$1:$I$89,3,0)*0.475*44/12</f>
        <v>2.6040940759252185</v>
      </c>
      <c r="BR181" s="21">
        <f>EXP(-LN(2)/2)*BR180+(1-EXP(-LN(2)/2))/(LN(2)/2)*BL181*BO181*VLOOKUP('Données projet'!$B$11,Paramètres!$A$1:$I$89,3,0)*0.475*44/12</f>
        <v>1.8285137606596526E-14</v>
      </c>
      <c r="BS181" s="22">
        <f t="shared" si="169"/>
        <v>34.850804232316861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-5.1727511163335289E-14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341.60063595566282</v>
      </c>
      <c r="CE181" s="59">
        <f t="shared" si="148"/>
        <v>317.05609766344219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26.465904970767394</v>
      </c>
      <c r="CL181" s="21">
        <f>EXP(-LN(2)/25)*CL180+(1-EXP(-LN(2)/25))/(LN(2)/25)*Calculateur!CG181*Calculateur!CI181*VLOOKUP('Données projet'!$B$12,Paramètres!$A$1:$I$89,3,0)*0.475*44/12</f>
        <v>2.418652773162882</v>
      </c>
      <c r="CM181" s="21">
        <f>EXP(-LN(2)/2)*CM180+(1-EXP(-LN(2)/2))/(LN(2)/2)*CG181*CJ181*VLOOKUP('Données projet'!$B$12,Paramètres!$A$1:$I$89,3,0)*0.475*44/12</f>
        <v>1.5453213240924972E-15</v>
      </c>
      <c r="CN181" s="22">
        <f t="shared" si="172"/>
        <v>28.884557743930277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8.5265128291212022E-14</v>
      </c>
      <c r="CU181" s="17">
        <f>CT181*VLOOKUP('Données projet'!$B$13,Paramètres!$A$1:$I$89,3,0)*VLOOKUP('Données projet'!$B$13,Paramètres!$A$1:$I$89,5,0)</f>
        <v>8.9119112089974823E-14</v>
      </c>
      <c r="CV181" s="13">
        <f t="shared" si="173"/>
        <v>1.3568952080113142E-12</v>
      </c>
      <c r="CW181" s="20">
        <f t="shared" si="174"/>
        <v>2.5184749408430782E-12</v>
      </c>
      <c r="CX181" s="59">
        <f t="shared" si="122"/>
        <v>289.26530351148267</v>
      </c>
      <c r="CY181" s="59">
        <f ca="1">AVERAGE(OFFSET($CX$3,0,0,'Données projet'!$E$13+1,1))-AVERAGE(OFFSET($H$3,0,0,'Données projet'!$E$13+1,1))</f>
        <v>287.73449456153207</v>
      </c>
      <c r="CZ181" s="59">
        <f t="shared" si="150"/>
        <v>296.74833899433281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14.038604080470513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14.038604080470513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-1.8474111129762605E-13</v>
      </c>
      <c r="DP181" s="17">
        <f>DO181*VLOOKUP('Données projet'!$B$14,Paramètres!$A$1:$I$89,3,0)*VLOOKUP('Données projet'!$B$14,Paramètres!$A$1:$I$89,5,0)</f>
        <v>-1.8732748685579284E-13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532.34688562681413</v>
      </c>
      <c r="DU181" s="59">
        <f t="shared" si="152"/>
        <v>345.42627129678556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135.3212331240812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135.3212331240812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-5.1431925385259088E-14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256.20286603823035</v>
      </c>
      <c r="EP181" s="59">
        <f t="shared" si="154"/>
        <v>364.83827155069434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3.6145329778096276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3.6145329778096276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-1.8474111129762605E-13</v>
      </c>
      <c r="FF181" s="17">
        <f>FE181*VLOOKUP('Données projet'!$B$16,Paramètres!$A$1:$I$89,3,0)*VLOOKUP('Données projet'!$B$16,Paramètres!$A$1:$I$89,5,0)</f>
        <v>-1.2392433745844755E-13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380.73695370216979</v>
      </c>
      <c r="FK181" s="59">
        <f t="shared" si="156"/>
        <v>249.34467160415713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110.33885162425079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110.33885162425079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-1.8474111129762605E-13</v>
      </c>
      <c r="GA181" s="17">
        <f>FZ181*VLOOKUP('Données projet'!$B$17,Paramètres!$A$1:$I$89,3,0)*VLOOKUP('Données projet'!$B$17,Paramètres!$A$1:$I$89,5,0)</f>
        <v>-1.7868160284706392E-13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511.7458522930001</v>
      </c>
      <c r="GF181" s="59">
        <f t="shared" si="158"/>
        <v>332.37317679966122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129.07563774912359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129.07563774912359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-1.7053025658242404E-13</v>
      </c>
      <c r="GV181" s="17">
        <f>GU181*VLOOKUP('Données projet'!$B$18,Paramètres!$A$1:$I$89,3,0)*VLOOKUP('Données projet'!$B$18,Paramètres!$A$1:$I$89,5,0)</f>
        <v>-1.4897523215040567E-13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348.77506423101278</v>
      </c>
      <c r="HA181" s="59">
        <f t="shared" si="160"/>
        <v>336.13747591329548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19.183031322401764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19.183031322401764</v>
      </c>
    </row>
    <row r="182" spans="1:218" x14ac:dyDescent="0.2">
      <c r="A182" s="10">
        <f t="shared" si="161"/>
        <v>179</v>
      </c>
      <c r="B182" s="71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5">
        <f t="shared" si="110"/>
        <v>183.33333333333334</v>
      </c>
      <c r="I182" s="6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-2.1282176021486519E-13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387.50901594883317</v>
      </c>
      <c r="T182" s="59">
        <f t="shared" si="142"/>
        <v>361.3623790401972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51.300448684958091</v>
      </c>
      <c r="AA182" s="21">
        <f>EXP(-LN(2)/25)*AA181+(1-EXP(-LN(2)/25))/(LN(2)/25)*Calculateur!V182*Calculateur!X182*VLOOKUP('Données projet'!$B$9,Paramètres!$A$1:$I$89,3,0)*0.475*44/12</f>
        <v>4.7659597513522698</v>
      </c>
      <c r="AB182" s="21">
        <f>EXP(-LN(2)/2)*AB181+(1-EXP(-LN(2)/2))/(LN(2)/2)*V182*Y182*VLOOKUP('Données projet'!$B$9,Paramètres!$A$1:$I$89,3,0)*0.475*44/12</f>
        <v>1.2674253502003226E-10</v>
      </c>
      <c r="AC182" s="22">
        <f t="shared" si="163"/>
        <v>56.066408436437101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373.47758082856359</v>
      </c>
      <c r="AO182" s="59">
        <f t="shared" si="144"/>
        <v>277.24895424120166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27.05293095634574</v>
      </c>
      <c r="AV182" s="21">
        <f>EXP(-LN(2)/25)*AV181+(1-EXP(-LN(2)/25))/(LN(2)/25)*Calculateur!AQ182*Calculateur!AS182*VLOOKUP('Données projet'!$B$10,Paramètres!$A$1:$I$89,3,0)*0.475*44/12</f>
        <v>2.3103548743988815</v>
      </c>
      <c r="AW182" s="21">
        <f>EXP(-LN(2)/2)*AW181+(1-EXP(-LN(2)/2))/(LN(2)/2)*AQ182*AT182*VLOOKUP('Données projet'!$B$10,Paramètres!$A$1:$I$89,3,0)*0.475*44/12</f>
        <v>4.004666222061679E-14</v>
      </c>
      <c r="AX182" s="21">
        <f t="shared" si="166"/>
        <v>29.363285830744662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-6.8212102632969618E-13</v>
      </c>
      <c r="BE182" s="13">
        <f>BD182*VLOOKUP('Données projet'!$B$11,Paramètres!$A$1:$I$89,3,0)*VLOOKUP('Données projet'!$B$11,Paramètres!$A$1:$I$89,5,0)</f>
        <v>-4.0790837374515837E-13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460.88622650237176</v>
      </c>
      <c r="BJ182" s="59">
        <f t="shared" si="146"/>
        <v>396.05161661639647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31.61437183877587</v>
      </c>
      <c r="BQ182" s="21">
        <f>EXP(-LN(2)/25)*BQ181+(1-EXP(-LN(2)/25))/(LN(2)/25)*Calculateur!BL182*Calculateur!BN182*VLOOKUP('Données projet'!$B$11,Paramètres!$A$1:$I$89,3,0)*0.475*44/12</f>
        <v>2.5328849864756875</v>
      </c>
      <c r="BR182" s="21">
        <f>EXP(-LN(2)/2)*BR181+(1-EXP(-LN(2)/2))/(LN(2)/2)*BL182*BO182*VLOOKUP('Données projet'!$B$11,Paramètres!$A$1:$I$89,3,0)*0.475*44/12</f>
        <v>1.2929544796553561E-14</v>
      </c>
      <c r="BS182" s="22">
        <f t="shared" si="169"/>
        <v>34.147256825251574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-5.1727511163335289E-14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341.60063595566282</v>
      </c>
      <c r="CE182" s="59">
        <f t="shared" si="148"/>
        <v>317.05609766344219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25.946924716898728</v>
      </c>
      <c r="CL182" s="21">
        <f>EXP(-LN(2)/25)*CL181+(1-EXP(-LN(2)/25))/(LN(2)/25)*Calculateur!CG182*Calculateur!CI182*VLOOKUP('Données projet'!$B$12,Paramètres!$A$1:$I$89,3,0)*0.475*44/12</f>
        <v>2.3525145858893217</v>
      </c>
      <c r="CM182" s="21">
        <f>EXP(-LN(2)/2)*CM181+(1-EXP(-LN(2)/2))/(LN(2)/2)*CG182*CJ182*VLOOKUP('Données projet'!$B$12,Paramètres!$A$1:$I$89,3,0)*0.475*44/12</f>
        <v>1.0927071873779793E-15</v>
      </c>
      <c r="CN182" s="22">
        <f t="shared" si="172"/>
        <v>28.299439302788048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8.5265128291212022E-14</v>
      </c>
      <c r="CU182" s="17">
        <f>CT182*VLOOKUP('Données projet'!$B$13,Paramètres!$A$1:$I$89,3,0)*VLOOKUP('Données projet'!$B$13,Paramètres!$A$1:$I$89,5,0)</f>
        <v>8.9119112089974823E-14</v>
      </c>
      <c r="CV182" s="13">
        <f t="shared" si="173"/>
        <v>1.3568952080113142E-12</v>
      </c>
      <c r="CW182" s="20">
        <f t="shared" si="174"/>
        <v>2.5184749408430782E-12</v>
      </c>
      <c r="CX182" s="59">
        <f t="shared" si="122"/>
        <v>289.33587473413962</v>
      </c>
      <c r="CY182" s="59">
        <f ca="1">AVERAGE(OFFSET($CX$3,0,0,'Données projet'!$E$13+1,1))-AVERAGE(OFFSET($H$3,0,0,'Données projet'!$E$13+1,1))</f>
        <v>287.73449456153207</v>
      </c>
      <c r="CZ182" s="59">
        <f t="shared" si="150"/>
        <v>296.74833899433281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13.763315617155479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13.763315617155479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-1.8474111129762605E-13</v>
      </c>
      <c r="DP182" s="17">
        <f>DO182*VLOOKUP('Données projet'!$B$14,Paramètres!$A$1:$I$89,3,0)*VLOOKUP('Données projet'!$B$14,Paramètres!$A$1:$I$89,5,0)</f>
        <v>-1.8732748685579284E-13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532.34688562681413</v>
      </c>
      <c r="DU182" s="59">
        <f t="shared" si="152"/>
        <v>345.42627129678556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132.66766628032025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132.66766628032025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-5.1431925385259088E-14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256.20286603823035</v>
      </c>
      <c r="EP182" s="59">
        <f t="shared" si="154"/>
        <v>364.83827155069434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3.5436541907622066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3.5436541907622066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-1.8474111129762605E-13</v>
      </c>
      <c r="FF182" s="17">
        <f>FE182*VLOOKUP('Données projet'!$B$16,Paramètres!$A$1:$I$89,3,0)*VLOOKUP('Données projet'!$B$16,Paramètres!$A$1:$I$89,5,0)</f>
        <v>-1.2392433745844755E-13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380.73695370216979</v>
      </c>
      <c r="FK182" s="59">
        <f t="shared" si="156"/>
        <v>249.34467160415713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108.1751740439534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108.1751740439534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-1.8474111129762605E-13</v>
      </c>
      <c r="GA182" s="17">
        <f>FZ182*VLOOKUP('Données projet'!$B$17,Paramètres!$A$1:$I$89,3,0)*VLOOKUP('Données projet'!$B$17,Paramètres!$A$1:$I$89,5,0)</f>
        <v>-1.7868160284706392E-13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511.7458522930001</v>
      </c>
      <c r="GF182" s="59">
        <f t="shared" si="158"/>
        <v>332.37317679966122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126.54454322122852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126.54454322122852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-1.7053025658242404E-13</v>
      </c>
      <c r="GV182" s="17">
        <f>GU182*VLOOKUP('Données projet'!$B$18,Paramètres!$A$1:$I$89,3,0)*VLOOKUP('Données projet'!$B$18,Paramètres!$A$1:$I$89,5,0)</f>
        <v>-1.4897523215040567E-13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348.77506423101278</v>
      </c>
      <c r="HA182" s="59">
        <f t="shared" si="160"/>
        <v>336.13747591329548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18.806863778663242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18.806863778663242</v>
      </c>
    </row>
    <row r="183" spans="1:218" x14ac:dyDescent="0.2">
      <c r="A183" s="10">
        <f t="shared" si="161"/>
        <v>180</v>
      </c>
      <c r="B183" s="71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5">
        <f t="shared" si="110"/>
        <v>183.33333333333334</v>
      </c>
      <c r="I183" s="6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-2.1282176021486519E-13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387.50901594883317</v>
      </c>
      <c r="T183" s="59">
        <f t="shared" si="142"/>
        <v>361.3623790401972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50.294478176430111</v>
      </c>
      <c r="AA183" s="21">
        <f>EXP(-LN(2)/25)*AA182+(1-EXP(-LN(2)/25))/(LN(2)/25)*Calculateur!V183*Calculateur!X183*VLOOKUP('Données projet'!$B$9,Paramètres!$A$1:$I$89,3,0)*0.475*44/12</f>
        <v>4.6356343313206114</v>
      </c>
      <c r="AB183" s="21">
        <f>EXP(-LN(2)/2)*AB182+(1-EXP(-LN(2)/2))/(LN(2)/2)*V183*Y183*VLOOKUP('Données projet'!$B$9,Paramètres!$A$1:$I$89,3,0)*0.475*44/12</f>
        <v>8.9620505977438291E-11</v>
      </c>
      <c r="AC183" s="22">
        <f t="shared" si="163"/>
        <v>54.930112507840342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373.47758082856359</v>
      </c>
      <c r="AO183" s="59">
        <f t="shared" si="144"/>
        <v>277.24895424120166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26.522439480950379</v>
      </c>
      <c r="AV183" s="21">
        <f>EXP(-LN(2)/25)*AV182+(1-EXP(-LN(2)/25))/(LN(2)/25)*Calculateur!AQ183*Calculateur!AS183*VLOOKUP('Données projet'!$B$10,Paramètres!$A$1:$I$89,3,0)*0.475*44/12</f>
        <v>2.2471780988621615</v>
      </c>
      <c r="AW183" s="21">
        <f>EXP(-LN(2)/2)*AW182+(1-EXP(-LN(2)/2))/(LN(2)/2)*AQ183*AT183*VLOOKUP('Données projet'!$B$10,Paramètres!$A$1:$I$89,3,0)*0.475*44/12</f>
        <v>2.8317266420085256E-14</v>
      </c>
      <c r="AX183" s="21">
        <f t="shared" si="166"/>
        <v>28.769617579812568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-6.8212102632969618E-13</v>
      </c>
      <c r="BE183" s="13">
        <f>BD183*VLOOKUP('Données projet'!$B$11,Paramètres!$A$1:$I$89,3,0)*VLOOKUP('Données projet'!$B$11,Paramètres!$A$1:$I$89,5,0)</f>
        <v>-4.0790837374515837E-13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460.88622650237176</v>
      </c>
      <c r="BJ183" s="59">
        <f t="shared" si="146"/>
        <v>396.05161661639647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30.994433289880273</v>
      </c>
      <c r="BQ183" s="21">
        <f>EXP(-LN(2)/25)*BQ182+(1-EXP(-LN(2)/25))/(LN(2)/25)*Calculateur!BL183*Calculateur!BN183*VLOOKUP('Données projet'!$B$11,Paramètres!$A$1:$I$89,3,0)*0.475*44/12</f>
        <v>2.4636231133218773</v>
      </c>
      <c r="BR183" s="21">
        <f>EXP(-LN(2)/2)*BR182+(1-EXP(-LN(2)/2))/(LN(2)/2)*BL183*BO183*VLOOKUP('Données projet'!$B$11,Paramètres!$A$1:$I$89,3,0)*0.475*44/12</f>
        <v>9.1425688032982629E-15</v>
      </c>
      <c r="BS183" s="22">
        <f t="shared" si="169"/>
        <v>33.458056403202157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-5.1727511163335289E-14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341.60063595566282</v>
      </c>
      <c r="CE183" s="59">
        <f t="shared" si="148"/>
        <v>317.05609766344219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25.438121349261728</v>
      </c>
      <c r="CL183" s="21">
        <f>EXP(-LN(2)/25)*CL182+(1-EXP(-LN(2)/25))/(LN(2)/25)*Calculateur!CG183*Calculateur!CI183*VLOOKUP('Données projet'!$B$12,Paramètres!$A$1:$I$89,3,0)*0.475*44/12</f>
        <v>2.2881849508248129</v>
      </c>
      <c r="CM183" s="21">
        <f>EXP(-LN(2)/2)*CM182+(1-EXP(-LN(2)/2))/(LN(2)/2)*CG183*CJ183*VLOOKUP('Données projet'!$B$12,Paramètres!$A$1:$I$89,3,0)*0.475*44/12</f>
        <v>7.7266066204624858E-16</v>
      </c>
      <c r="CN183" s="22">
        <f t="shared" si="172"/>
        <v>27.726306300086542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8.5265128291212022E-14</v>
      </c>
      <c r="CU183" s="17">
        <f>CT183*VLOOKUP('Données projet'!$B$13,Paramètres!$A$1:$I$89,3,0)*VLOOKUP('Données projet'!$B$13,Paramètres!$A$1:$I$89,5,0)</f>
        <v>8.9119112089974823E-14</v>
      </c>
      <c r="CV183" s="13">
        <f t="shared" si="173"/>
        <v>1.3568952080113142E-12</v>
      </c>
      <c r="CW183" s="20">
        <f t="shared" si="174"/>
        <v>2.5184749408430782E-12</v>
      </c>
      <c r="CX183" s="59">
        <f t="shared" si="122"/>
        <v>289.40522170385714</v>
      </c>
      <c r="CY183" s="59">
        <f ca="1">AVERAGE(OFFSET($CX$3,0,0,'Données projet'!$E$13+1,1))-AVERAGE(OFFSET($H$3,0,0,'Données projet'!$E$13+1,1))</f>
        <v>287.73449456153207</v>
      </c>
      <c r="CZ183" s="59">
        <f t="shared" si="150"/>
        <v>296.74833899433281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13.49342539269667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13.49342539269667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-1.8474111129762605E-13</v>
      </c>
      <c r="DP183" s="17">
        <f>DO183*VLOOKUP('Données projet'!$B$14,Paramètres!$A$1:$I$89,3,0)*VLOOKUP('Données projet'!$B$14,Paramètres!$A$1:$I$89,5,0)</f>
        <v>-1.8732748685579284E-13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532.34688562681413</v>
      </c>
      <c r="DU183" s="59">
        <f t="shared" si="152"/>
        <v>345.42627129678556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130.06613426384948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130.06613426384948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-5.1431925385259088E-14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256.20286603823035</v>
      </c>
      <c r="EP183" s="59">
        <f t="shared" si="154"/>
        <v>364.83827155069434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3.474165293496994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3.474165293496994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-1.8474111129762605E-13</v>
      </c>
      <c r="FF183" s="17">
        <f>FE183*VLOOKUP('Données projet'!$B$16,Paramètres!$A$1:$I$89,3,0)*VLOOKUP('Données projet'!$B$16,Paramètres!$A$1:$I$89,5,0)</f>
        <v>-1.2392433745844755E-13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380.73695370216979</v>
      </c>
      <c r="FK183" s="59">
        <f t="shared" si="156"/>
        <v>249.34467160415713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106.05392486129263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106.05392486129263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-1.8474111129762605E-13</v>
      </c>
      <c r="GA183" s="17">
        <f>FZ183*VLOOKUP('Données projet'!$B$17,Paramètres!$A$1:$I$89,3,0)*VLOOKUP('Données projet'!$B$17,Paramètres!$A$1:$I$89,5,0)</f>
        <v>-1.7868160284706392E-13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511.7458522930001</v>
      </c>
      <c r="GF183" s="59">
        <f t="shared" si="158"/>
        <v>332.37317679966122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124.06308191321025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124.06308191321025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-1.7053025658242404E-13</v>
      </c>
      <c r="GV183" s="17">
        <f>GU183*VLOOKUP('Données projet'!$B$18,Paramètres!$A$1:$I$89,3,0)*VLOOKUP('Données projet'!$B$18,Paramètres!$A$1:$I$89,5,0)</f>
        <v>-1.4897523215040567E-13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348.77506423101278</v>
      </c>
      <c r="HA183" s="59">
        <f t="shared" si="160"/>
        <v>336.13747591329548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18.438072651017887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18.438072651017887</v>
      </c>
    </row>
    <row r="184" spans="1:218" x14ac:dyDescent="0.2">
      <c r="A184" s="10">
        <f t="shared" si="161"/>
        <v>181</v>
      </c>
      <c r="B184" s="71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5">
        <f t="shared" si="110"/>
        <v>183.33333333333334</v>
      </c>
      <c r="I184" s="6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-2.1282176021486519E-13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387.50901594883317</v>
      </c>
      <c r="T184" s="59">
        <f t="shared" si="142"/>
        <v>361.3623790401972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49.30823413599294</v>
      </c>
      <c r="AA184" s="21">
        <f>EXP(-LN(2)/25)*AA183+(1-EXP(-LN(2)/25))/(LN(2)/25)*Calculateur!V184*Calculateur!X184*VLOOKUP('Données projet'!$B$9,Paramètres!$A$1:$I$89,3,0)*0.475*44/12</f>
        <v>4.5088726667532351</v>
      </c>
      <c r="AB184" s="21">
        <f>EXP(-LN(2)/2)*AB183+(1-EXP(-LN(2)/2))/(LN(2)/2)*V184*Y184*VLOOKUP('Données projet'!$B$9,Paramètres!$A$1:$I$89,3,0)*0.475*44/12</f>
        <v>6.3371267510016131E-11</v>
      </c>
      <c r="AC184" s="22">
        <f t="shared" si="163"/>
        <v>53.817106802809548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373.47758082856359</v>
      </c>
      <c r="AO184" s="59">
        <f t="shared" si="144"/>
        <v>277.24895424120166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26.002350619819669</v>
      </c>
      <c r="AV184" s="21">
        <f>EXP(-LN(2)/25)*AV183+(1-EXP(-LN(2)/25))/(LN(2)/25)*Calculateur!AQ184*Calculateur!AS184*VLOOKUP('Données projet'!$B$10,Paramètres!$A$1:$I$89,3,0)*0.475*44/12</f>
        <v>2.1857288955748153</v>
      </c>
      <c r="AW184" s="21">
        <f>EXP(-LN(2)/2)*AW183+(1-EXP(-LN(2)/2))/(LN(2)/2)*AQ184*AT184*VLOOKUP('Données projet'!$B$10,Paramètres!$A$1:$I$89,3,0)*0.475*44/12</f>
        <v>2.0023331110308398E-14</v>
      </c>
      <c r="AX184" s="21">
        <f t="shared" si="166"/>
        <v>28.188079515394506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-6.8212102632969618E-13</v>
      </c>
      <c r="BE184" s="13">
        <f>BD184*VLOOKUP('Données projet'!$B$11,Paramètres!$A$1:$I$89,3,0)*VLOOKUP('Données projet'!$B$11,Paramètres!$A$1:$I$89,5,0)</f>
        <v>-4.0790837374515837E-13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460.88622650237176</v>
      </c>
      <c r="BJ184" s="59">
        <f t="shared" si="146"/>
        <v>396.05161661639647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30.386651357803341</v>
      </c>
      <c r="BQ184" s="21">
        <f>EXP(-LN(2)/25)*BQ183+(1-EXP(-LN(2)/25))/(LN(2)/25)*Calculateur!BL184*Calculateur!BN184*VLOOKUP('Données projet'!$B$11,Paramètres!$A$1:$I$89,3,0)*0.475*44/12</f>
        <v>2.3962552097317817</v>
      </c>
      <c r="BR184" s="21">
        <f>EXP(-LN(2)/2)*BR183+(1-EXP(-LN(2)/2))/(LN(2)/2)*BL184*BO184*VLOOKUP('Données projet'!$B$11,Paramètres!$A$1:$I$89,3,0)*0.475*44/12</f>
        <v>6.4647723982767806E-15</v>
      </c>
      <c r="BS184" s="22">
        <f t="shared" si="169"/>
        <v>32.782906567535129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-5.1727511163335289E-14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341.60063595566282</v>
      </c>
      <c r="CE184" s="59">
        <f t="shared" si="148"/>
        <v>317.05609766344219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24.939295305324677</v>
      </c>
      <c r="CL184" s="21">
        <f>EXP(-LN(2)/25)*CL183+(1-EXP(-LN(2)/25))/(LN(2)/25)*Calculateur!CG184*Calculateur!CI184*VLOOKUP('Données projet'!$B$12,Paramètres!$A$1:$I$89,3,0)*0.475*44/12</f>
        <v>2.2256144130140916</v>
      </c>
      <c r="CM184" s="21">
        <f>EXP(-LN(2)/2)*CM183+(1-EXP(-LN(2)/2))/(LN(2)/2)*CG184*CJ184*VLOOKUP('Données projet'!$B$12,Paramètres!$A$1:$I$89,3,0)*0.475*44/12</f>
        <v>5.4635359368898963E-16</v>
      </c>
      <c r="CN184" s="22">
        <f t="shared" si="172"/>
        <v>27.16490971833877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8.5265128291212022E-14</v>
      </c>
      <c r="CU184" s="17">
        <f>CT184*VLOOKUP('Données projet'!$B$13,Paramètres!$A$1:$I$89,3,0)*VLOOKUP('Données projet'!$B$13,Paramètres!$A$1:$I$89,5,0)</f>
        <v>8.9119112089974823E-14</v>
      </c>
      <c r="CV184" s="13">
        <f t="shared" si="173"/>
        <v>1.3568952080113142E-12</v>
      </c>
      <c r="CW184" s="20">
        <f t="shared" si="174"/>
        <v>2.5184749408430782E-12</v>
      </c>
      <c r="CX184" s="59">
        <f t="shared" si="122"/>
        <v>289.47336565868659</v>
      </c>
      <c r="CY184" s="59">
        <f ca="1">AVERAGE(OFFSET($CX$3,0,0,'Données projet'!$E$13+1,1))-AVERAGE(OFFSET($H$3,0,0,'Données projet'!$E$13+1,1))</f>
        <v>287.73449456153207</v>
      </c>
      <c r="CZ184" s="59">
        <f t="shared" si="150"/>
        <v>296.74833899433281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13.228827550922716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13.228827550922716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-1.8474111129762605E-13</v>
      </c>
      <c r="DP184" s="17">
        <f>DO184*VLOOKUP('Données projet'!$B$14,Paramètres!$A$1:$I$89,3,0)*VLOOKUP('Données projet'!$B$14,Paramètres!$A$1:$I$89,5,0)</f>
        <v>-1.8732748685579284E-13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532.34688562681413</v>
      </c>
      <c r="DU184" s="59">
        <f t="shared" si="152"/>
        <v>345.42627129678556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127.51561670344385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127.51561670344385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-5.1431925385259088E-14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256.20286603823035</v>
      </c>
      <c r="EP184" s="59">
        <f t="shared" si="154"/>
        <v>364.83827155069434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3.4060390311231101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3.4060390311231101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-1.8474111129762605E-13</v>
      </c>
      <c r="FF184" s="17">
        <f>FE184*VLOOKUP('Données projet'!$B$16,Paramètres!$A$1:$I$89,3,0)*VLOOKUP('Données projet'!$B$16,Paramètres!$A$1:$I$89,5,0)</f>
        <v>-1.2392433745844755E-13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380.73695370216979</v>
      </c>
      <c r="FK184" s="59">
        <f t="shared" si="156"/>
        <v>249.34467160415713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103.97427208126959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103.97427208126959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-1.8474111129762605E-13</v>
      </c>
      <c r="GA184" s="17">
        <f>FZ184*VLOOKUP('Données projet'!$B$17,Paramètres!$A$1:$I$89,3,0)*VLOOKUP('Données projet'!$B$17,Paramètres!$A$1:$I$89,5,0)</f>
        <v>-1.7868160284706392E-13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511.7458522930001</v>
      </c>
      <c r="GF184" s="59">
        <f t="shared" si="158"/>
        <v>332.37317679966122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121.63028054790027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121.63028054790027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-1.7053025658242404E-13</v>
      </c>
      <c r="GV184" s="17">
        <f>GU184*VLOOKUP('Données projet'!$B$18,Paramètres!$A$1:$I$89,3,0)*VLOOKUP('Données projet'!$B$18,Paramètres!$A$1:$I$89,5,0)</f>
        <v>-1.4897523215040567E-13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348.77506423101278</v>
      </c>
      <c r="HA184" s="59">
        <f t="shared" si="160"/>
        <v>336.13747591329548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18.076513292445281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18.076513292445281</v>
      </c>
    </row>
    <row r="185" spans="1:218" x14ac:dyDescent="0.2">
      <c r="A185" s="10">
        <f t="shared" si="161"/>
        <v>182</v>
      </c>
      <c r="B185" s="71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5">
        <f t="shared" si="110"/>
        <v>183.33333333333334</v>
      </c>
      <c r="I185" s="6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-2.1282176021486519E-13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387.50901594883317</v>
      </c>
      <c r="T185" s="59">
        <f t="shared" si="142"/>
        <v>361.3623790401972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48.341329739639278</v>
      </c>
      <c r="AA185" s="21">
        <f>EXP(-LN(2)/25)*AA184+(1-EXP(-LN(2)/25))/(LN(2)/25)*Calculateur!V185*Calculateur!X185*VLOOKUP('Données projet'!$B$9,Paramètres!$A$1:$I$89,3,0)*0.475*44/12</f>
        <v>4.3855773065695596</v>
      </c>
      <c r="AB185" s="21">
        <f>EXP(-LN(2)/2)*AB184+(1-EXP(-LN(2)/2))/(LN(2)/2)*V185*Y185*VLOOKUP('Données projet'!$B$9,Paramètres!$A$1:$I$89,3,0)*0.475*44/12</f>
        <v>4.4810252988719146E-11</v>
      </c>
      <c r="AC185" s="22">
        <f t="shared" si="163"/>
        <v>52.726907046253643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373.47758082856359</v>
      </c>
      <c r="AO185" s="59">
        <f t="shared" si="144"/>
        <v>277.24895424120166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25.492460384032853</v>
      </c>
      <c r="AV185" s="21">
        <f>EXP(-LN(2)/25)*AV184+(1-EXP(-LN(2)/25))/(LN(2)/25)*Calculateur!AQ185*Calculateur!AS185*VLOOKUP('Données projet'!$B$10,Paramètres!$A$1:$I$89,3,0)*0.475*44/12</f>
        <v>2.1259600239828349</v>
      </c>
      <c r="AW185" s="21">
        <f>EXP(-LN(2)/2)*AW184+(1-EXP(-LN(2)/2))/(LN(2)/2)*AQ185*AT185*VLOOKUP('Données projet'!$B$10,Paramètres!$A$1:$I$89,3,0)*0.475*44/12</f>
        <v>1.4158633210042631E-14</v>
      </c>
      <c r="AX185" s="21">
        <f t="shared" si="166"/>
        <v>27.618420408015702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-6.8212102632969618E-13</v>
      </c>
      <c r="BE185" s="13">
        <f>BD185*VLOOKUP('Données projet'!$B$11,Paramètres!$A$1:$I$89,3,0)*VLOOKUP('Données projet'!$B$11,Paramètres!$A$1:$I$89,5,0)</f>
        <v>-4.0790837374515837E-13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460.88622650237176</v>
      </c>
      <c r="BJ185" s="59">
        <f t="shared" si="146"/>
        <v>396.05161661639647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29.790787658704062</v>
      </c>
      <c r="BQ185" s="21">
        <f>EXP(-LN(2)/25)*BQ184+(1-EXP(-LN(2)/25))/(LN(2)/25)*Calculateur!BL185*Calculateur!BN185*VLOOKUP('Données projet'!$B$11,Paramètres!$A$1:$I$89,3,0)*0.475*44/12</f>
        <v>2.3307294850080815</v>
      </c>
      <c r="BR185" s="21">
        <f>EXP(-LN(2)/2)*BR184+(1-EXP(-LN(2)/2))/(LN(2)/2)*BL185*BO185*VLOOKUP('Données projet'!$B$11,Paramètres!$A$1:$I$89,3,0)*0.475*44/12</f>
        <v>4.5712844016491315E-15</v>
      </c>
      <c r="BS185" s="22">
        <f t="shared" si="169"/>
        <v>32.121517143712147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-5.1727511163335289E-14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341.60063595566282</v>
      </c>
      <c r="CE185" s="59">
        <f t="shared" si="148"/>
        <v>317.05609766344219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24.45025093585539</v>
      </c>
      <c r="CL185" s="21">
        <f>EXP(-LN(2)/25)*CL184+(1-EXP(-LN(2)/25))/(LN(2)/25)*Calculateur!CG185*Calculateur!CI185*VLOOKUP('Données projet'!$B$12,Paramètres!$A$1:$I$89,3,0)*0.475*44/12</f>
        <v>2.1647548698502459</v>
      </c>
      <c r="CM185" s="21">
        <f>EXP(-LN(2)/2)*CM184+(1-EXP(-LN(2)/2))/(LN(2)/2)*CG185*CJ185*VLOOKUP('Données projet'!$B$12,Paramètres!$A$1:$I$89,3,0)*0.475*44/12</f>
        <v>3.8633033102312429E-16</v>
      </c>
      <c r="CN185" s="22">
        <f t="shared" si="172"/>
        <v>26.615005805705636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8.5265128291212022E-14</v>
      </c>
      <c r="CU185" s="17">
        <f>CT185*VLOOKUP('Données projet'!$B$13,Paramètres!$A$1:$I$89,3,0)*VLOOKUP('Données projet'!$B$13,Paramètres!$A$1:$I$89,5,0)</f>
        <v>8.9119112089974823E-14</v>
      </c>
      <c r="CV185" s="13">
        <f t="shared" si="173"/>
        <v>1.3568952080113142E-12</v>
      </c>
      <c r="CW185" s="20">
        <f t="shared" si="174"/>
        <v>2.5184749408430782E-12</v>
      </c>
      <c r="CX185" s="59">
        <f t="shared" si="122"/>
        <v>289.54032746824691</v>
      </c>
      <c r="CY185" s="59">
        <f ca="1">AVERAGE(OFFSET($CX$3,0,0,'Données projet'!$E$13+1,1))-AVERAGE(OFFSET($H$3,0,0,'Données projet'!$E$13+1,1))</f>
        <v>287.73449456153207</v>
      </c>
      <c r="CZ185" s="59">
        <f t="shared" si="150"/>
        <v>296.74833899433281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12.969418311437201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12.969418311437201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-1.8474111129762605E-13</v>
      </c>
      <c r="DP185" s="17">
        <f>DO185*VLOOKUP('Données projet'!$B$14,Paramètres!$A$1:$I$89,3,0)*VLOOKUP('Données projet'!$B$14,Paramètres!$A$1:$I$89,5,0)</f>
        <v>-1.8732748685579284E-13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532.34688562681413</v>
      </c>
      <c r="DU185" s="59">
        <f t="shared" si="152"/>
        <v>345.42627129678556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125.01511323673569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125.01511323673569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-5.1431925385259088E-14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256.20286603823035</v>
      </c>
      <c r="EP185" s="59">
        <f t="shared" si="154"/>
        <v>364.83827155069434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3.3392486832014607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3.3392486832014607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-1.8474111129762605E-13</v>
      </c>
      <c r="FF185" s="17">
        <f>FE185*VLOOKUP('Données projet'!$B$16,Paramètres!$A$1:$I$89,3,0)*VLOOKUP('Données projet'!$B$16,Paramètres!$A$1:$I$89,5,0)</f>
        <v>-1.2392433745844755E-13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380.73695370216979</v>
      </c>
      <c r="FK185" s="59">
        <f t="shared" si="156"/>
        <v>249.34467160415713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101.93540002379984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101.93540002379984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-1.8474111129762605E-13</v>
      </c>
      <c r="GA185" s="17">
        <f>FZ185*VLOOKUP('Données projet'!$B$17,Paramètres!$A$1:$I$89,3,0)*VLOOKUP('Données projet'!$B$17,Paramètres!$A$1:$I$89,5,0)</f>
        <v>-1.7868160284706392E-13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511.7458522930001</v>
      </c>
      <c r="GF185" s="59">
        <f t="shared" si="158"/>
        <v>332.37317679966122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119.2451849335017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119.2451849335017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-1.7053025658242404E-13</v>
      </c>
      <c r="GV185" s="17">
        <f>GU185*VLOOKUP('Données projet'!$B$18,Paramètres!$A$1:$I$89,3,0)*VLOOKUP('Données projet'!$B$18,Paramètres!$A$1:$I$89,5,0)</f>
        <v>-1.4897523215040567E-13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348.77506423101278</v>
      </c>
      <c r="HA185" s="59">
        <f t="shared" si="160"/>
        <v>336.13747591329548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17.722043892364852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17.722043892364852</v>
      </c>
    </row>
    <row r="186" spans="1:218" x14ac:dyDescent="0.2">
      <c r="A186" s="10">
        <f t="shared" si="161"/>
        <v>183</v>
      </c>
      <c r="B186" s="71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5">
        <f t="shared" si="110"/>
        <v>183.33333333333334</v>
      </c>
      <c r="I186" s="6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-2.1282176021486519E-13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387.50901594883317</v>
      </c>
      <c r="T186" s="59">
        <f t="shared" si="142"/>
        <v>361.3623790401972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47.393385748744663</v>
      </c>
      <c r="AA186" s="21">
        <f>EXP(-LN(2)/25)*AA185+(1-EXP(-LN(2)/25))/(LN(2)/25)*Calculateur!V186*Calculateur!X186*VLOOKUP('Données projet'!$B$9,Paramètres!$A$1:$I$89,3,0)*0.475*44/12</f>
        <v>4.2656534644939281</v>
      </c>
      <c r="AB186" s="21">
        <f>EXP(-LN(2)/2)*AB185+(1-EXP(-LN(2)/2))/(LN(2)/2)*V186*Y186*VLOOKUP('Données projet'!$B$9,Paramètres!$A$1:$I$89,3,0)*0.475*44/12</f>
        <v>3.1685633755008066E-11</v>
      </c>
      <c r="AC186" s="22">
        <f t="shared" si="163"/>
        <v>51.659039213270276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373.47758082856359</v>
      </c>
      <c r="AO186" s="59">
        <f t="shared" si="144"/>
        <v>277.24895424120166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24.992568784767482</v>
      </c>
      <c r="AV186" s="21">
        <f>EXP(-LN(2)/25)*AV185+(1-EXP(-LN(2)/25))/(LN(2)/25)*Calculateur!AQ186*Calculateur!AS186*VLOOKUP('Données projet'!$B$10,Paramètres!$A$1:$I$89,3,0)*0.475*44/12</f>
        <v>2.0678255353276453</v>
      </c>
      <c r="AW186" s="21">
        <f>EXP(-LN(2)/2)*AW185+(1-EXP(-LN(2)/2))/(LN(2)/2)*AQ186*AT186*VLOOKUP('Données projet'!$B$10,Paramètres!$A$1:$I$89,3,0)*0.475*44/12</f>
        <v>1.0011665555154201E-14</v>
      </c>
      <c r="AX186" s="21">
        <f t="shared" si="166"/>
        <v>27.060394320095138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-6.8212102632969618E-13</v>
      </c>
      <c r="BE186" s="13">
        <f>BD186*VLOOKUP('Données projet'!$B$11,Paramètres!$A$1:$I$89,3,0)*VLOOKUP('Données projet'!$B$11,Paramètres!$A$1:$I$89,5,0)</f>
        <v>-4.0790837374515837E-13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460.88622650237176</v>
      </c>
      <c r="BJ186" s="59">
        <f t="shared" si="146"/>
        <v>396.05161661639647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29.20660848330315</v>
      </c>
      <c r="BQ186" s="21">
        <f>EXP(-LN(2)/25)*BQ185+(1-EXP(-LN(2)/25))/(LN(2)/25)*Calculateur!BL186*Calculateur!BN186*VLOOKUP('Données projet'!$B$11,Paramètres!$A$1:$I$89,3,0)*0.475*44/12</f>
        <v>2.2669955646727988</v>
      </c>
      <c r="BR186" s="21">
        <f>EXP(-LN(2)/2)*BR185+(1-EXP(-LN(2)/2))/(LN(2)/2)*BL186*BO186*VLOOKUP('Données projet'!$B$11,Paramètres!$A$1:$I$89,3,0)*0.475*44/12</f>
        <v>3.2323861991383903E-15</v>
      </c>
      <c r="BS186" s="22">
        <f t="shared" si="169"/>
        <v>31.47360404797595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-5.1727511163335289E-14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341.60063595566282</v>
      </c>
      <c r="CE186" s="59">
        <f t="shared" si="148"/>
        <v>317.05609766344219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23.970796428183782</v>
      </c>
      <c r="CL186" s="21">
        <f>EXP(-LN(2)/25)*CL185+(1-EXP(-LN(2)/25))/(LN(2)/25)*Calculateur!CG186*Calculateur!CI186*VLOOKUP('Données projet'!$B$12,Paramètres!$A$1:$I$89,3,0)*0.475*44/12</f>
        <v>2.10555953409468</v>
      </c>
      <c r="CM186" s="21">
        <f>EXP(-LN(2)/2)*CM185+(1-EXP(-LN(2)/2))/(LN(2)/2)*CG186*CJ186*VLOOKUP('Données projet'!$B$12,Paramètres!$A$1:$I$89,3,0)*0.475*44/12</f>
        <v>2.7317679684449482E-16</v>
      </c>
      <c r="CN186" s="22">
        <f t="shared" si="172"/>
        <v>26.076355962278463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8.5265128291212022E-14</v>
      </c>
      <c r="CU186" s="17">
        <f>CT186*VLOOKUP('Données projet'!$B$13,Paramètres!$A$1:$I$89,3,0)*VLOOKUP('Données projet'!$B$13,Paramètres!$A$1:$I$89,5,0)</f>
        <v>8.9119112089974823E-14</v>
      </c>
      <c r="CV186" s="13">
        <f t="shared" si="173"/>
        <v>1.3568952080113142E-12</v>
      </c>
      <c r="CW186" s="20">
        <f t="shared" si="174"/>
        <v>2.5184749408430782E-12</v>
      </c>
      <c r="CX186" s="59">
        <f t="shared" si="122"/>
        <v>289.60612764011546</v>
      </c>
      <c r="CY186" s="59">
        <f ca="1">AVERAGE(OFFSET($CX$3,0,0,'Données projet'!$E$13+1,1))-AVERAGE(OFFSET($H$3,0,0,'Données projet'!$E$13+1,1))</f>
        <v>287.73449456153207</v>
      </c>
      <c r="CZ186" s="59">
        <f t="shared" si="150"/>
        <v>296.74833899433281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12.715095928913984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12.715095928913984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-1.8474111129762605E-13</v>
      </c>
      <c r="DP186" s="17">
        <f>DO186*VLOOKUP('Données projet'!$B$14,Paramètres!$A$1:$I$89,3,0)*VLOOKUP('Données projet'!$B$14,Paramètres!$A$1:$I$89,5,0)</f>
        <v>-1.8732748685579284E-13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532.34688562681413</v>
      </c>
      <c r="DU186" s="59">
        <f t="shared" si="152"/>
        <v>345.42627129678556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122.56364311785315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122.56364311785315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-5.1431925385259088E-14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256.20286603823035</v>
      </c>
      <c r="EP186" s="59">
        <f t="shared" si="154"/>
        <v>364.83827155069434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3.2737680532644653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3.2737680532644653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-1.8474111129762605E-13</v>
      </c>
      <c r="FF186" s="17">
        <f>FE186*VLOOKUP('Données projet'!$B$16,Paramètres!$A$1:$I$89,3,0)*VLOOKUP('Données projet'!$B$16,Paramètres!$A$1:$I$89,5,0)</f>
        <v>-1.2392433745844755E-13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380.73695370216979</v>
      </c>
      <c r="FK186" s="59">
        <f t="shared" si="156"/>
        <v>249.34467160415713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99.936509003787918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99.936509003787918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-1.8474111129762605E-13</v>
      </c>
      <c r="GA186" s="17">
        <f>FZ186*VLOOKUP('Données projet'!$B$17,Paramètres!$A$1:$I$89,3,0)*VLOOKUP('Données projet'!$B$17,Paramètres!$A$1:$I$89,5,0)</f>
        <v>-1.7868160284706392E-13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511.7458522930001</v>
      </c>
      <c r="GF186" s="59">
        <f t="shared" si="158"/>
        <v>332.37317679966122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116.90685958933682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116.90685958933682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-1.7053025658242404E-13</v>
      </c>
      <c r="GV186" s="17">
        <f>GU186*VLOOKUP('Données projet'!$B$18,Paramètres!$A$1:$I$89,3,0)*VLOOKUP('Données projet'!$B$18,Paramètres!$A$1:$I$89,5,0)</f>
        <v>-1.4897523215040567E-13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348.77506423101278</v>
      </c>
      <c r="HA186" s="59">
        <f t="shared" si="160"/>
        <v>336.13747591329548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17.374525421015015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17.374525421015015</v>
      </c>
    </row>
    <row r="187" spans="1:218" x14ac:dyDescent="0.2">
      <c r="A187" s="10">
        <f t="shared" si="161"/>
        <v>184</v>
      </c>
      <c r="B187" s="71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5">
        <f t="shared" si="110"/>
        <v>183.33333333333334</v>
      </c>
      <c r="I187" s="6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-2.1282176021486519E-13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387.50901594883317</v>
      </c>
      <c r="T187" s="59">
        <f t="shared" si="142"/>
        <v>361.3623790401972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46.464030361322749</v>
      </c>
      <c r="AA187" s="21">
        <f>EXP(-LN(2)/25)*AA186+(1-EXP(-LN(2)/25))/(LN(2)/25)*Calculateur!V187*Calculateur!X187*VLOOKUP('Données projet'!$B$9,Paramètres!$A$1:$I$89,3,0)*0.475*44/12</f>
        <v>4.1490089461863748</v>
      </c>
      <c r="AB187" s="21">
        <f>EXP(-LN(2)/2)*AB186+(1-EXP(-LN(2)/2))/(LN(2)/2)*V187*Y187*VLOOKUP('Données projet'!$B$9,Paramètres!$A$1:$I$89,3,0)*0.475*44/12</f>
        <v>2.2405126494359573E-11</v>
      </c>
      <c r="AC187" s="22">
        <f t="shared" si="163"/>
        <v>50.61303930753153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373.47758082856359</v>
      </c>
      <c r="AO187" s="59">
        <f t="shared" si="144"/>
        <v>277.24895424120166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24.502479754859934</v>
      </c>
      <c r="AV187" s="21">
        <f>EXP(-LN(2)/25)*AV186+(1-EXP(-LN(2)/25))/(LN(2)/25)*Calculateur!AQ187*Calculateur!AS187*VLOOKUP('Données projet'!$B$10,Paramètres!$A$1:$I$89,3,0)*0.475*44/12</f>
        <v>2.0112807373218922</v>
      </c>
      <c r="AW187" s="21">
        <f>EXP(-LN(2)/2)*AW186+(1-EXP(-LN(2)/2))/(LN(2)/2)*AQ187*AT187*VLOOKUP('Données projet'!$B$10,Paramètres!$A$1:$I$89,3,0)*0.475*44/12</f>
        <v>7.0793166050213164E-15</v>
      </c>
      <c r="AX187" s="21">
        <f t="shared" si="166"/>
        <v>26.513760492181834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-6.8212102632969618E-13</v>
      </c>
      <c r="BE187" s="13">
        <f>BD187*VLOOKUP('Données projet'!$B$11,Paramètres!$A$1:$I$89,3,0)*VLOOKUP('Données projet'!$B$11,Paramètres!$A$1:$I$89,5,0)</f>
        <v>-4.0790837374515837E-13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460.88622650237176</v>
      </c>
      <c r="BJ187" s="59">
        <f t="shared" si="146"/>
        <v>396.05161661639647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28.633884705217735</v>
      </c>
      <c r="BQ187" s="21">
        <f>EXP(-LN(2)/25)*BQ186+(1-EXP(-LN(2)/25))/(LN(2)/25)*Calculateur!BL187*Calculateur!BN187*VLOOKUP('Données projet'!$B$11,Paramètres!$A$1:$I$89,3,0)*0.475*44/12</f>
        <v>2.2050044517407055</v>
      </c>
      <c r="BR187" s="21">
        <f>EXP(-LN(2)/2)*BR186+(1-EXP(-LN(2)/2))/(LN(2)/2)*BL187*BO187*VLOOKUP('Données projet'!$B$11,Paramètres!$A$1:$I$89,3,0)*0.475*44/12</f>
        <v>2.2856422008245657E-15</v>
      </c>
      <c r="BS187" s="22">
        <f t="shared" si="169"/>
        <v>30.838889156958444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-5.1727511163335289E-14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341.60063595566282</v>
      </c>
      <c r="CE187" s="59">
        <f t="shared" si="148"/>
        <v>317.05609766344219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23.500743730969241</v>
      </c>
      <c r="CL187" s="21">
        <f>EXP(-LN(2)/25)*CL186+(1-EXP(-LN(2)/25))/(LN(2)/25)*Calculateur!CG187*Calculateur!CI187*VLOOKUP('Données projet'!$B$12,Paramètres!$A$1:$I$89,3,0)*0.475*44/12</f>
        <v>2.0479828979082972</v>
      </c>
      <c r="CM187" s="21">
        <f>EXP(-LN(2)/2)*CM186+(1-EXP(-LN(2)/2))/(LN(2)/2)*CG187*CJ187*VLOOKUP('Données projet'!$B$12,Paramètres!$A$1:$I$89,3,0)*0.475*44/12</f>
        <v>1.9316516551156215E-16</v>
      </c>
      <c r="CN187" s="22">
        <f t="shared" si="172"/>
        <v>25.548726628877539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8.5265128291212022E-14</v>
      </c>
      <c r="CU187" s="17">
        <f>CT187*VLOOKUP('Données projet'!$B$13,Paramètres!$A$1:$I$89,3,0)*VLOOKUP('Données projet'!$B$13,Paramètres!$A$1:$I$89,5,0)</f>
        <v>8.9119112089974823E-14</v>
      </c>
      <c r="CV187" s="13">
        <f t="shared" si="173"/>
        <v>1.3568952080113142E-12</v>
      </c>
      <c r="CW187" s="20">
        <f t="shared" si="174"/>
        <v>2.5184749408430782E-12</v>
      </c>
      <c r="CX187" s="59">
        <f t="shared" si="122"/>
        <v>289.67078632610924</v>
      </c>
      <c r="CY187" s="59">
        <f ca="1">AVERAGE(OFFSET($CX$3,0,0,'Données projet'!$E$13+1,1))-AVERAGE(OFFSET($H$3,0,0,'Données projet'!$E$13+1,1))</f>
        <v>287.73449456153207</v>
      </c>
      <c r="CZ187" s="59">
        <f t="shared" si="150"/>
        <v>296.74833899433281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12.465760653190712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12.465760653190712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-1.8474111129762605E-13</v>
      </c>
      <c r="DP187" s="17">
        <f>DO187*VLOOKUP('Données projet'!$B$14,Paramètres!$A$1:$I$89,3,0)*VLOOKUP('Données projet'!$B$14,Paramètres!$A$1:$I$89,5,0)</f>
        <v>-1.8732748685579284E-13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532.34688562681413</v>
      </c>
      <c r="DU187" s="59">
        <f t="shared" si="152"/>
        <v>345.42627129678556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120.16024483275277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120.16024483275277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-5.1431925385259088E-14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256.20286603823035</v>
      </c>
      <c r="EP187" s="59">
        <f t="shared" si="154"/>
        <v>364.83827155069434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3.2095714585412938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3.2095714585412938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-1.8474111129762605E-13</v>
      </c>
      <c r="FF187" s="17">
        <f>FE187*VLOOKUP('Données projet'!$B$16,Paramètres!$A$1:$I$89,3,0)*VLOOKUP('Données projet'!$B$16,Paramètres!$A$1:$I$89,5,0)</f>
        <v>-1.2392433745844755E-13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380.73695370216979</v>
      </c>
      <c r="FK187" s="59">
        <f t="shared" si="156"/>
        <v>249.34467160415713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97.976815017475303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97.976815017475303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-1.8474111129762605E-13</v>
      </c>
      <c r="GA187" s="17">
        <f>FZ187*VLOOKUP('Données projet'!$B$17,Paramètres!$A$1:$I$89,3,0)*VLOOKUP('Données projet'!$B$17,Paramètres!$A$1:$I$89,5,0)</f>
        <v>-1.7868160284706392E-13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511.7458522930001</v>
      </c>
      <c r="GF187" s="59">
        <f t="shared" si="158"/>
        <v>332.37317679966122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114.61438737893337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114.61438737893337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-1.7053025658242404E-13</v>
      </c>
      <c r="GV187" s="17">
        <f>GU187*VLOOKUP('Données projet'!$B$18,Paramètres!$A$1:$I$89,3,0)*VLOOKUP('Données projet'!$B$18,Paramètres!$A$1:$I$89,5,0)</f>
        <v>-1.4897523215040567E-13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348.77506423101278</v>
      </c>
      <c r="HA187" s="59">
        <f t="shared" si="160"/>
        <v>336.13747591329548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17.03382157492301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17.03382157492301</v>
      </c>
    </row>
    <row r="188" spans="1:218" x14ac:dyDescent="0.2">
      <c r="A188" s="10">
        <f t="shared" si="161"/>
        <v>185</v>
      </c>
      <c r="B188" s="71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5">
        <f t="shared" si="110"/>
        <v>183.33333333333334</v>
      </c>
      <c r="I188" s="6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-2.1282176021486519E-13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387.50901594883317</v>
      </c>
      <c r="T188" s="59">
        <f t="shared" si="142"/>
        <v>361.3623790401972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45.552899066197362</v>
      </c>
      <c r="AA188" s="21">
        <f>EXP(-LN(2)/25)*AA187+(1-EXP(-LN(2)/25))/(LN(2)/25)*Calculateur!V188*Calculateur!X188*VLOOKUP('Données projet'!$B$9,Paramètres!$A$1:$I$89,3,0)*0.475*44/12</f>
        <v>4.0355540783660109</v>
      </c>
      <c r="AB188" s="21">
        <f>EXP(-LN(2)/2)*AB187+(1-EXP(-LN(2)/2))/(LN(2)/2)*V188*Y188*VLOOKUP('Données projet'!$B$9,Paramètres!$A$1:$I$89,3,0)*0.475*44/12</f>
        <v>1.5842816877504033E-11</v>
      </c>
      <c r="AC188" s="22">
        <f t="shared" si="163"/>
        <v>49.588453144579219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373.47758082856359</v>
      </c>
      <c r="AO188" s="59">
        <f t="shared" si="144"/>
        <v>277.24895424120166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24.022001071904082</v>
      </c>
      <c r="AV188" s="21">
        <f>EXP(-LN(2)/25)*AV187+(1-EXP(-LN(2)/25))/(LN(2)/25)*Calculateur!AQ188*Calculateur!AS188*VLOOKUP('Données projet'!$B$10,Paramètres!$A$1:$I$89,3,0)*0.475*44/12</f>
        <v>1.9562821597911679</v>
      </c>
      <c r="AW188" s="21">
        <f>EXP(-LN(2)/2)*AW187+(1-EXP(-LN(2)/2))/(LN(2)/2)*AQ188*AT188*VLOOKUP('Données projet'!$B$10,Paramètres!$A$1:$I$89,3,0)*0.475*44/12</f>
        <v>5.0058327775771011E-15</v>
      </c>
      <c r="AX188" s="21">
        <f t="shared" si="166"/>
        <v>25.978283231695254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-6.8212102632969618E-13</v>
      </c>
      <c r="BE188" s="13">
        <f>BD188*VLOOKUP('Données projet'!$B$11,Paramètres!$A$1:$I$89,3,0)*VLOOKUP('Données projet'!$B$11,Paramètres!$A$1:$I$89,5,0)</f>
        <v>-4.0790837374515837E-13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460.88622650237176</v>
      </c>
      <c r="BJ188" s="59">
        <f t="shared" si="146"/>
        <v>396.05161661639647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28.072391691093564</v>
      </c>
      <c r="BQ188" s="21">
        <f>EXP(-LN(2)/25)*BQ187+(1-EXP(-LN(2)/25))/(LN(2)/25)*Calculateur!BL188*Calculateur!BN188*VLOOKUP('Données projet'!$B$11,Paramètres!$A$1:$I$89,3,0)*0.475*44/12</f>
        <v>2.1447084890517112</v>
      </c>
      <c r="BR188" s="21">
        <f>EXP(-LN(2)/2)*BR187+(1-EXP(-LN(2)/2))/(LN(2)/2)*BL188*BO188*VLOOKUP('Données projet'!$B$11,Paramètres!$A$1:$I$89,3,0)*0.475*44/12</f>
        <v>1.6161930995691951E-15</v>
      </c>
      <c r="BS188" s="22">
        <f t="shared" si="169"/>
        <v>30.217100180145277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-5.1727511163335289E-14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341.60063595566282</v>
      </c>
      <c r="CE188" s="59">
        <f t="shared" si="148"/>
        <v>317.05609766344219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23.039908480443241</v>
      </c>
      <c r="CL188" s="21">
        <f>EXP(-LN(2)/25)*CL187+(1-EXP(-LN(2)/25))/(LN(2)/25)*Calculateur!CG188*Calculateur!CI188*VLOOKUP('Données projet'!$B$12,Paramètres!$A$1:$I$89,3,0)*0.475*44/12</f>
        <v>1.9919806978662549</v>
      </c>
      <c r="CM188" s="21">
        <f>EXP(-LN(2)/2)*CM187+(1-EXP(-LN(2)/2))/(LN(2)/2)*CG188*CJ188*VLOOKUP('Données projet'!$B$12,Paramètres!$A$1:$I$89,3,0)*0.475*44/12</f>
        <v>1.3658839842224741E-16</v>
      </c>
      <c r="CN188" s="22">
        <f t="shared" si="172"/>
        <v>25.031889178309495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8.5265128291212022E-14</v>
      </c>
      <c r="CU188" s="17">
        <f>CT188*VLOOKUP('Données projet'!$B$13,Paramètres!$A$1:$I$89,3,0)*VLOOKUP('Données projet'!$B$13,Paramètres!$A$1:$I$89,5,0)</f>
        <v>8.9119112089974823E-14</v>
      </c>
      <c r="CV188" s="13">
        <f t="shared" si="173"/>
        <v>1.3568952080113142E-12</v>
      </c>
      <c r="CW188" s="20">
        <f t="shared" si="174"/>
        <v>2.5184749408430782E-12</v>
      </c>
      <c r="CX188" s="59">
        <f t="shared" si="122"/>
        <v>289.73432332845624</v>
      </c>
      <c r="CY188" s="59">
        <f ca="1">AVERAGE(OFFSET($CX$3,0,0,'Données projet'!$E$13+1,1))-AVERAGE(OFFSET($H$3,0,0,'Données projet'!$E$13+1,1))</f>
        <v>287.73449456153207</v>
      </c>
      <c r="CZ188" s="59">
        <f t="shared" si="150"/>
        <v>296.74833899433281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12.221314690144871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12.221314690144871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-1.8474111129762605E-13</v>
      </c>
      <c r="DP188" s="17">
        <f>DO188*VLOOKUP('Données projet'!$B$14,Paramètres!$A$1:$I$89,3,0)*VLOOKUP('Données projet'!$B$14,Paramètres!$A$1:$I$89,5,0)</f>
        <v>-1.8732748685579284E-13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532.34688562681413</v>
      </c>
      <c r="DU188" s="59">
        <f t="shared" si="152"/>
        <v>345.42627129678556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117.80397572209499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117.80397572209499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-5.1431925385259088E-14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256.20286603823035</v>
      </c>
      <c r="EP188" s="59">
        <f t="shared" si="154"/>
        <v>364.83827155069434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3.1466337198845875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3.1466337198845875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-1.8474111129762605E-13</v>
      </c>
      <c r="FF188" s="17">
        <f>FE188*VLOOKUP('Données projet'!$B$16,Paramètres!$A$1:$I$89,3,0)*VLOOKUP('Données projet'!$B$16,Paramètres!$A$1:$I$89,5,0)</f>
        <v>-1.2392433745844755E-13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380.73695370216979</v>
      </c>
      <c r="FK188" s="59">
        <f t="shared" si="156"/>
        <v>249.34467160415713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96.055549434938968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96.055549434938968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-1.8474111129762605E-13</v>
      </c>
      <c r="GA188" s="17">
        <f>FZ188*VLOOKUP('Données projet'!$B$17,Paramètres!$A$1:$I$89,3,0)*VLOOKUP('Données projet'!$B$17,Paramètres!$A$1:$I$89,5,0)</f>
        <v>-1.7868160284706392E-13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511.7458522930001</v>
      </c>
      <c r="GF188" s="59">
        <f t="shared" si="158"/>
        <v>332.37317679966122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112.36686915030596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112.36686915030596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-1.7053025658242404E-13</v>
      </c>
      <c r="GV188" s="17">
        <f>GU188*VLOOKUP('Données projet'!$B$18,Paramètres!$A$1:$I$89,3,0)*VLOOKUP('Données projet'!$B$18,Paramètres!$A$1:$I$89,5,0)</f>
        <v>-1.4897523215040567E-13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348.77506423101278</v>
      </c>
      <c r="HA188" s="59">
        <f t="shared" si="160"/>
        <v>336.13747591329548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16.699798723444044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16.699798723444044</v>
      </c>
    </row>
    <row r="189" spans="1:218" x14ac:dyDescent="0.2">
      <c r="A189" s="10">
        <f t="shared" si="161"/>
        <v>186</v>
      </c>
      <c r="B189" s="71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5">
        <f t="shared" si="110"/>
        <v>183.33333333333334</v>
      </c>
      <c r="I189" s="6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-2.1282176021486519E-13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387.50901594883317</v>
      </c>
      <c r="T189" s="59">
        <f t="shared" si="142"/>
        <v>361.3623790401972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44.659634500034166</v>
      </c>
      <c r="AA189" s="21">
        <f>EXP(-LN(2)/25)*AA188+(1-EXP(-LN(2)/25))/(LN(2)/25)*Calculateur!V189*Calculateur!X189*VLOOKUP('Données projet'!$B$9,Paramètres!$A$1:$I$89,3,0)*0.475*44/12</f>
        <v>3.9252016398725269</v>
      </c>
      <c r="AB189" s="21">
        <f>EXP(-LN(2)/2)*AB188+(1-EXP(-LN(2)/2))/(LN(2)/2)*V189*Y189*VLOOKUP('Données projet'!$B$9,Paramètres!$A$1:$I$89,3,0)*0.475*44/12</f>
        <v>1.1202563247179786E-11</v>
      </c>
      <c r="AC189" s="22">
        <f t="shared" si="163"/>
        <v>48.584836139917897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373.47758082856359</v>
      </c>
      <c r="AO189" s="59">
        <f t="shared" si="144"/>
        <v>277.24895424120166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23.550944282857934</v>
      </c>
      <c r="AV189" s="21">
        <f>EXP(-LN(2)/25)*AV188+(1-EXP(-LN(2)/25))/(LN(2)/25)*Calculateur!AQ189*Calculateur!AS189*VLOOKUP('Données projet'!$B$10,Paramètres!$A$1:$I$89,3,0)*0.475*44/12</f>
        <v>1.9027875212552707</v>
      </c>
      <c r="AW189" s="21">
        <f>EXP(-LN(2)/2)*AW188+(1-EXP(-LN(2)/2))/(LN(2)/2)*AQ189*AT189*VLOOKUP('Données projet'!$B$10,Paramètres!$A$1:$I$89,3,0)*0.475*44/12</f>
        <v>3.539658302510659E-15</v>
      </c>
      <c r="AX189" s="21">
        <f t="shared" si="166"/>
        <v>25.453731804113207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-6.8212102632969618E-13</v>
      </c>
      <c r="BE189" s="13">
        <f>BD189*VLOOKUP('Données projet'!$B$11,Paramètres!$A$1:$I$89,3,0)*VLOOKUP('Données projet'!$B$11,Paramètres!$A$1:$I$89,5,0)</f>
        <v>-4.0790837374515837E-13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460.88622650237176</v>
      </c>
      <c r="BJ189" s="59">
        <f t="shared" si="146"/>
        <v>396.05161661639647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27.521909212499448</v>
      </c>
      <c r="BQ189" s="21">
        <f>EXP(-LN(2)/25)*BQ188+(1-EXP(-LN(2)/25))/(LN(2)/25)*Calculateur!BL189*Calculateur!BN189*VLOOKUP('Données projet'!$B$11,Paramètres!$A$1:$I$89,3,0)*0.475*44/12</f>
        <v>2.0860613226332747</v>
      </c>
      <c r="BR189" s="21">
        <f>EXP(-LN(2)/2)*BR188+(1-EXP(-LN(2)/2))/(LN(2)/2)*BL189*BO189*VLOOKUP('Données projet'!$B$11,Paramètres!$A$1:$I$89,3,0)*0.475*44/12</f>
        <v>1.1428211004122829E-15</v>
      </c>
      <c r="BS189" s="22">
        <f t="shared" si="169"/>
        <v>29.607970535132722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-5.1727511163335289E-14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341.60063595566282</v>
      </c>
      <c r="CE189" s="59">
        <f t="shared" si="148"/>
        <v>317.05609766344219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22.588109928098309</v>
      </c>
      <c r="CL189" s="21">
        <f>EXP(-LN(2)/25)*CL188+(1-EXP(-LN(2)/25))/(LN(2)/25)*Calculateur!CG189*Calculateur!CI189*VLOOKUP('Données projet'!$B$12,Paramètres!$A$1:$I$89,3,0)*0.475*44/12</f>
        <v>1.93750988092939</v>
      </c>
      <c r="CM189" s="21">
        <f>EXP(-LN(2)/2)*CM188+(1-EXP(-LN(2)/2))/(LN(2)/2)*CG189*CJ189*VLOOKUP('Données projet'!$B$12,Paramètres!$A$1:$I$89,3,0)*0.475*44/12</f>
        <v>9.6582582755781073E-17</v>
      </c>
      <c r="CN189" s="22">
        <f t="shared" si="172"/>
        <v>24.525619809027699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8.5265128291212022E-14</v>
      </c>
      <c r="CU189" s="17">
        <f>CT189*VLOOKUP('Données projet'!$B$13,Paramètres!$A$1:$I$89,3,0)*VLOOKUP('Données projet'!$B$13,Paramètres!$A$1:$I$89,5,0)</f>
        <v>8.9119112089974823E-14</v>
      </c>
      <c r="CV189" s="13">
        <f t="shared" si="173"/>
        <v>1.3568952080113142E-12</v>
      </c>
      <c r="CW189" s="20">
        <f t="shared" si="174"/>
        <v>2.5184749408430782E-12</v>
      </c>
      <c r="CX189" s="59">
        <f t="shared" si="122"/>
        <v>289.79675810585991</v>
      </c>
      <c r="CY189" s="59">
        <f ca="1">AVERAGE(OFFSET($CX$3,0,0,'Données projet'!$E$13+1,1))-AVERAGE(OFFSET($H$3,0,0,'Données projet'!$E$13+1,1))</f>
        <v>287.73449456153207</v>
      </c>
      <c r="CZ189" s="59">
        <f t="shared" si="150"/>
        <v>296.74833899433281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11.981662163337043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11.981662163337043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-1.8474111129762605E-13</v>
      </c>
      <c r="DP189" s="17">
        <f>DO189*VLOOKUP('Données projet'!$B$14,Paramètres!$A$1:$I$89,3,0)*VLOOKUP('Données projet'!$B$14,Paramètres!$A$1:$I$89,5,0)</f>
        <v>-1.8732748685579284E-13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532.34688562681413</v>
      </c>
      <c r="DU189" s="59">
        <f t="shared" si="152"/>
        <v>345.42627129678556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115.49391161151497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115.49391161151497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-5.1431925385259088E-14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256.20286603823035</v>
      </c>
      <c r="EP189" s="59">
        <f t="shared" si="154"/>
        <v>364.83827155069434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3.0849301518947092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3.0849301518947092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-1.8474111129762605E-13</v>
      </c>
      <c r="FF189" s="17">
        <f>FE189*VLOOKUP('Données projet'!$B$16,Paramètres!$A$1:$I$89,3,0)*VLOOKUP('Données projet'!$B$16,Paramètres!$A$1:$I$89,5,0)</f>
        <v>-1.2392433745844755E-13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380.73695370216979</v>
      </c>
      <c r="FK189" s="59">
        <f t="shared" si="156"/>
        <v>249.34467160415713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94.171958698619875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94.171958698619875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-1.8474111129762605E-13</v>
      </c>
      <c r="GA189" s="17">
        <f>FZ189*VLOOKUP('Données projet'!$B$17,Paramètres!$A$1:$I$89,3,0)*VLOOKUP('Données projet'!$B$17,Paramètres!$A$1:$I$89,5,0)</f>
        <v>-1.7868160284706392E-13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511.7458522930001</v>
      </c>
      <c r="GF189" s="59">
        <f t="shared" si="158"/>
        <v>332.37317679966122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110.16342338329117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110.16342338329117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-1.7053025658242404E-13</v>
      </c>
      <c r="GV189" s="17">
        <f>GU189*VLOOKUP('Données projet'!$B$18,Paramètres!$A$1:$I$89,3,0)*VLOOKUP('Données projet'!$B$18,Paramètres!$A$1:$I$89,5,0)</f>
        <v>-1.4897523215040567E-13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348.77506423101278</v>
      </c>
      <c r="HA189" s="59">
        <f t="shared" si="160"/>
        <v>336.13747591329548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16.372325856348755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16.372325856348755</v>
      </c>
    </row>
    <row r="190" spans="1:218" x14ac:dyDescent="0.2">
      <c r="A190" s="10">
        <f t="shared" si="161"/>
        <v>187</v>
      </c>
      <c r="B190" s="71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5">
        <f t="shared" si="110"/>
        <v>183.33333333333334</v>
      </c>
      <c r="I190" s="6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-2.1282176021486519E-13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387.50901594883317</v>
      </c>
      <c r="T190" s="59">
        <f t="shared" si="142"/>
        <v>361.3623790401972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43.783886307175848</v>
      </c>
      <c r="AA190" s="21">
        <f>EXP(-LN(2)/25)*AA189+(1-EXP(-LN(2)/25))/(LN(2)/25)*Calculateur!V190*Calculateur!X190*VLOOKUP('Données projet'!$B$9,Paramètres!$A$1:$I$89,3,0)*0.475*44/12</f>
        <v>3.8178667946128297</v>
      </c>
      <c r="AB190" s="21">
        <f>EXP(-LN(2)/2)*AB189+(1-EXP(-LN(2)/2))/(LN(2)/2)*V190*Y190*VLOOKUP('Données projet'!$B$9,Paramètres!$A$1:$I$89,3,0)*0.475*44/12</f>
        <v>7.9214084387520164E-12</v>
      </c>
      <c r="AC190" s="22">
        <f t="shared" si="163"/>
        <v>47.601753101796604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373.47758082856359</v>
      </c>
      <c r="AO190" s="59">
        <f t="shared" si="144"/>
        <v>277.24895424120166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23.089124630128712</v>
      </c>
      <c r="AV190" s="21">
        <f>EXP(-LN(2)/25)*AV189+(1-EXP(-LN(2)/25))/(LN(2)/25)*Calculateur!AQ190*Calculateur!AS190*VLOOKUP('Données projet'!$B$10,Paramètres!$A$1:$I$89,3,0)*0.475*44/12</f>
        <v>1.8507556964232985</v>
      </c>
      <c r="AW190" s="21">
        <f>EXP(-LN(2)/2)*AW189+(1-EXP(-LN(2)/2))/(LN(2)/2)*AQ190*AT190*VLOOKUP('Données projet'!$B$10,Paramètres!$A$1:$I$89,3,0)*0.475*44/12</f>
        <v>2.502916388788551E-15</v>
      </c>
      <c r="AX190" s="21">
        <f t="shared" si="166"/>
        <v>24.939880326552014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-6.8212102632969618E-13</v>
      </c>
      <c r="BE190" s="13">
        <f>BD190*VLOOKUP('Données projet'!$B$11,Paramètres!$A$1:$I$89,3,0)*VLOOKUP('Données projet'!$B$11,Paramètres!$A$1:$I$89,5,0)</f>
        <v>-4.0790837374515837E-13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460.88622650237176</v>
      </c>
      <c r="BJ190" s="59">
        <f t="shared" si="146"/>
        <v>396.05161661639647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26.982221359549403</v>
      </c>
      <c r="BQ190" s="21">
        <f>EXP(-LN(2)/25)*BQ189+(1-EXP(-LN(2)/25))/(LN(2)/25)*Calculateur!BL190*Calculateur!BN190*VLOOKUP('Données projet'!$B$11,Paramètres!$A$1:$I$89,3,0)*0.475*44/12</f>
        <v>2.0290178660646707</v>
      </c>
      <c r="BR190" s="21">
        <f>EXP(-LN(2)/2)*BR189+(1-EXP(-LN(2)/2))/(LN(2)/2)*BL190*BO190*VLOOKUP('Données projet'!$B$11,Paramètres!$A$1:$I$89,3,0)*0.475*44/12</f>
        <v>8.0809654978459757E-16</v>
      </c>
      <c r="BS190" s="22">
        <f t="shared" si="169"/>
        <v>29.011239225614073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-5.1727511163335289E-14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341.60063595566282</v>
      </c>
      <c r="CE190" s="59">
        <f t="shared" si="148"/>
        <v>317.05609766344219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22.145170869794953</v>
      </c>
      <c r="CL190" s="21">
        <f>EXP(-LN(2)/25)*CL189+(1-EXP(-LN(2)/25))/(LN(2)/25)*Calculateur!CG190*Calculateur!CI190*VLOOKUP('Données projet'!$B$12,Paramètres!$A$1:$I$89,3,0)*0.475*44/12</f>
        <v>1.8845285713461595</v>
      </c>
      <c r="CM190" s="21">
        <f>EXP(-LN(2)/2)*CM189+(1-EXP(-LN(2)/2))/(LN(2)/2)*CG190*CJ190*VLOOKUP('Données projet'!$B$12,Paramètres!$A$1:$I$89,3,0)*0.475*44/12</f>
        <v>6.8294199211123704E-17</v>
      </c>
      <c r="CN190" s="22">
        <f t="shared" si="172"/>
        <v>24.029699441141112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8.5265128291212022E-14</v>
      </c>
      <c r="CU190" s="17">
        <f>CT190*VLOOKUP('Données projet'!$B$13,Paramètres!$A$1:$I$89,3,0)*VLOOKUP('Données projet'!$B$13,Paramètres!$A$1:$I$89,5,0)</f>
        <v>8.9119112089974823E-14</v>
      </c>
      <c r="CV190" s="13">
        <f t="shared" si="173"/>
        <v>1.3568952080113142E-12</v>
      </c>
      <c r="CW190" s="20">
        <f t="shared" si="174"/>
        <v>2.5184749408430782E-12</v>
      </c>
      <c r="CX190" s="59">
        <f t="shared" si="122"/>
        <v>289.85810977945891</v>
      </c>
      <c r="CY190" s="59">
        <f ca="1">AVERAGE(OFFSET($CX$3,0,0,'Données projet'!$E$13+1,1))-AVERAGE(OFFSET($H$3,0,0,'Données projet'!$E$13+1,1))</f>
        <v>287.73449456153207</v>
      </c>
      <c r="CZ190" s="59">
        <f t="shared" si="150"/>
        <v>296.74833899433281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11.74670907640631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11.74670907640631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-1.8474111129762605E-13</v>
      </c>
      <c r="DP190" s="17">
        <f>DO190*VLOOKUP('Données projet'!$B$14,Paramètres!$A$1:$I$89,3,0)*VLOOKUP('Données projet'!$B$14,Paramètres!$A$1:$I$89,5,0)</f>
        <v>-1.8732748685579284E-13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532.34688562681413</v>
      </c>
      <c r="DU190" s="59">
        <f t="shared" si="152"/>
        <v>345.42627129678556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113.22914644914344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113.22914644914344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-5.1431925385259088E-14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256.20286603823035</v>
      </c>
      <c r="EP190" s="59">
        <f t="shared" si="154"/>
        <v>364.83827155069434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3.0244365532376518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3.0244365532376518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-1.8474111129762605E-13</v>
      </c>
      <c r="FF190" s="17">
        <f>FE190*VLOOKUP('Données projet'!$B$16,Paramètres!$A$1:$I$89,3,0)*VLOOKUP('Données projet'!$B$16,Paramètres!$A$1:$I$89,5,0)</f>
        <v>-1.2392433745844755E-13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380.73695370216979</v>
      </c>
      <c r="FK190" s="59">
        <f t="shared" si="156"/>
        <v>249.34467160415713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92.325304027763096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92.325304027763096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-1.8474111129762605E-13</v>
      </c>
      <c r="GA190" s="17">
        <f>FZ190*VLOOKUP('Données projet'!$B$17,Paramètres!$A$1:$I$89,3,0)*VLOOKUP('Données projet'!$B$17,Paramètres!$A$1:$I$89,5,0)</f>
        <v>-1.7868160284706392E-13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511.7458522930001</v>
      </c>
      <c r="GF190" s="59">
        <f t="shared" si="158"/>
        <v>332.37317679966122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108.00318584379833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108.00318584379833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-1.7053025658242404E-13</v>
      </c>
      <c r="GV190" s="17">
        <f>GU190*VLOOKUP('Données projet'!$B$18,Paramètres!$A$1:$I$89,3,0)*VLOOKUP('Données projet'!$B$18,Paramètres!$A$1:$I$89,5,0)</f>
        <v>-1.4897523215040567E-13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348.77506423101278</v>
      </c>
      <c r="HA190" s="59">
        <f t="shared" si="160"/>
        <v>336.13747591329548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16.05127453243848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16.05127453243848</v>
      </c>
    </row>
    <row r="191" spans="1:218" x14ac:dyDescent="0.2">
      <c r="A191" s="10">
        <f t="shared" si="161"/>
        <v>188</v>
      </c>
      <c r="B191" s="71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5">
        <f t="shared" si="110"/>
        <v>183.33333333333334</v>
      </c>
      <c r="I191" s="6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-2.1282176021486519E-13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387.50901594883317</v>
      </c>
      <c r="T191" s="59">
        <f t="shared" si="142"/>
        <v>361.3623790401972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42.925311002225826</v>
      </c>
      <c r="AA191" s="21">
        <f>EXP(-LN(2)/25)*AA190+(1-EXP(-LN(2)/25))/(LN(2)/25)*Calculateur!V191*Calculateur!X191*VLOOKUP('Données projet'!$B$9,Paramètres!$A$1:$I$89,3,0)*0.475*44/12</f>
        <v>3.7134670263412533</v>
      </c>
      <c r="AB191" s="21">
        <f>EXP(-LN(2)/2)*AB190+(1-EXP(-LN(2)/2))/(LN(2)/2)*V191*Y191*VLOOKUP('Données projet'!$B$9,Paramètres!$A$1:$I$89,3,0)*0.475*44/12</f>
        <v>5.6012816235898932E-12</v>
      </c>
      <c r="AC191" s="22">
        <f t="shared" si="163"/>
        <v>46.638778028572681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373.47758082856359</v>
      </c>
      <c r="AO191" s="59">
        <f t="shared" si="144"/>
        <v>277.24895424120166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22.636360979107334</v>
      </c>
      <c r="AV191" s="21">
        <f>EXP(-LN(2)/25)*AV190+(1-EXP(-LN(2)/25))/(LN(2)/25)*Calculateur!AQ191*Calculateur!AS191*VLOOKUP('Données projet'!$B$10,Paramètres!$A$1:$I$89,3,0)*0.475*44/12</f>
        <v>1.8001466845775913</v>
      </c>
      <c r="AW191" s="21">
        <f>EXP(-LN(2)/2)*AW190+(1-EXP(-LN(2)/2))/(LN(2)/2)*AQ191*AT191*VLOOKUP('Données projet'!$B$10,Paramètres!$A$1:$I$89,3,0)*0.475*44/12</f>
        <v>1.7698291512553297E-15</v>
      </c>
      <c r="AX191" s="21">
        <f t="shared" si="166"/>
        <v>24.436507663684925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-6.8212102632969618E-13</v>
      </c>
      <c r="BE191" s="13">
        <f>BD191*VLOOKUP('Données projet'!$B$11,Paramètres!$A$1:$I$89,3,0)*VLOOKUP('Données projet'!$B$11,Paramètres!$A$1:$I$89,5,0)</f>
        <v>-4.0790837374515837E-13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460.88622650237176</v>
      </c>
      <c r="BJ191" s="59">
        <f t="shared" si="146"/>
        <v>396.05161661639647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26.453116456218623</v>
      </c>
      <c r="BQ191" s="21">
        <f>EXP(-LN(2)/25)*BQ190+(1-EXP(-LN(2)/25))/(LN(2)/25)*Calculateur!BL191*Calculateur!BN191*VLOOKUP('Données projet'!$B$11,Paramètres!$A$1:$I$89,3,0)*0.475*44/12</f>
        <v>1.97353426581572</v>
      </c>
      <c r="BR191" s="21">
        <f>EXP(-LN(2)/2)*BR190+(1-EXP(-LN(2)/2))/(LN(2)/2)*BL191*BO191*VLOOKUP('Données projet'!$B$11,Paramètres!$A$1:$I$89,3,0)*0.475*44/12</f>
        <v>5.7141055020614143E-16</v>
      </c>
      <c r="BS191" s="22">
        <f t="shared" si="169"/>
        <v>28.426650722034342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-5.1727511163335289E-14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341.60063595566282</v>
      </c>
      <c r="CE191" s="59">
        <f t="shared" si="148"/>
        <v>317.05609766344219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21.710917576258776</v>
      </c>
      <c r="CL191" s="21">
        <f>EXP(-LN(2)/25)*CL190+(1-EXP(-LN(2)/25))/(LN(2)/25)*Calculateur!CG191*Calculateur!CI191*VLOOKUP('Données projet'!$B$12,Paramètres!$A$1:$I$89,3,0)*0.475*44/12</f>
        <v>1.8329960384596484</v>
      </c>
      <c r="CM191" s="21">
        <f>EXP(-LN(2)/2)*CM190+(1-EXP(-LN(2)/2))/(LN(2)/2)*CG191*CJ191*VLOOKUP('Données projet'!$B$12,Paramètres!$A$1:$I$89,3,0)*0.475*44/12</f>
        <v>4.8291291377890536E-17</v>
      </c>
      <c r="CN191" s="22">
        <f t="shared" si="172"/>
        <v>23.543913614718424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8.5265128291212022E-14</v>
      </c>
      <c r="CU191" s="17">
        <f>CT191*VLOOKUP('Données projet'!$B$13,Paramètres!$A$1:$I$89,3,0)*VLOOKUP('Données projet'!$B$13,Paramètres!$A$1:$I$89,5,0)</f>
        <v>8.9119112089974823E-14</v>
      </c>
      <c r="CV191" s="13">
        <f t="shared" si="173"/>
        <v>1.3568952080113142E-12</v>
      </c>
      <c r="CW191" s="20">
        <f t="shared" si="174"/>
        <v>2.5184749408430782E-12</v>
      </c>
      <c r="CX191" s="59">
        <f t="shared" si="122"/>
        <v>289.91839713868274</v>
      </c>
      <c r="CY191" s="59">
        <f ca="1">AVERAGE(OFFSET($CX$3,0,0,'Données projet'!$E$13+1,1))-AVERAGE(OFFSET($H$3,0,0,'Données projet'!$E$13+1,1))</f>
        <v>287.73449456153207</v>
      </c>
      <c r="CZ191" s="59">
        <f t="shared" si="150"/>
        <v>296.74833899433281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11.516363276203055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11.516363276203055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-1.8474111129762605E-13</v>
      </c>
      <c r="DP191" s="17">
        <f>DO191*VLOOKUP('Données projet'!$B$14,Paramètres!$A$1:$I$89,3,0)*VLOOKUP('Données projet'!$B$14,Paramètres!$A$1:$I$89,5,0)</f>
        <v>-1.8732748685579284E-13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532.34688562681413</v>
      </c>
      <c r="DU191" s="59">
        <f t="shared" si="152"/>
        <v>345.42627129678556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111.00879195023568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111.00879195023568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-5.1431925385259088E-14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256.20286603823035</v>
      </c>
      <c r="EP191" s="59">
        <f t="shared" si="154"/>
        <v>364.83827155069434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2.9651291971528075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2.9651291971528075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-1.8474111129762605E-13</v>
      </c>
      <c r="FF191" s="17">
        <f>FE191*VLOOKUP('Données projet'!$B$16,Paramètres!$A$1:$I$89,3,0)*VLOOKUP('Données projet'!$B$16,Paramètres!$A$1:$I$89,5,0)</f>
        <v>-1.2392433745844755E-13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380.73695370216979</v>
      </c>
      <c r="FK191" s="59">
        <f t="shared" si="156"/>
        <v>249.34467160415713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90.514861128653678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90.514861128653678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-1.8474111129762605E-13</v>
      </c>
      <c r="GA191" s="17">
        <f>FZ191*VLOOKUP('Données projet'!$B$17,Paramètres!$A$1:$I$89,3,0)*VLOOKUP('Données projet'!$B$17,Paramètres!$A$1:$I$89,5,0)</f>
        <v>-1.7868160284706392E-13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511.7458522930001</v>
      </c>
      <c r="GF191" s="59">
        <f t="shared" si="158"/>
        <v>332.37317679966122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105.88530924484016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105.88530924484016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-1.7053025658242404E-13</v>
      </c>
      <c r="GV191" s="17">
        <f>GU191*VLOOKUP('Données projet'!$B$18,Paramètres!$A$1:$I$89,3,0)*VLOOKUP('Données projet'!$B$18,Paramètres!$A$1:$I$89,5,0)</f>
        <v>-1.4897523215040567E-13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348.77506423101278</v>
      </c>
      <c r="HA191" s="59">
        <f t="shared" si="160"/>
        <v>336.13747591329548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15.736518829168114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15.736518829168114</v>
      </c>
    </row>
    <row r="192" spans="1:218" x14ac:dyDescent="0.2">
      <c r="A192" s="10">
        <f t="shared" si="161"/>
        <v>189</v>
      </c>
      <c r="B192" s="71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5">
        <f t="shared" si="110"/>
        <v>183.33333333333334</v>
      </c>
      <c r="I192" s="6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-2.1282176021486519E-13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387.50901594883317</v>
      </c>
      <c r="T192" s="59">
        <f t="shared" si="142"/>
        <v>361.3623790401972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42.083571835326644</v>
      </c>
      <c r="AA192" s="21">
        <f>EXP(-LN(2)/25)*AA191+(1-EXP(-LN(2)/25))/(LN(2)/25)*Calculateur!V192*Calculateur!X192*VLOOKUP('Données projet'!$B$9,Paramètres!$A$1:$I$89,3,0)*0.475*44/12</f>
        <v>3.611922075223208</v>
      </c>
      <c r="AB192" s="21">
        <f>EXP(-LN(2)/2)*AB191+(1-EXP(-LN(2)/2))/(LN(2)/2)*V192*Y192*VLOOKUP('Données projet'!$B$9,Paramètres!$A$1:$I$89,3,0)*0.475*44/12</f>
        <v>3.9607042193760082E-12</v>
      </c>
      <c r="AC192" s="22">
        <f t="shared" si="163"/>
        <v>45.695493910553807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373.47758082856359</v>
      </c>
      <c r="AO192" s="59">
        <f t="shared" si="144"/>
        <v>277.24895424120166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22.192475747123925</v>
      </c>
      <c r="AV192" s="21">
        <f>EXP(-LN(2)/25)*AV191+(1-EXP(-LN(2)/25))/(LN(2)/25)*Calculateur!AQ192*Calculateur!AS192*VLOOKUP('Données projet'!$B$10,Paramètres!$A$1:$I$89,3,0)*0.475*44/12</f>
        <v>1.7509215788222172</v>
      </c>
      <c r="AW192" s="21">
        <f>EXP(-LN(2)/2)*AW191+(1-EXP(-LN(2)/2))/(LN(2)/2)*AQ192*AT192*VLOOKUP('Données projet'!$B$10,Paramètres!$A$1:$I$89,3,0)*0.475*44/12</f>
        <v>1.2514581943942757E-15</v>
      </c>
      <c r="AX192" s="21">
        <f t="shared" si="166"/>
        <v>23.943397325946144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-6.8212102632969618E-13</v>
      </c>
      <c r="BE192" s="13">
        <f>BD192*VLOOKUP('Données projet'!$B$11,Paramètres!$A$1:$I$89,3,0)*VLOOKUP('Données projet'!$B$11,Paramètres!$A$1:$I$89,5,0)</f>
        <v>-4.0790837374515837E-13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460.88622650237176</v>
      </c>
      <c r="BJ192" s="59">
        <f t="shared" si="146"/>
        <v>396.05161661639647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25.934386977320035</v>
      </c>
      <c r="BQ192" s="21">
        <f>EXP(-LN(2)/25)*BQ191+(1-EXP(-LN(2)/25))/(LN(2)/25)*Calculateur!BL192*Calculateur!BN192*VLOOKUP('Données projet'!$B$11,Paramètres!$A$1:$I$89,3,0)*0.475*44/12</f>
        <v>1.9195678675333328</v>
      </c>
      <c r="BR192" s="21">
        <f>EXP(-LN(2)/2)*BR191+(1-EXP(-LN(2)/2))/(LN(2)/2)*BL192*BO192*VLOOKUP('Données projet'!$B$11,Paramètres!$A$1:$I$89,3,0)*0.475*44/12</f>
        <v>4.0404827489229879E-16</v>
      </c>
      <c r="BS192" s="22">
        <f t="shared" si="169"/>
        <v>27.853954844853366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-5.1727511163335289E-14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341.60063595566282</v>
      </c>
      <c r="CE192" s="59">
        <f t="shared" si="148"/>
        <v>317.05609766344219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21.285179724940491</v>
      </c>
      <c r="CL192" s="21">
        <f>EXP(-LN(2)/25)*CL191+(1-EXP(-LN(2)/25))/(LN(2)/25)*Calculateur!CG192*Calculateur!CI192*VLOOKUP('Données projet'!$B$12,Paramètres!$A$1:$I$89,3,0)*0.475*44/12</f>
        <v>1.782872665394897</v>
      </c>
      <c r="CM192" s="21">
        <f>EXP(-LN(2)/2)*CM191+(1-EXP(-LN(2)/2))/(LN(2)/2)*CG192*CJ192*VLOOKUP('Données projet'!$B$12,Paramètres!$A$1:$I$89,3,0)*0.475*44/12</f>
        <v>3.4147099605561852E-17</v>
      </c>
      <c r="CN192" s="22">
        <f t="shared" si="172"/>
        <v>23.068052390335389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8.5265128291212022E-14</v>
      </c>
      <c r="CU192" s="17">
        <f>CT192*VLOOKUP('Données projet'!$B$13,Paramètres!$A$1:$I$89,3,0)*VLOOKUP('Données projet'!$B$13,Paramètres!$A$1:$I$89,5,0)</f>
        <v>8.9119112089974823E-14</v>
      </c>
      <c r="CV192" s="13">
        <f t="shared" si="173"/>
        <v>1.3568952080113142E-12</v>
      </c>
      <c r="CW192" s="20">
        <f t="shared" si="174"/>
        <v>2.5184749408430782E-12</v>
      </c>
      <c r="CX192" s="59">
        <f t="shared" si="122"/>
        <v>289.97763864700636</v>
      </c>
      <c r="CY192" s="59">
        <f ca="1">AVERAGE(OFFSET($CX$3,0,0,'Données projet'!$E$13+1,1))-AVERAGE(OFFSET($H$3,0,0,'Données projet'!$E$13+1,1))</f>
        <v>287.73449456153207</v>
      </c>
      <c r="CZ192" s="59">
        <f t="shared" si="150"/>
        <v>296.74833899433281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11.290534416644721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11.290534416644721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-1.8474111129762605E-13</v>
      </c>
      <c r="DP192" s="17">
        <f>DO192*VLOOKUP('Données projet'!$B$14,Paramètres!$A$1:$I$89,3,0)*VLOOKUP('Données projet'!$B$14,Paramètres!$A$1:$I$89,5,0)</f>
        <v>-1.8732748685579284E-13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532.34688562681413</v>
      </c>
      <c r="DU192" s="59">
        <f t="shared" si="152"/>
        <v>345.42627129678556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108.83197724876896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108.83197724876896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-5.1431925385259088E-14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256.20286603823035</v>
      </c>
      <c r="EP192" s="59">
        <f t="shared" si="154"/>
        <v>364.83827155069434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2.9069848221468719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2.9069848221468719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-1.8474111129762605E-13</v>
      </c>
      <c r="FF192" s="17">
        <f>FE192*VLOOKUP('Données projet'!$B$16,Paramètres!$A$1:$I$89,3,0)*VLOOKUP('Données projet'!$B$16,Paramètres!$A$1:$I$89,5,0)</f>
        <v>-1.2392433745844755E-13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380.73695370216979</v>
      </c>
      <c r="FK192" s="59">
        <f t="shared" si="156"/>
        <v>249.34467160415713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88.739919910534667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88.739919910534667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-1.8474111129762605E-13</v>
      </c>
      <c r="GA192" s="17">
        <f>FZ192*VLOOKUP('Données projet'!$B$17,Paramètres!$A$1:$I$89,3,0)*VLOOKUP('Données projet'!$B$17,Paramètres!$A$1:$I$89,5,0)</f>
        <v>-1.7868160284706392E-13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511.7458522930001</v>
      </c>
      <c r="GF192" s="59">
        <f t="shared" si="158"/>
        <v>332.37317679966122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103.80896291421037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103.80896291421037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-1.7053025658242404E-13</v>
      </c>
      <c r="GV192" s="17">
        <f>GU192*VLOOKUP('Données projet'!$B$18,Paramètres!$A$1:$I$89,3,0)*VLOOKUP('Données projet'!$B$18,Paramètres!$A$1:$I$89,5,0)</f>
        <v>-1.4897523215040567E-13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348.77506423101278</v>
      </c>
      <c r="HA192" s="59">
        <f t="shared" si="160"/>
        <v>336.13747591329548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15.427935293256857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15.427935293256857</v>
      </c>
    </row>
    <row r="193" spans="1:218" x14ac:dyDescent="0.2">
      <c r="A193" s="10">
        <f t="shared" si="161"/>
        <v>190</v>
      </c>
      <c r="B193" s="71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5">
        <f t="shared" si="110"/>
        <v>183.33333333333334</v>
      </c>
      <c r="I193" s="6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-2.1282176021486519E-13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387.50901594883317</v>
      </c>
      <c r="T193" s="59">
        <f t="shared" si="142"/>
        <v>361.3623790401972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41.258338660080163</v>
      </c>
      <c r="AA193" s="21">
        <f>EXP(-LN(2)/25)*AA192+(1-EXP(-LN(2)/25))/(LN(2)/25)*Calculateur!V193*Calculateur!X193*VLOOKUP('Données projet'!$B$9,Paramètres!$A$1:$I$89,3,0)*0.475*44/12</f>
        <v>3.5131538761335026</v>
      </c>
      <c r="AB193" s="21">
        <f>EXP(-LN(2)/2)*AB192+(1-EXP(-LN(2)/2))/(LN(2)/2)*V193*Y193*VLOOKUP('Données projet'!$B$9,Paramètres!$A$1:$I$89,3,0)*0.475*44/12</f>
        <v>2.8006408117949466E-12</v>
      </c>
      <c r="AC193" s="22">
        <f t="shared" si="163"/>
        <v>44.771492536216464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373.47758082856359</v>
      </c>
      <c r="AO193" s="59">
        <f t="shared" si="144"/>
        <v>277.24895424120166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21.757294833796454</v>
      </c>
      <c r="AV193" s="21">
        <f>EXP(-LN(2)/25)*AV192+(1-EXP(-LN(2)/25))/(LN(2)/25)*Calculateur!AQ193*Calculateur!AS193*VLOOKUP('Données projet'!$B$10,Paramètres!$A$1:$I$89,3,0)*0.475*44/12</f>
        <v>1.7030425361723596</v>
      </c>
      <c r="AW193" s="21">
        <f>EXP(-LN(2)/2)*AW192+(1-EXP(-LN(2)/2))/(LN(2)/2)*AQ193*AT193*VLOOKUP('Données projet'!$B$10,Paramètres!$A$1:$I$89,3,0)*0.475*44/12</f>
        <v>8.8491457562766505E-16</v>
      </c>
      <c r="AX193" s="21">
        <f t="shared" si="166"/>
        <v>23.460337369968812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-6.8212102632969618E-13</v>
      </c>
      <c r="BE193" s="13">
        <f>BD193*VLOOKUP('Données projet'!$B$11,Paramètres!$A$1:$I$89,3,0)*VLOOKUP('Données projet'!$B$11,Paramètres!$A$1:$I$89,5,0)</f>
        <v>-4.0790837374515837E-13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460.88622650237176</v>
      </c>
      <c r="BJ193" s="59">
        <f t="shared" si="146"/>
        <v>396.05161661639647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25.425829467108905</v>
      </c>
      <c r="BQ193" s="21">
        <f>EXP(-LN(2)/25)*BQ192+(1-EXP(-LN(2)/25))/(LN(2)/25)*Calculateur!BL193*Calculateur!BN193*VLOOKUP('Données projet'!$B$11,Paramètres!$A$1:$I$89,3,0)*0.475*44/12</f>
        <v>1.8670771832499469</v>
      </c>
      <c r="BR193" s="21">
        <f>EXP(-LN(2)/2)*BR192+(1-EXP(-LN(2)/2))/(LN(2)/2)*BL193*BO193*VLOOKUP('Données projet'!$B$11,Paramètres!$A$1:$I$89,3,0)*0.475*44/12</f>
        <v>2.8570527510307072E-16</v>
      </c>
      <c r="BS193" s="22">
        <f t="shared" si="169"/>
        <v>27.292906650358852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-5.1727511163335289E-14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341.60063595566282</v>
      </c>
      <c r="CE193" s="59">
        <f t="shared" si="148"/>
        <v>317.05609766344219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20.867790333212106</v>
      </c>
      <c r="CL193" s="21">
        <f>EXP(-LN(2)/25)*CL192+(1-EXP(-LN(2)/25))/(LN(2)/25)*Calculateur!CG193*Calculateur!CI193*VLOOKUP('Données projet'!$B$12,Paramètres!$A$1:$I$89,3,0)*0.475*44/12</f>
        <v>1.7341199186024749</v>
      </c>
      <c r="CM193" s="21">
        <f>EXP(-LN(2)/2)*CM192+(1-EXP(-LN(2)/2))/(LN(2)/2)*CG193*CJ193*VLOOKUP('Données projet'!$B$12,Paramètres!$A$1:$I$89,3,0)*0.475*44/12</f>
        <v>2.4145645688945268E-17</v>
      </c>
      <c r="CN193" s="22">
        <f t="shared" si="172"/>
        <v>22.60191025181458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8.5265128291212022E-14</v>
      </c>
      <c r="CU193" s="17">
        <f>CT193*VLOOKUP('Données projet'!$B$13,Paramètres!$A$1:$I$89,3,0)*VLOOKUP('Données projet'!$B$13,Paramètres!$A$1:$I$89,5,0)</f>
        <v>8.9119112089974823E-14</v>
      </c>
      <c r="CV193" s="13">
        <f t="shared" si="173"/>
        <v>1.3568952080113142E-12</v>
      </c>
      <c r="CW193" s="20">
        <f t="shared" si="174"/>
        <v>2.5184749408430782E-12</v>
      </c>
      <c r="CX193" s="59">
        <f t="shared" si="122"/>
        <v>290.03585244760478</v>
      </c>
      <c r="CY193" s="59">
        <f ca="1">AVERAGE(OFFSET($CX$3,0,0,'Données projet'!$E$13+1,1))-AVERAGE(OFFSET($H$3,0,0,'Données projet'!$E$13+1,1))</f>
        <v>287.73449456153207</v>
      </c>
      <c r="CZ193" s="59">
        <f t="shared" si="150"/>
        <v>296.74833899433281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11.069133923280322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11.069133923280322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-1.8474111129762605E-13</v>
      </c>
      <c r="DP193" s="17">
        <f>DO193*VLOOKUP('Données projet'!$B$14,Paramètres!$A$1:$I$89,3,0)*VLOOKUP('Données projet'!$B$14,Paramètres!$A$1:$I$89,5,0)</f>
        <v>-1.8732748685579284E-13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532.34688562681413</v>
      </c>
      <c r="DU193" s="59">
        <f t="shared" si="152"/>
        <v>345.42627129678556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106.69784855587216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106.69784855587216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-5.1431925385259088E-14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256.20286603823035</v>
      </c>
      <c r="EP193" s="59">
        <f t="shared" si="154"/>
        <v>364.83827155069434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2.8499806228702358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2.8499806228702358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-1.8474111129762605E-13</v>
      </c>
      <c r="FF193" s="17">
        <f>FE193*VLOOKUP('Données projet'!$B$16,Paramètres!$A$1:$I$89,3,0)*VLOOKUP('Données projet'!$B$16,Paramètres!$A$1:$I$89,5,0)</f>
        <v>-1.2392433745844755E-13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380.73695370216979</v>
      </c>
      <c r="FK193" s="59">
        <f t="shared" si="156"/>
        <v>249.34467160415713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86.999784207095729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86.999784207095729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-1.8474111129762605E-13</v>
      </c>
      <c r="GA193" s="17">
        <f>FZ193*VLOOKUP('Données projet'!$B$17,Paramètres!$A$1:$I$89,3,0)*VLOOKUP('Données projet'!$B$17,Paramètres!$A$1:$I$89,5,0)</f>
        <v>-1.7868160284706392E-13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511.7458522930001</v>
      </c>
      <c r="GF193" s="59">
        <f t="shared" si="158"/>
        <v>332.37317679966122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101.77333246867802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101.77333246867802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-1.7053025658242404E-13</v>
      </c>
      <c r="GV193" s="17">
        <f>GU193*VLOOKUP('Données projet'!$B$18,Paramètres!$A$1:$I$89,3,0)*VLOOKUP('Données projet'!$B$18,Paramètres!$A$1:$I$89,5,0)</f>
        <v>-1.4897523215040567E-13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348.77506423101278</v>
      </c>
      <c r="HA193" s="59">
        <f t="shared" si="160"/>
        <v>336.13747591329548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15.125402892267447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15.125402892267447</v>
      </c>
    </row>
    <row r="194" spans="1:218" x14ac:dyDescent="0.2">
      <c r="A194" s="10">
        <f t="shared" si="161"/>
        <v>191</v>
      </c>
      <c r="B194" s="71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5">
        <f t="shared" si="110"/>
        <v>183.33333333333334</v>
      </c>
      <c r="I194" s="6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-2.1282176021486519E-13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387.50901594883317</v>
      </c>
      <c r="T194" s="59">
        <f t="shared" si="142"/>
        <v>361.3623790401972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40.449287804057725</v>
      </c>
      <c r="AA194" s="21">
        <f>EXP(-LN(2)/25)*AA193+(1-EXP(-LN(2)/25))/(LN(2)/25)*Calculateur!V194*Calculateur!X194*VLOOKUP('Données projet'!$B$9,Paramètres!$A$1:$I$89,3,0)*0.475*44/12</f>
        <v>3.4170864986418992</v>
      </c>
      <c r="AB194" s="21">
        <f>EXP(-LN(2)/2)*AB193+(1-EXP(-LN(2)/2))/(LN(2)/2)*V194*Y194*VLOOKUP('Données projet'!$B$9,Paramètres!$A$1:$I$89,3,0)*0.475*44/12</f>
        <v>1.9803521096880041E-12</v>
      </c>
      <c r="AC194" s="22">
        <f t="shared" si="163"/>
        <v>43.866374302701608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373.47758082856359</v>
      </c>
      <c r="AO194" s="59">
        <f t="shared" si="144"/>
        <v>277.24895424120166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21.330647552745187</v>
      </c>
      <c r="AV194" s="21">
        <f>EXP(-LN(2)/25)*AV193+(1-EXP(-LN(2)/25))/(LN(2)/25)*Calculateur!AQ194*Calculateur!AS194*VLOOKUP('Données projet'!$B$10,Paramètres!$A$1:$I$89,3,0)*0.475*44/12</f>
        <v>1.6564727484616117</v>
      </c>
      <c r="AW194" s="21">
        <f>EXP(-LN(2)/2)*AW193+(1-EXP(-LN(2)/2))/(LN(2)/2)*AQ194*AT194*VLOOKUP('Données projet'!$B$10,Paramètres!$A$1:$I$89,3,0)*0.475*44/12</f>
        <v>6.2572909719713794E-16</v>
      </c>
      <c r="AX194" s="21">
        <f t="shared" si="166"/>
        <v>22.987120301206801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-6.8212102632969618E-13</v>
      </c>
      <c r="BE194" s="13">
        <f>BD194*VLOOKUP('Données projet'!$B$11,Paramètres!$A$1:$I$89,3,0)*VLOOKUP('Données projet'!$B$11,Paramètres!$A$1:$I$89,5,0)</f>
        <v>-4.0790837374515837E-13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460.88622650237176</v>
      </c>
      <c r="BJ194" s="59">
        <f t="shared" si="146"/>
        <v>396.05161661639647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24.927244459483564</v>
      </c>
      <c r="BQ194" s="21">
        <f>EXP(-LN(2)/25)*BQ193+(1-EXP(-LN(2)/25))/(LN(2)/25)*Calculateur!BL194*Calculateur!BN194*VLOOKUP('Données projet'!$B$11,Paramètres!$A$1:$I$89,3,0)*0.475*44/12</f>
        <v>1.8160218594886552</v>
      </c>
      <c r="BR194" s="21">
        <f>EXP(-LN(2)/2)*BR193+(1-EXP(-LN(2)/2))/(LN(2)/2)*BL194*BO194*VLOOKUP('Données projet'!$B$11,Paramètres!$A$1:$I$89,3,0)*0.475*44/12</f>
        <v>2.0202413744614939E-16</v>
      </c>
      <c r="BS194" s="22">
        <f t="shared" si="169"/>
        <v>26.743266318972218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-5.1727511163335289E-14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341.60063595566282</v>
      </c>
      <c r="CE194" s="59">
        <f t="shared" si="148"/>
        <v>317.05609766344219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20.458585692873125</v>
      </c>
      <c r="CL194" s="21">
        <f>EXP(-LN(2)/25)*CL193+(1-EXP(-LN(2)/25))/(LN(2)/25)*Calculateur!CG194*Calculateur!CI194*VLOOKUP('Données projet'!$B$12,Paramètres!$A$1:$I$89,3,0)*0.475*44/12</f>
        <v>1.6867003182348872</v>
      </c>
      <c r="CM194" s="21">
        <f>EXP(-LN(2)/2)*CM193+(1-EXP(-LN(2)/2))/(LN(2)/2)*CG194*CJ194*VLOOKUP('Données projet'!$B$12,Paramètres!$A$1:$I$89,3,0)*0.475*44/12</f>
        <v>1.7073549802780926E-17</v>
      </c>
      <c r="CN194" s="22">
        <f t="shared" si="172"/>
        <v>22.145286011108013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8.5265128291212022E-14</v>
      </c>
      <c r="CU194" s="17">
        <f>CT194*VLOOKUP('Données projet'!$B$13,Paramètres!$A$1:$I$89,3,0)*VLOOKUP('Données projet'!$B$13,Paramètres!$A$1:$I$89,5,0)</f>
        <v>8.9119112089974823E-14</v>
      </c>
      <c r="CV194" s="13">
        <f t="shared" si="173"/>
        <v>1.3568952080113142E-12</v>
      </c>
      <c r="CW194" s="20">
        <f t="shared" si="174"/>
        <v>2.5184749408430782E-12</v>
      </c>
      <c r="CX194" s="59">
        <f t="shared" si="122"/>
        <v>290.09305636890934</v>
      </c>
      <c r="CY194" s="59">
        <f ca="1">AVERAGE(OFFSET($CX$3,0,0,'Données projet'!$E$13+1,1))-AVERAGE(OFFSET($H$3,0,0,'Données projet'!$E$13+1,1))</f>
        <v>287.73449456153207</v>
      </c>
      <c r="CZ194" s="59">
        <f t="shared" si="150"/>
        <v>296.74833899433281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10.852074958549833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10.852074958549833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-1.8474111129762605E-13</v>
      </c>
      <c r="DP194" s="17">
        <f>DO194*VLOOKUP('Données projet'!$B$14,Paramètres!$A$1:$I$89,3,0)*VLOOKUP('Données projet'!$B$14,Paramètres!$A$1:$I$89,5,0)</f>
        <v>-1.8732748685579284E-13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532.34688562681413</v>
      </c>
      <c r="DU194" s="59">
        <f t="shared" si="152"/>
        <v>345.42627129678556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104.60556882495308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104.60556882495308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-5.1431925385259088E-14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256.20286603823035</v>
      </c>
      <c r="EP194" s="59">
        <f t="shared" si="154"/>
        <v>364.83827155069434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2.794094241172286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2.794094241172286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-1.8474111129762605E-13</v>
      </c>
      <c r="FF194" s="17">
        <f>FE194*VLOOKUP('Données projet'!$B$16,Paramètres!$A$1:$I$89,3,0)*VLOOKUP('Données projet'!$B$16,Paramètres!$A$1:$I$89,5,0)</f>
        <v>-1.2392433745844755E-13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380.73695370216979</v>
      </c>
      <c r="FK194" s="59">
        <f t="shared" si="156"/>
        <v>249.34467160415713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85.293771503423258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85.293771503423258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-1.8474111129762605E-13</v>
      </c>
      <c r="GA194" s="17">
        <f>FZ194*VLOOKUP('Données projet'!$B$17,Paramètres!$A$1:$I$89,3,0)*VLOOKUP('Données projet'!$B$17,Paramètres!$A$1:$I$89,5,0)</f>
        <v>-1.7868160284706392E-13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511.7458522930001</v>
      </c>
      <c r="GF194" s="59">
        <f t="shared" si="158"/>
        <v>332.37317679966122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99.777619494570601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99.777619494570601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-1.7053025658242404E-13</v>
      </c>
      <c r="GV194" s="17">
        <f>GU194*VLOOKUP('Données projet'!$B$18,Paramètres!$A$1:$I$89,3,0)*VLOOKUP('Données projet'!$B$18,Paramètres!$A$1:$I$89,5,0)</f>
        <v>-1.4897523215040567E-13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348.77506423101278</v>
      </c>
      <c r="HA194" s="59">
        <f t="shared" si="160"/>
        <v>336.13747591329548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14.828802967134896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14.828802967134896</v>
      </c>
    </row>
    <row r="195" spans="1:218" x14ac:dyDescent="0.2">
      <c r="A195" s="10">
        <f t="shared" si="161"/>
        <v>192</v>
      </c>
      <c r="B195" s="71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5">
        <f t="shared" si="110"/>
        <v>183.33333333333334</v>
      </c>
      <c r="I195" s="6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-2.1282176021486519E-13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387.50901594883317</v>
      </c>
      <c r="T195" s="59">
        <f t="shared" si="142"/>
        <v>361.3623790401972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39.656101941849592</v>
      </c>
      <c r="AA195" s="21">
        <f>EXP(-LN(2)/25)*AA194+(1-EXP(-LN(2)/25))/(LN(2)/25)*Calculateur!V195*Calculateur!X195*VLOOKUP('Données projet'!$B$9,Paramètres!$A$1:$I$89,3,0)*0.475*44/12</f>
        <v>3.3236460886397672</v>
      </c>
      <c r="AB195" s="21">
        <f>EXP(-LN(2)/2)*AB194+(1-EXP(-LN(2)/2))/(LN(2)/2)*V195*Y195*VLOOKUP('Données projet'!$B$9,Paramètres!$A$1:$I$89,3,0)*0.475*44/12</f>
        <v>1.4003204058974733E-12</v>
      </c>
      <c r="AC195" s="22">
        <f t="shared" si="163"/>
        <v>42.979748030490761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373.47758082856359</v>
      </c>
      <c r="AO195" s="59">
        <f t="shared" si="144"/>
        <v>277.24895424120166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20.912366564646192</v>
      </c>
      <c r="AV195" s="21">
        <f>EXP(-LN(2)/25)*AV194+(1-EXP(-LN(2)/25))/(LN(2)/25)*Calculateur!AQ195*Calculateur!AS195*VLOOKUP('Données projet'!$B$10,Paramètres!$A$1:$I$89,3,0)*0.475*44/12</f>
        <v>1.611176414044813</v>
      </c>
      <c r="AW195" s="21">
        <f>EXP(-LN(2)/2)*AW194+(1-EXP(-LN(2)/2))/(LN(2)/2)*AQ195*AT195*VLOOKUP('Données projet'!$B$10,Paramètres!$A$1:$I$89,3,0)*0.475*44/12</f>
        <v>4.4245728781383257E-16</v>
      </c>
      <c r="AX195" s="21">
        <f t="shared" si="166"/>
        <v>22.523542978691005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-6.8212102632969618E-13</v>
      </c>
      <c r="BE195" s="13">
        <f>BD195*VLOOKUP('Données projet'!$B$11,Paramètres!$A$1:$I$89,3,0)*VLOOKUP('Données projet'!$B$11,Paramètres!$A$1:$I$89,5,0)</f>
        <v>-4.0790837374515837E-13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460.88622650237176</v>
      </c>
      <c r="BJ195" s="59">
        <f t="shared" si="146"/>
        <v>396.05161661639647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24.43843639975093</v>
      </c>
      <c r="BQ195" s="21">
        <f>EXP(-LN(2)/25)*BQ194+(1-EXP(-LN(2)/25))/(LN(2)/25)*Calculateur!BL195*Calculateur!BN195*VLOOKUP('Données projet'!$B$11,Paramètres!$A$1:$I$89,3,0)*0.475*44/12</f>
        <v>1.7663626462404989</v>
      </c>
      <c r="BR195" s="21">
        <f>EXP(-LN(2)/2)*BR194+(1-EXP(-LN(2)/2))/(LN(2)/2)*BL195*BO195*VLOOKUP('Données projet'!$B$11,Paramètres!$A$1:$I$89,3,0)*0.475*44/12</f>
        <v>1.4285263755153536E-16</v>
      </c>
      <c r="BS195" s="22">
        <f t="shared" si="169"/>
        <v>26.204799045991429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-5.1727511163335289E-14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341.60063595566282</v>
      </c>
      <c r="CE195" s="59">
        <f t="shared" si="148"/>
        <v>317.05609766344219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20.057405305941007</v>
      </c>
      <c r="CL195" s="21">
        <f>EXP(-LN(2)/25)*CL194+(1-EXP(-LN(2)/25))/(LN(2)/25)*Calculateur!CG195*Calculateur!CI195*VLOOKUP('Données projet'!$B$12,Paramètres!$A$1:$I$89,3,0)*0.475*44/12</f>
        <v>1.6405774093330394</v>
      </c>
      <c r="CM195" s="21">
        <f>EXP(-LN(2)/2)*CM194+(1-EXP(-LN(2)/2))/(LN(2)/2)*CG195*CJ195*VLOOKUP('Données projet'!$B$12,Paramètres!$A$1:$I$89,3,0)*0.475*44/12</f>
        <v>1.2072822844472634E-17</v>
      </c>
      <c r="CN195" s="22">
        <f t="shared" si="172"/>
        <v>21.697982715274048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8.5265128291212022E-14</v>
      </c>
      <c r="CU195" s="17">
        <f>CT195*VLOOKUP('Données projet'!$B$13,Paramètres!$A$1:$I$89,3,0)*VLOOKUP('Données projet'!$B$13,Paramètres!$A$1:$I$89,5,0)</f>
        <v>8.9119112089974823E-14</v>
      </c>
      <c r="CV195" s="13">
        <f t="shared" si="173"/>
        <v>1.3568952080113142E-12</v>
      </c>
      <c r="CW195" s="20">
        <f t="shared" si="174"/>
        <v>2.5184749408430782E-12</v>
      </c>
      <c r="CX195" s="59">
        <f t="shared" si="122"/>
        <v>290.14926793006816</v>
      </c>
      <c r="CY195" s="59">
        <f ca="1">AVERAGE(OFFSET($CX$3,0,0,'Données projet'!$E$13+1,1))-AVERAGE(OFFSET($H$3,0,0,'Données projet'!$E$13+1,1))</f>
        <v>287.73449456153207</v>
      </c>
      <c r="CZ195" s="59">
        <f t="shared" si="150"/>
        <v>296.74833899433281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10.639272387724812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10.639272387724812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-1.8474111129762605E-13</v>
      </c>
      <c r="DP195" s="17">
        <f>DO195*VLOOKUP('Données projet'!$B$14,Paramètres!$A$1:$I$89,3,0)*VLOOKUP('Données projet'!$B$14,Paramètres!$A$1:$I$89,5,0)</f>
        <v>-1.8732748685579284E-13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532.34688562681413</v>
      </c>
      <c r="DU195" s="59">
        <f t="shared" si="152"/>
        <v>345.42627129678556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102.5543174233927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102.5543174233927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-5.1431925385259088E-14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256.20286603823035</v>
      </c>
      <c r="EP195" s="59">
        <f t="shared" si="154"/>
        <v>364.83827155069434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2.739303757332106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2.739303757332106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-1.8474111129762605E-13</v>
      </c>
      <c r="FF195" s="17">
        <f>FE195*VLOOKUP('Données projet'!$B$16,Paramètres!$A$1:$I$89,3,0)*VLOOKUP('Données projet'!$B$16,Paramètres!$A$1:$I$89,5,0)</f>
        <v>-1.2392433745844755E-13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380.73695370216979</v>
      </c>
      <c r="FK195" s="59">
        <f t="shared" si="156"/>
        <v>249.34467160415713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83.621212668304793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83.621212668304793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-1.8474111129762605E-13</v>
      </c>
      <c r="GA195" s="17">
        <f>FZ195*VLOOKUP('Données projet'!$B$17,Paramètres!$A$1:$I$89,3,0)*VLOOKUP('Données projet'!$B$17,Paramètres!$A$1:$I$89,5,0)</f>
        <v>-1.7868160284706392E-13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511.7458522930001</v>
      </c>
      <c r="GF195" s="59">
        <f t="shared" si="158"/>
        <v>332.37317679966122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97.821041234620708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97.821041234620708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-1.7053025658242404E-13</v>
      </c>
      <c r="GV195" s="17">
        <f>GU195*VLOOKUP('Données projet'!$B$18,Paramètres!$A$1:$I$89,3,0)*VLOOKUP('Données projet'!$B$18,Paramètres!$A$1:$I$89,5,0)</f>
        <v>-1.4897523215040567E-13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348.77506423101278</v>
      </c>
      <c r="HA195" s="59">
        <f t="shared" si="160"/>
        <v>336.13747591329548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14.538019185626103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14.538019185626103</v>
      </c>
    </row>
    <row r="196" spans="1:218" x14ac:dyDescent="0.2">
      <c r="A196" s="10">
        <f t="shared" si="161"/>
        <v>193</v>
      </c>
      <c r="B196" s="71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5">
        <f t="shared" ref="H196:H203" si="192">(B196+E196+F196)*44/12+(C196+D196)*0.475*44/12</f>
        <v>183.33333333333334</v>
      </c>
      <c r="I196" s="6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-2.1282176021486519E-13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387.50901594883317</v>
      </c>
      <c r="T196" s="59">
        <f t="shared" si="142"/>
        <v>361.3623790401972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38.878469970603753</v>
      </c>
      <c r="AA196" s="21">
        <f>EXP(-LN(2)/25)*AA195+(1-EXP(-LN(2)/25))/(LN(2)/25)*Calculateur!V196*Calculateur!X196*VLOOKUP('Données projet'!$B$9,Paramètres!$A$1:$I$89,3,0)*0.475*44/12</f>
        <v>3.2327608115629611</v>
      </c>
      <c r="AB196" s="21">
        <f>EXP(-LN(2)/2)*AB195+(1-EXP(-LN(2)/2))/(LN(2)/2)*V196*Y196*VLOOKUP('Données projet'!$B$9,Paramètres!$A$1:$I$89,3,0)*0.475*44/12</f>
        <v>9.9017605484400205E-13</v>
      </c>
      <c r="AC196" s="22">
        <f t="shared" si="163"/>
        <v>42.111230782167702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373.47758082856359</v>
      </c>
      <c r="AO196" s="59">
        <f t="shared" si="144"/>
        <v>277.24895424120166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20.502287811597604</v>
      </c>
      <c r="AV196" s="21">
        <f>EXP(-LN(2)/25)*AV195+(1-EXP(-LN(2)/25))/(LN(2)/25)*Calculateur!AQ196*Calculateur!AS196*VLOOKUP('Données projet'!$B$10,Paramètres!$A$1:$I$89,3,0)*0.475*44/12</f>
        <v>1.5671187102746724</v>
      </c>
      <c r="AW196" s="21">
        <f>EXP(-LN(2)/2)*AW195+(1-EXP(-LN(2)/2))/(LN(2)/2)*AQ196*AT196*VLOOKUP('Données projet'!$B$10,Paramètres!$A$1:$I$89,3,0)*0.475*44/12</f>
        <v>3.1286454859856902E-16</v>
      </c>
      <c r="AX196" s="21">
        <f t="shared" si="166"/>
        <v>22.069406521872278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-6.8212102632969618E-13</v>
      </c>
      <c r="BE196" s="13">
        <f>BD196*VLOOKUP('Données projet'!$B$11,Paramètres!$A$1:$I$89,3,0)*VLOOKUP('Données projet'!$B$11,Paramètres!$A$1:$I$89,5,0)</f>
        <v>-4.0790837374515837E-13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460.88622650237176</v>
      </c>
      <c r="BJ196" s="59">
        <f t="shared" si="146"/>
        <v>396.05161661639647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23.959213567926177</v>
      </c>
      <c r="BQ196" s="21">
        <f>EXP(-LN(2)/25)*BQ195+(1-EXP(-LN(2)/25))/(LN(2)/25)*Calculateur!BL196*Calculateur!BN196*VLOOKUP('Données projet'!$B$11,Paramètres!$A$1:$I$89,3,0)*0.475*44/12</f>
        <v>1.7180613667900779</v>
      </c>
      <c r="BR196" s="21">
        <f>EXP(-LN(2)/2)*BR195+(1-EXP(-LN(2)/2))/(LN(2)/2)*BL196*BO196*VLOOKUP('Données projet'!$B$11,Paramètres!$A$1:$I$89,3,0)*0.475*44/12</f>
        <v>1.010120687230747E-16</v>
      </c>
      <c r="BS196" s="22">
        <f t="shared" si="169"/>
        <v>25.677274934716255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-5.1727511163335289E-14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341.60063595566282</v>
      </c>
      <c r="CE196" s="59">
        <f t="shared" si="148"/>
        <v>317.05609766344219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19.664091821700751</v>
      </c>
      <c r="CL196" s="21">
        <f>EXP(-LN(2)/25)*CL195+(1-EXP(-LN(2)/25))/(LN(2)/25)*Calculateur!CG196*Calculateur!CI196*VLOOKUP('Données projet'!$B$12,Paramètres!$A$1:$I$89,3,0)*0.475*44/12</f>
        <v>1.5957157338006112</v>
      </c>
      <c r="CM196" s="21">
        <f>EXP(-LN(2)/2)*CM195+(1-EXP(-LN(2)/2))/(LN(2)/2)*CG196*CJ196*VLOOKUP('Données projet'!$B$12,Paramètres!$A$1:$I$89,3,0)*0.475*44/12</f>
        <v>8.536774901390463E-18</v>
      </c>
      <c r="CN196" s="22">
        <f t="shared" si="172"/>
        <v>21.259807555501361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8.5265128291212022E-14</v>
      </c>
      <c r="CU196" s="17">
        <f>CT196*VLOOKUP('Données projet'!$B$13,Paramètres!$A$1:$I$89,3,0)*VLOOKUP('Données projet'!$B$13,Paramètres!$A$1:$I$89,5,0)</f>
        <v>8.9119112089974823E-14</v>
      </c>
      <c r="CV196" s="13">
        <f t="shared" si="173"/>
        <v>1.3568952080113142E-12</v>
      </c>
      <c r="CW196" s="20">
        <f t="shared" si="174"/>
        <v>2.5184749408430782E-12</v>
      </c>
      <c r="CX196" s="59">
        <f t="shared" ref="CX196:CX203" si="196">CW196+(CO196+CP196)*44/12</f>
        <v>290.20450434631101</v>
      </c>
      <c r="CY196" s="59">
        <f ca="1">AVERAGE(OFFSET($CX$3,0,0,'Données projet'!$E$13+1,1))-AVERAGE(OFFSET($H$3,0,0,'Données projet'!$E$13+1,1))</f>
        <v>287.73449456153207</v>
      </c>
      <c r="CZ196" s="59">
        <f t="shared" si="150"/>
        <v>296.74833899433281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10.430642745516918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10.430642745516918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-1.8474111129762605E-13</v>
      </c>
      <c r="DP196" s="17">
        <f>DO196*VLOOKUP('Données projet'!$B$14,Paramètres!$A$1:$I$89,3,0)*VLOOKUP('Données projet'!$B$14,Paramètres!$A$1:$I$89,5,0)</f>
        <v>-1.8732748685579284E-13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532.34688562681413</v>
      </c>
      <c r="DU196" s="59">
        <f t="shared" si="152"/>
        <v>345.42627129678556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100.54328981067711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100.54328981067711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-5.1431925385259088E-14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256.20286603823035</v>
      </c>
      <c r="EP196" s="59">
        <f t="shared" si="154"/>
        <v>364.83827155069434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2.6855876814611364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2.6855876814611364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-1.8474111129762605E-13</v>
      </c>
      <c r="FF196" s="17">
        <f>FE196*VLOOKUP('Données projet'!$B$16,Paramètres!$A$1:$I$89,3,0)*VLOOKUP('Données projet'!$B$16,Paramètres!$A$1:$I$89,5,0)</f>
        <v>-1.2392433745844755E-13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380.73695370216979</v>
      </c>
      <c r="FK196" s="59">
        <f t="shared" si="156"/>
        <v>249.34467160415713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81.981451691782851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81.981451691782851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-1.8474111129762605E-13</v>
      </c>
      <c r="GA196" s="17">
        <f>FZ196*VLOOKUP('Données projet'!$B$17,Paramètres!$A$1:$I$89,3,0)*VLOOKUP('Données projet'!$B$17,Paramètres!$A$1:$I$89,5,0)</f>
        <v>-1.7868160284706392E-13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511.7458522930001</v>
      </c>
      <c r="GF196" s="59">
        <f t="shared" si="158"/>
        <v>332.37317679966122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95.902830280953523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95.902830280953523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-1.7053025658242404E-13</v>
      </c>
      <c r="GV196" s="17">
        <f>GU196*VLOOKUP('Données projet'!$B$18,Paramètres!$A$1:$I$89,3,0)*VLOOKUP('Données projet'!$B$18,Paramètres!$A$1:$I$89,5,0)</f>
        <v>-1.4897523215040567E-13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348.77506423101278</v>
      </c>
      <c r="HA196" s="59">
        <f t="shared" si="160"/>
        <v>336.13747591329548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14.252937496712104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14.252937496712104</v>
      </c>
    </row>
    <row r="197" spans="1:218" x14ac:dyDescent="0.2">
      <c r="A197" s="10">
        <f t="shared" si="161"/>
        <v>194</v>
      </c>
      <c r="B197" s="71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5">
        <f t="shared" si="192"/>
        <v>183.33333333333334</v>
      </c>
      <c r="I197" s="6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-2.1282176021486519E-13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387.50901594883317</v>
      </c>
      <c r="T197" s="59">
        <f t="shared" ref="T197:T203" si="204">$T$3</f>
        <v>361.3623790401972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38.116086888005377</v>
      </c>
      <c r="AA197" s="21">
        <f>EXP(-LN(2)/25)*AA196+(1-EXP(-LN(2)/25))/(LN(2)/25)*Calculateur!V197*Calculateur!X197*VLOOKUP('Données projet'!$B$9,Paramètres!$A$1:$I$89,3,0)*0.475*44/12</f>
        <v>3.1443607971672694</v>
      </c>
      <c r="AB197" s="21">
        <f>EXP(-LN(2)/2)*AB196+(1-EXP(-LN(2)/2))/(LN(2)/2)*V197*Y197*VLOOKUP('Données projet'!$B$9,Paramètres!$A$1:$I$89,3,0)*0.475*44/12</f>
        <v>7.0016020294873665E-13</v>
      </c>
      <c r="AC197" s="22">
        <f t="shared" si="163"/>
        <v>41.260447685173347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373.47758082856359</v>
      </c>
      <c r="AO197" s="59">
        <f t="shared" ref="AO197:AO203" si="205">$AO$3</f>
        <v>277.24895424120166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20.100250452772958</v>
      </c>
      <c r="AV197" s="21">
        <f>EXP(-LN(2)/25)*AV196+(1-EXP(-LN(2)/25))/(LN(2)/25)*Calculateur!AQ197*Calculateur!AS197*VLOOKUP('Données projet'!$B$10,Paramètres!$A$1:$I$89,3,0)*0.475*44/12</f>
        <v>1.5242657667310202</v>
      </c>
      <c r="AW197" s="21">
        <f>EXP(-LN(2)/2)*AW196+(1-EXP(-LN(2)/2))/(LN(2)/2)*AQ197*AT197*VLOOKUP('Données projet'!$B$10,Paramètres!$A$1:$I$89,3,0)*0.475*44/12</f>
        <v>2.2122864390691631E-16</v>
      </c>
      <c r="AX197" s="21">
        <f t="shared" si="166"/>
        <v>21.624516219503978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-6.8212102632969618E-13</v>
      </c>
      <c r="BE197" s="13">
        <f>BD197*VLOOKUP('Données projet'!$B$11,Paramètres!$A$1:$I$89,3,0)*VLOOKUP('Données projet'!$B$11,Paramètres!$A$1:$I$89,5,0)</f>
        <v>-4.0790837374515837E-13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460.88622650237176</v>
      </c>
      <c r="BJ197" s="59">
        <f t="shared" ref="BJ197:BJ203" si="206">$BJ$3</f>
        <v>396.05161661639647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23.48938800353644</v>
      </c>
      <c r="BQ197" s="21">
        <f>EXP(-LN(2)/25)*BQ196+(1-EXP(-LN(2)/25))/(LN(2)/25)*Calculateur!BL197*Calculateur!BN197*VLOOKUP('Données projet'!$B$11,Paramètres!$A$1:$I$89,3,0)*0.475*44/12</f>
        <v>1.6710808883662827</v>
      </c>
      <c r="BR197" s="21">
        <f>EXP(-LN(2)/2)*BR196+(1-EXP(-LN(2)/2))/(LN(2)/2)*BL197*BO197*VLOOKUP('Données projet'!$B$11,Paramètres!$A$1:$I$89,3,0)*0.475*44/12</f>
        <v>7.1426318775767679E-17</v>
      </c>
      <c r="BS197" s="22">
        <f t="shared" si="169"/>
        <v>25.160468891902724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-5.1727511163335289E-14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341.60063595566282</v>
      </c>
      <c r="CE197" s="59">
        <f t="shared" ref="CE197:CE203" si="207">$CE$3</f>
        <v>317.05609766344219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19.278490974988909</v>
      </c>
      <c r="CL197" s="21">
        <f>EXP(-LN(2)/25)*CL196+(1-EXP(-LN(2)/25))/(LN(2)/25)*Calculateur!CG197*Calculateur!CI197*VLOOKUP('Données projet'!$B$12,Paramètres!$A$1:$I$89,3,0)*0.475*44/12</f>
        <v>1.5520808031447901</v>
      </c>
      <c r="CM197" s="21">
        <f>EXP(-LN(2)/2)*CM196+(1-EXP(-LN(2)/2))/(LN(2)/2)*CG197*CJ197*VLOOKUP('Données projet'!$B$12,Paramètres!$A$1:$I$89,3,0)*0.475*44/12</f>
        <v>6.0364114222363171E-18</v>
      </c>
      <c r="CN197" s="22">
        <f t="shared" si="172"/>
        <v>20.830571778133699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8.5265128291212022E-14</v>
      </c>
      <c r="CU197" s="17">
        <f>CT197*VLOOKUP('Données projet'!$B$13,Paramètres!$A$1:$I$89,3,0)*VLOOKUP('Données projet'!$B$13,Paramètres!$A$1:$I$89,5,0)</f>
        <v>8.9119112089974823E-14</v>
      </c>
      <c r="CV197" s="13">
        <f t="shared" si="173"/>
        <v>1.3568952080113142E-12</v>
      </c>
      <c r="CW197" s="20">
        <f t="shared" si="174"/>
        <v>2.5184749408430782E-12</v>
      </c>
      <c r="CX197" s="59">
        <f t="shared" si="196"/>
        <v>290.25878253422223</v>
      </c>
      <c r="CY197" s="59">
        <f ca="1">AVERAGE(OFFSET($CX$3,0,0,'Données projet'!$E$13+1,1))-AVERAGE(OFFSET($H$3,0,0,'Données projet'!$E$13+1,1))</f>
        <v>287.73449456153207</v>
      </c>
      <c r="CZ197" s="59">
        <f t="shared" ref="CZ197:CZ203" si="208">$CZ$3</f>
        <v>296.74833899433281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10.226104203341205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10.226104203341205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-1.8474111129762605E-13</v>
      </c>
      <c r="DP197" s="17">
        <f>DO197*VLOOKUP('Données projet'!$B$14,Paramètres!$A$1:$I$89,3,0)*VLOOKUP('Données projet'!$B$14,Paramètres!$A$1:$I$89,5,0)</f>
        <v>-1.8732748685579284E-13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532.34688562681413</v>
      </c>
      <c r="DU197" s="59">
        <f t="shared" ref="DU197:DU203" si="209">$DU$3</f>
        <v>345.42627129678556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98.571697222841138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98.571697222841138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-5.1431925385259088E-14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256.20286603823035</v>
      </c>
      <c r="EP197" s="59">
        <f t="shared" ref="EP197:EP203" si="210">$EP$3</f>
        <v>364.83827155069434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2.6329249450744254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2.6329249450744254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-1.8474111129762605E-13</v>
      </c>
      <c r="FF197" s="17">
        <f>FE197*VLOOKUP('Données projet'!$B$16,Paramètres!$A$1:$I$89,3,0)*VLOOKUP('Données projet'!$B$16,Paramètres!$A$1:$I$89,5,0)</f>
        <v>-1.2392433745844755E-13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380.73695370216979</v>
      </c>
      <c r="FK197" s="59">
        <f t="shared" ref="FK197:FK203" si="211">$FK$3</f>
        <v>249.34467160415713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80.373845427855059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80.373845427855059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-1.8474111129762605E-13</v>
      </c>
      <c r="GA197" s="17">
        <f>FZ197*VLOOKUP('Données projet'!$B$17,Paramètres!$A$1:$I$89,3,0)*VLOOKUP('Données projet'!$B$17,Paramètres!$A$1:$I$89,5,0)</f>
        <v>-1.7868160284706392E-13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511.7458522930001</v>
      </c>
      <c r="GF197" s="59">
        <f t="shared" ref="GF197:GF203" si="212">$GF$3</f>
        <v>332.37317679966122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94.0222342740946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94.0222342740946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-1.7053025658242404E-13</v>
      </c>
      <c r="GV197" s="17">
        <f>GU197*VLOOKUP('Données projet'!$B$18,Paramètres!$A$1:$I$89,3,0)*VLOOKUP('Données projet'!$B$18,Paramètres!$A$1:$I$89,5,0)</f>
        <v>-1.4897523215040567E-13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348.77506423101278</v>
      </c>
      <c r="HA197" s="59">
        <f t="shared" ref="HA197:HA203" si="213">$HA$3</f>
        <v>336.13747591329548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13.973446085835047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13.973446085835047</v>
      </c>
    </row>
    <row r="198" spans="1:218" x14ac:dyDescent="0.2">
      <c r="A198" s="10">
        <f t="shared" si="161"/>
        <v>195</v>
      </c>
      <c r="B198" s="71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5">
        <f t="shared" si="192"/>
        <v>183.33333333333334</v>
      </c>
      <c r="I198" s="6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-2.1282176021486519E-13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387.50901594883317</v>
      </c>
      <c r="T198" s="59">
        <f t="shared" si="204"/>
        <v>361.3623790401972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37.368653672648996</v>
      </c>
      <c r="AA198" s="21">
        <f>EXP(-LN(2)/25)*AA197+(1-EXP(-LN(2)/25))/(LN(2)/25)*Calculateur!V198*Calculateur!X198*VLOOKUP('Données projet'!$B$9,Paramètres!$A$1:$I$89,3,0)*0.475*44/12</f>
        <v>3.0583780858139824</v>
      </c>
      <c r="AB198" s="21">
        <f>EXP(-LN(2)/2)*AB197+(1-EXP(-LN(2)/2))/(LN(2)/2)*V198*Y198*VLOOKUP('Données projet'!$B$9,Paramètres!$A$1:$I$89,3,0)*0.475*44/12</f>
        <v>4.9508802742200102E-13</v>
      </c>
      <c r="AC198" s="22">
        <f t="shared" si="163"/>
        <v>40.427031758463478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373.47758082856359</v>
      </c>
      <c r="AO198" s="59">
        <f t="shared" si="205"/>
        <v>277.24895424120166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19.706096801336287</v>
      </c>
      <c r="AV198" s="21">
        <f>EXP(-LN(2)/25)*AV197+(1-EXP(-LN(2)/25))/(LN(2)/25)*Calculateur!AQ198*Calculateur!AS198*VLOOKUP('Données projet'!$B$10,Paramètres!$A$1:$I$89,3,0)*0.475*44/12</f>
        <v>1.4825846391821076</v>
      </c>
      <c r="AW198" s="21">
        <f>EXP(-LN(2)/2)*AW197+(1-EXP(-LN(2)/2))/(LN(2)/2)*AQ198*AT198*VLOOKUP('Données projet'!$B$10,Paramètres!$A$1:$I$89,3,0)*0.475*44/12</f>
        <v>1.5643227429928453E-16</v>
      </c>
      <c r="AX198" s="21">
        <f t="shared" si="166"/>
        <v>21.188681440518394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-6.8212102632969618E-13</v>
      </c>
      <c r="BE198" s="13">
        <f>BD198*VLOOKUP('Données projet'!$B$11,Paramètres!$A$1:$I$89,3,0)*VLOOKUP('Données projet'!$B$11,Paramètres!$A$1:$I$89,5,0)</f>
        <v>-4.0790837374515837E-13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460.88622650237176</v>
      </c>
      <c r="BJ198" s="59">
        <f t="shared" si="206"/>
        <v>396.05161661639647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23.028775431899088</v>
      </c>
      <c r="BQ198" s="21">
        <f>EXP(-LN(2)/25)*BQ197+(1-EXP(-LN(2)/25))/(LN(2)/25)*Calculateur!BL198*Calculateur!BN198*VLOOKUP('Données projet'!$B$11,Paramètres!$A$1:$I$89,3,0)*0.475*44/12</f>
        <v>1.625385093595582</v>
      </c>
      <c r="BR198" s="21">
        <f>EXP(-LN(2)/2)*BR197+(1-EXP(-LN(2)/2))/(LN(2)/2)*BL198*BO198*VLOOKUP('Données projet'!$B$11,Paramètres!$A$1:$I$89,3,0)*0.475*44/12</f>
        <v>5.0506034361537348E-17</v>
      </c>
      <c r="BS198" s="22">
        <f t="shared" si="169"/>
        <v>24.654160525494671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-5.1727511163335289E-14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341.60063595566282</v>
      </c>
      <c r="CE198" s="59">
        <f t="shared" si="207"/>
        <v>317.05609766344219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18.900451525687796</v>
      </c>
      <c r="CL198" s="21">
        <f>EXP(-LN(2)/25)*CL197+(1-EXP(-LN(2)/25))/(LN(2)/25)*Calculateur!CG198*Calculateur!CI198*VLOOKUP('Données projet'!$B$12,Paramètres!$A$1:$I$89,3,0)*0.475*44/12</f>
        <v>1.5096390719624138</v>
      </c>
      <c r="CM198" s="21">
        <f>EXP(-LN(2)/2)*CM197+(1-EXP(-LN(2)/2))/(LN(2)/2)*CG198*CJ198*VLOOKUP('Données projet'!$B$12,Paramètres!$A$1:$I$89,3,0)*0.475*44/12</f>
        <v>4.2683874506952315E-18</v>
      </c>
      <c r="CN198" s="22">
        <f t="shared" si="172"/>
        <v>20.41009059765021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8.5265128291212022E-14</v>
      </c>
      <c r="CU198" s="17">
        <f>CT198*VLOOKUP('Données projet'!$B$13,Paramètres!$A$1:$I$89,3,0)*VLOOKUP('Données projet'!$B$13,Paramètres!$A$1:$I$89,5,0)</f>
        <v>8.9119112089974823E-14</v>
      </c>
      <c r="CV198" s="13">
        <f t="shared" si="173"/>
        <v>1.3568952080113142E-12</v>
      </c>
      <c r="CW198" s="20">
        <f t="shared" si="174"/>
        <v>2.5184749408430782E-12</v>
      </c>
      <c r="CX198" s="59">
        <f t="shared" si="196"/>
        <v>290.312119116921</v>
      </c>
      <c r="CY198" s="59">
        <f ca="1">AVERAGE(OFFSET($CX$3,0,0,'Données projet'!$E$13+1,1))-AVERAGE(OFFSET($H$3,0,0,'Données projet'!$E$13+1,1))</f>
        <v>287.73449456153207</v>
      </c>
      <c r="CZ198" s="59">
        <f t="shared" si="208"/>
        <v>296.74833899433281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10.025576537221365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10.025576537221365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-1.8474111129762605E-13</v>
      </c>
      <c r="DP198" s="17">
        <f>DO198*VLOOKUP('Données projet'!$B$14,Paramètres!$A$1:$I$89,3,0)*VLOOKUP('Données projet'!$B$14,Paramètres!$A$1:$I$89,5,0)</f>
        <v>-1.8732748685579284E-13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532.34688562681413</v>
      </c>
      <c r="DU198" s="59">
        <f t="shared" si="209"/>
        <v>345.42627129678556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96.63876636309989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96.63876636309989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-5.1431925385259088E-14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256.20286603823035</v>
      </c>
      <c r="EP198" s="59">
        <f t="shared" si="210"/>
        <v>364.83827155069434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2.5812948928271604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2.5812948928271604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-1.8474111129762605E-13</v>
      </c>
      <c r="FF198" s="17">
        <f>FE198*VLOOKUP('Données projet'!$B$16,Paramètres!$A$1:$I$89,3,0)*VLOOKUP('Données projet'!$B$16,Paramètres!$A$1:$I$89,5,0)</f>
        <v>-1.2392433745844755E-13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380.73695370216979</v>
      </c>
      <c r="FK198" s="59">
        <f t="shared" si="211"/>
        <v>249.34467160415713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78.797763342219895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78.797763342219895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-1.8474111129762605E-13</v>
      </c>
      <c r="GA198" s="17">
        <f>FZ198*VLOOKUP('Données projet'!$B$17,Paramètres!$A$1:$I$89,3,0)*VLOOKUP('Données projet'!$B$17,Paramètres!$A$1:$I$89,5,0)</f>
        <v>-1.7868160284706392E-13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511.7458522930001</v>
      </c>
      <c r="GF198" s="59">
        <f t="shared" si="212"/>
        <v>332.37317679966122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92.178515607879874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92.178515607879874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-1.7053025658242404E-13</v>
      </c>
      <c r="GV198" s="17">
        <f>GU198*VLOOKUP('Données projet'!$B$18,Paramètres!$A$1:$I$89,3,0)*VLOOKUP('Données projet'!$B$18,Paramètres!$A$1:$I$89,5,0)</f>
        <v>-1.4897523215040567E-13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348.77506423101278</v>
      </c>
      <c r="HA198" s="59">
        <f t="shared" si="213"/>
        <v>336.13747591329548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13.699435331052362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13.699435331052362</v>
      </c>
    </row>
    <row r="199" spans="1:218" x14ac:dyDescent="0.2">
      <c r="A199" s="10">
        <f t="shared" si="161"/>
        <v>196</v>
      </c>
      <c r="B199" s="71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5">
        <f t="shared" si="192"/>
        <v>183.33333333333334</v>
      </c>
      <c r="I199" s="6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-2.1282176021486519E-13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387.50901594883317</v>
      </c>
      <c r="T199" s="59">
        <f t="shared" si="204"/>
        <v>361.3623790401972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36.635877166756508</v>
      </c>
      <c r="AA199" s="21">
        <f>EXP(-LN(2)/25)*AA198+(1-EXP(-LN(2)/25))/(LN(2)/25)*Calculateur!V199*Calculateur!X199*VLOOKUP('Données projet'!$B$9,Paramètres!$A$1:$I$89,3,0)*0.475*44/12</f>
        <v>2.9747465762242857</v>
      </c>
      <c r="AB199" s="21">
        <f>EXP(-LN(2)/2)*AB198+(1-EXP(-LN(2)/2))/(LN(2)/2)*V199*Y199*VLOOKUP('Données projet'!$B$9,Paramètres!$A$1:$I$89,3,0)*0.475*44/12</f>
        <v>3.5008010147436833E-13</v>
      </c>
      <c r="AC199" s="22">
        <f t="shared" si="163"/>
        <v>39.61062374298114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373.47758082856359</v>
      </c>
      <c r="AO199" s="59">
        <f t="shared" si="205"/>
        <v>277.24895424120166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19.319672262594302</v>
      </c>
      <c r="AV199" s="21">
        <f>EXP(-LN(2)/25)*AV198+(1-EXP(-LN(2)/25))/(LN(2)/25)*Calculateur!AQ199*Calculateur!AS199*VLOOKUP('Données projet'!$B$10,Paramètres!$A$1:$I$89,3,0)*0.475*44/12</f>
        <v>1.4420432842579352</v>
      </c>
      <c r="AW199" s="21">
        <f>EXP(-LN(2)/2)*AW198+(1-EXP(-LN(2)/2))/(LN(2)/2)*AQ199*AT199*VLOOKUP('Données projet'!$B$10,Paramètres!$A$1:$I$89,3,0)*0.475*44/12</f>
        <v>1.1061432195345818E-16</v>
      </c>
      <c r="AX199" s="21">
        <f t="shared" si="166"/>
        <v>20.761715546852237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-6.8212102632969618E-13</v>
      </c>
      <c r="BE199" s="13">
        <f>BD199*VLOOKUP('Données projet'!$B$11,Paramètres!$A$1:$I$89,3,0)*VLOOKUP('Données projet'!$B$11,Paramètres!$A$1:$I$89,5,0)</f>
        <v>-4.0790837374515837E-13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460.88622650237176</v>
      </c>
      <c r="BJ199" s="59">
        <f t="shared" si="206"/>
        <v>396.05161661639647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22.577195191845618</v>
      </c>
      <c r="BQ199" s="21">
        <f>EXP(-LN(2)/25)*BQ198+(1-EXP(-LN(2)/25))/(LN(2)/25)*Calculateur!BL199*Calculateur!BN199*VLOOKUP('Données projet'!$B$11,Paramètres!$A$1:$I$89,3,0)*0.475*44/12</f>
        <v>1.5809388527359236</v>
      </c>
      <c r="BR199" s="21">
        <f>EXP(-LN(2)/2)*BR198+(1-EXP(-LN(2)/2))/(LN(2)/2)*BL199*BO199*VLOOKUP('Données projet'!$B$11,Paramètres!$A$1:$I$89,3,0)*0.475*44/12</f>
        <v>3.571315938788384E-17</v>
      </c>
      <c r="BS199" s="22">
        <f t="shared" si="169"/>
        <v>24.158134044581541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-5.1727511163335289E-14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341.60063595566282</v>
      </c>
      <c r="CE199" s="59">
        <f t="shared" si="207"/>
        <v>317.05609766344219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18.529825199406179</v>
      </c>
      <c r="CL199" s="21">
        <f>EXP(-LN(2)/25)*CL198+(1-EXP(-LN(2)/25))/(LN(2)/25)*Calculateur!CG199*Calculateur!CI199*VLOOKUP('Données projet'!$B$12,Paramètres!$A$1:$I$89,3,0)*0.475*44/12</f>
        <v>1.468357912151133</v>
      </c>
      <c r="CM199" s="21">
        <f>EXP(-LN(2)/2)*CM198+(1-EXP(-LN(2)/2))/(LN(2)/2)*CG199*CJ199*VLOOKUP('Données projet'!$B$12,Paramètres!$A$1:$I$89,3,0)*0.475*44/12</f>
        <v>3.0182057111181585E-18</v>
      </c>
      <c r="CN199" s="22">
        <f t="shared" si="172"/>
        <v>19.998183111557314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8.5265128291212022E-14</v>
      </c>
      <c r="CU199" s="17">
        <f>CT199*VLOOKUP('Données projet'!$B$13,Paramètres!$A$1:$I$89,3,0)*VLOOKUP('Données projet'!$B$13,Paramètres!$A$1:$I$89,5,0)</f>
        <v>8.9119112089974823E-14</v>
      </c>
      <c r="CV199" s="13">
        <f t="shared" si="173"/>
        <v>1.3568952080113142E-12</v>
      </c>
      <c r="CW199" s="20">
        <f t="shared" si="174"/>
        <v>2.5184749408430782E-12</v>
      </c>
      <c r="CX199" s="59">
        <f t="shared" si="196"/>
        <v>290.36453042915269</v>
      </c>
      <c r="CY199" s="59">
        <f ca="1">AVERAGE(OFFSET($CX$3,0,0,'Données projet'!$E$13+1,1))-AVERAGE(OFFSET($H$3,0,0,'Données projet'!$E$13+1,1))</f>
        <v>287.73449456153207</v>
      </c>
      <c r="CZ199" s="59">
        <f t="shared" si="208"/>
        <v>296.74833899433281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9.8289810963243358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9.8289810963243358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-1.8474111129762605E-13</v>
      </c>
      <c r="DP199" s="17">
        <f>DO199*VLOOKUP('Données projet'!$B$14,Paramètres!$A$1:$I$89,3,0)*VLOOKUP('Données projet'!$B$14,Paramètres!$A$1:$I$89,5,0)</f>
        <v>-1.8732748685579284E-13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532.34688562681413</v>
      </c>
      <c r="DU199" s="59">
        <f t="shared" si="209"/>
        <v>345.42627129678556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94.743739098546769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94.743739098546769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-5.1431925385259088E-14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256.20286603823035</v>
      </c>
      <c r="EP199" s="59">
        <f t="shared" si="210"/>
        <v>364.83827155069434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2.5306772744132418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2.5306772744132418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-1.8474111129762605E-13</v>
      </c>
      <c r="FF199" s="17">
        <f>FE199*VLOOKUP('Données projet'!$B$16,Paramètres!$A$1:$I$89,3,0)*VLOOKUP('Données projet'!$B$16,Paramètres!$A$1:$I$89,5,0)</f>
        <v>-1.2392433745844755E-13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380.73695370216979</v>
      </c>
      <c r="FK199" s="59">
        <f t="shared" si="211"/>
        <v>249.34467160415713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77.252587264968881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77.252587264968881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-1.8474111129762605E-13</v>
      </c>
      <c r="GA199" s="17">
        <f>FZ199*VLOOKUP('Données projet'!$B$17,Paramètres!$A$1:$I$89,3,0)*VLOOKUP('Données projet'!$B$17,Paramètres!$A$1:$I$89,5,0)</f>
        <v>-1.7868160284706392E-13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511.7458522930001</v>
      </c>
      <c r="GF199" s="59">
        <f t="shared" si="212"/>
        <v>332.37317679966122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90.370951140152272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90.370951140152272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-1.7053025658242404E-13</v>
      </c>
      <c r="GV199" s="17">
        <f>GU199*VLOOKUP('Données projet'!$B$18,Paramètres!$A$1:$I$89,3,0)*VLOOKUP('Données projet'!$B$18,Paramètres!$A$1:$I$89,5,0)</f>
        <v>-1.4897523215040567E-13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348.77506423101278</v>
      </c>
      <c r="HA199" s="59">
        <f t="shared" si="213"/>
        <v>336.13747591329548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13.430797760040907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13.430797760040907</v>
      </c>
    </row>
    <row r="200" spans="1:218" x14ac:dyDescent="0.2">
      <c r="A200" s="10">
        <f t="shared" si="161"/>
        <v>197</v>
      </c>
      <c r="B200" s="71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5">
        <f t="shared" si="192"/>
        <v>183.33333333333334</v>
      </c>
      <c r="I200" s="6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-2.1282176021486519E-13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387.50901594883317</v>
      </c>
      <c r="T200" s="59">
        <f t="shared" si="204"/>
        <v>361.3623790401972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35.917469961195032</v>
      </c>
      <c r="AA200" s="21">
        <f>EXP(-LN(2)/25)*AA199+(1-EXP(-LN(2)/25))/(LN(2)/25)*Calculateur!V200*Calculateur!X200*VLOOKUP('Données projet'!$B$9,Paramètres!$A$1:$I$89,3,0)*0.475*44/12</f>
        <v>2.893401974662309</v>
      </c>
      <c r="AB200" s="21">
        <f>EXP(-LN(2)/2)*AB199+(1-EXP(-LN(2)/2))/(LN(2)/2)*V200*Y200*VLOOKUP('Données projet'!$B$9,Paramètres!$A$1:$I$89,3,0)*0.475*44/12</f>
        <v>2.4754401371100051E-13</v>
      </c>
      <c r="AC200" s="22">
        <f t="shared" si="163"/>
        <v>38.810871935857591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373.47758082856359</v>
      </c>
      <c r="AO200" s="59">
        <f t="shared" si="205"/>
        <v>277.24895424120166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18.940825273361352</v>
      </c>
      <c r="AV200" s="21">
        <f>EXP(-LN(2)/25)*AV199+(1-EXP(-LN(2)/25))/(LN(2)/25)*Calculateur!AQ200*Calculateur!AS200*VLOOKUP('Données projet'!$B$10,Paramètres!$A$1:$I$89,3,0)*0.475*44/12</f>
        <v>1.4026105348161415</v>
      </c>
      <c r="AW200" s="21">
        <f>EXP(-LN(2)/2)*AW199+(1-EXP(-LN(2)/2))/(LN(2)/2)*AQ200*AT200*VLOOKUP('Données projet'!$B$10,Paramètres!$A$1:$I$89,3,0)*0.475*44/12</f>
        <v>7.8216137149642279E-17</v>
      </c>
      <c r="AX200" s="21">
        <f t="shared" si="166"/>
        <v>20.343435808177492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-6.8212102632969618E-13</v>
      </c>
      <c r="BE200" s="13">
        <f>BD200*VLOOKUP('Données projet'!$B$11,Paramètres!$A$1:$I$89,3,0)*VLOOKUP('Données projet'!$B$11,Paramètres!$A$1:$I$89,5,0)</f>
        <v>-4.0790837374515837E-13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460.88622650237176</v>
      </c>
      <c r="BJ200" s="59">
        <f t="shared" si="206"/>
        <v>396.05161661639647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22.134470164862847</v>
      </c>
      <c r="BQ200" s="21">
        <f>EXP(-LN(2)/25)*BQ199+(1-EXP(-LN(2)/25))/(LN(2)/25)*Calculateur!BL200*Calculateur!BN200*VLOOKUP('Données projet'!$B$11,Paramètres!$A$1:$I$89,3,0)*0.475*44/12</f>
        <v>1.5377079966698988</v>
      </c>
      <c r="BR200" s="21">
        <f>EXP(-LN(2)/2)*BR199+(1-EXP(-LN(2)/2))/(LN(2)/2)*BL200*BO200*VLOOKUP('Données projet'!$B$11,Paramètres!$A$1:$I$89,3,0)*0.475*44/12</f>
        <v>2.5253017180768674E-17</v>
      </c>
      <c r="BS200" s="22">
        <f t="shared" si="169"/>
        <v>23.672178161532745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-5.1727511163335289E-14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341.60063595566282</v>
      </c>
      <c r="CE200" s="59">
        <f t="shared" si="207"/>
        <v>317.05609766344219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18.166466629323207</v>
      </c>
      <c r="CL200" s="21">
        <f>EXP(-LN(2)/25)*CL199+(1-EXP(-LN(2)/25))/(LN(2)/25)*Calculateur!CG200*Calculateur!CI200*VLOOKUP('Données projet'!$B$12,Paramètres!$A$1:$I$89,3,0)*0.475*44/12</f>
        <v>1.4282055878257736</v>
      </c>
      <c r="CM200" s="21">
        <f>EXP(-LN(2)/2)*CM199+(1-EXP(-LN(2)/2))/(LN(2)/2)*CG200*CJ200*VLOOKUP('Données projet'!$B$12,Paramètres!$A$1:$I$89,3,0)*0.475*44/12</f>
        <v>2.1341937253476158E-18</v>
      </c>
      <c r="CN200" s="22">
        <f t="shared" si="172"/>
        <v>19.594672217148979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8.5265128291212022E-14</v>
      </c>
      <c r="CU200" s="17">
        <f>CT200*VLOOKUP('Données projet'!$B$13,Paramètres!$A$1:$I$89,3,0)*VLOOKUP('Données projet'!$B$13,Paramètres!$A$1:$I$89,5,0)</f>
        <v>8.9119112089974823E-14</v>
      </c>
      <c r="CV200" s="13">
        <f t="shared" si="173"/>
        <v>1.3568952080113142E-12</v>
      </c>
      <c r="CW200" s="20">
        <f t="shared" si="174"/>
        <v>2.5184749408430782E-12</v>
      </c>
      <c r="CX200" s="59">
        <f t="shared" si="196"/>
        <v>290.41603252229129</v>
      </c>
      <c r="CY200" s="59">
        <f ca="1">AVERAGE(OFFSET($CX$3,0,0,'Données projet'!$E$13+1,1))-AVERAGE(OFFSET($H$3,0,0,'Données projet'!$E$13+1,1))</f>
        <v>287.73449456153207</v>
      </c>
      <c r="CZ200" s="59">
        <f t="shared" si="208"/>
        <v>296.74833899433281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9.6362407721119183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9.6362407721119183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-1.8474111129762605E-13</v>
      </c>
      <c r="DP200" s="17">
        <f>DO200*VLOOKUP('Données projet'!$B$14,Paramètres!$A$1:$I$89,3,0)*VLOOKUP('Données projet'!$B$14,Paramètres!$A$1:$I$89,5,0)</f>
        <v>-1.8732748685579284E-13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532.34688562681413</v>
      </c>
      <c r="DU200" s="59">
        <f t="shared" si="209"/>
        <v>345.42627129678556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92.885872162799032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92.885872162799032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-5.1431925385259088E-14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256.20286603823035</v>
      </c>
      <c r="EP200" s="59">
        <f t="shared" si="210"/>
        <v>364.83827155069434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2.4810522366227215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2.4810522366227215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-1.8474111129762605E-13</v>
      </c>
      <c r="FF200" s="17">
        <f>FE200*VLOOKUP('Données projet'!$B$16,Paramètres!$A$1:$I$89,3,0)*VLOOKUP('Données projet'!$B$16,Paramètres!$A$1:$I$89,5,0)</f>
        <v>-1.2392433745844755E-13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380.73695370216979</v>
      </c>
      <c r="FK200" s="59">
        <f t="shared" si="211"/>
        <v>249.34467160415713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75.737711148128412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75.737711148128412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-1.8474111129762605E-13</v>
      </c>
      <c r="GA200" s="17">
        <f>FZ200*VLOOKUP('Données projet'!$B$17,Paramètres!$A$1:$I$89,3,0)*VLOOKUP('Données projet'!$B$17,Paramètres!$A$1:$I$89,5,0)</f>
        <v>-1.7868160284706392E-13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511.7458522930001</v>
      </c>
      <c r="GF200" s="59">
        <f t="shared" si="212"/>
        <v>332.37317679966122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88.598831909131349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88.598831909131349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-1.7053025658242404E-13</v>
      </c>
      <c r="GV200" s="17">
        <f>GU200*VLOOKUP('Données projet'!$B$18,Paramètres!$A$1:$I$89,3,0)*VLOOKUP('Données projet'!$B$18,Paramètres!$A$1:$I$89,5,0)</f>
        <v>-1.4897523215040567E-13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348.77506423101278</v>
      </c>
      <c r="HA200" s="59">
        <f t="shared" si="213"/>
        <v>336.13747591329548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13.167428007944247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13.167428007944247</v>
      </c>
    </row>
    <row r="201" spans="1:218" x14ac:dyDescent="0.2">
      <c r="A201" s="10">
        <f>A200+1</f>
        <v>198</v>
      </c>
      <c r="B201" s="71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5">
        <f t="shared" si="192"/>
        <v>183.33333333333334</v>
      </c>
      <c r="I201" s="6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-2.1282176021486519E-13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387.50901594883317</v>
      </c>
      <c r="T201" s="59">
        <f t="shared" si="204"/>
        <v>361.3623790401972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35.213150282749488</v>
      </c>
      <c r="AA201" s="21">
        <f>EXP(-LN(2)/25)*AA200+(1-EXP(-LN(2)/25))/(LN(2)/25)*Calculateur!V201*Calculateur!X201*VLOOKUP('Données projet'!$B$9,Paramètres!$A$1:$I$89,3,0)*0.475*44/12</f>
        <v>2.8142817455077713</v>
      </c>
      <c r="AB201" s="21">
        <f>EXP(-LN(2)/2)*AB200+(1-EXP(-LN(2)/2))/(LN(2)/2)*V201*Y201*VLOOKUP('Données projet'!$B$9,Paramètres!$A$1:$I$89,3,0)*0.475*44/12</f>
        <v>1.7504005073718416E-13</v>
      </c>
      <c r="AC201" s="22">
        <f t="shared" si="163"/>
        <v>38.027432028257437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373.47758082856359</v>
      </c>
      <c r="AO201" s="59">
        <f t="shared" si="205"/>
        <v>277.24895424120166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18.56940724251341</v>
      </c>
      <c r="AV201" s="21">
        <f>EXP(-LN(2)/25)*AV200+(1-EXP(-LN(2)/25))/(LN(2)/25)*Calculateur!AQ201*Calculateur!AS201*VLOOKUP('Données projet'!$B$10,Paramètres!$A$1:$I$89,3,0)*0.475*44/12</f>
        <v>1.3642560759815119</v>
      </c>
      <c r="AW201" s="21">
        <f>EXP(-LN(2)/2)*AW200+(1-EXP(-LN(2)/2))/(LN(2)/2)*AQ201*AT201*VLOOKUP('Données projet'!$B$10,Paramètres!$A$1:$I$89,3,0)*0.475*44/12</f>
        <v>5.5307160976729096E-17</v>
      </c>
      <c r="AX201" s="21">
        <f t="shared" si="166"/>
        <v>19.933663318494922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-6.8212102632969618E-13</v>
      </c>
      <c r="BE201" s="13">
        <f>BD201*VLOOKUP('Données projet'!$B$11,Paramètres!$A$1:$I$89,3,0)*VLOOKUP('Données projet'!$B$11,Paramètres!$A$1:$I$89,5,0)</f>
        <v>-4.0790837374515837E-13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460.88622650237176</v>
      </c>
      <c r="BJ201" s="59">
        <f t="shared" si="206"/>
        <v>396.05161661639647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21.700426705623606</v>
      </c>
      <c r="BQ201" s="21">
        <f>EXP(-LN(2)/25)*BQ200+(1-EXP(-LN(2)/25))/(LN(2)/25)*Calculateur!BL201*Calculateur!BN201*VLOOKUP('Données projet'!$B$11,Paramètres!$A$1:$I$89,3,0)*0.475*44/12</f>
        <v>1.4956592906364112</v>
      </c>
      <c r="BR201" s="21">
        <f>EXP(-LN(2)/2)*BR200+(1-EXP(-LN(2)/2))/(LN(2)/2)*BL201*BO201*VLOOKUP('Données projet'!$B$11,Paramètres!$A$1:$I$89,3,0)*0.475*44/12</f>
        <v>1.785657969394192E-17</v>
      </c>
      <c r="BS201" s="22">
        <f t="shared" si="169"/>
        <v>23.196085996260017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-5.1727511163335289E-14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341.60063595566282</v>
      </c>
      <c r="CE201" s="59">
        <f t="shared" si="207"/>
        <v>317.05609766344219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17.810233299172719</v>
      </c>
      <c r="CL201" s="21">
        <f>EXP(-LN(2)/25)*CL200+(1-EXP(-LN(2)/25))/(LN(2)/25)*Calculateur!CG201*Calculateur!CI201*VLOOKUP('Données projet'!$B$12,Paramètres!$A$1:$I$89,3,0)*0.475*44/12</f>
        <v>1.3891512309206102</v>
      </c>
      <c r="CM201" s="21">
        <f>EXP(-LN(2)/2)*CM200+(1-EXP(-LN(2)/2))/(LN(2)/2)*CG201*CJ201*VLOOKUP('Données projet'!$B$12,Paramètres!$A$1:$I$89,3,0)*0.475*44/12</f>
        <v>1.5091028555590793E-18</v>
      </c>
      <c r="CN201" s="22">
        <f t="shared" si="172"/>
        <v>19.199384530093329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8.5265128291212022E-14</v>
      </c>
      <c r="CU201" s="17">
        <f>CT201*VLOOKUP('Données projet'!$B$13,Paramètres!$A$1:$I$89,3,0)*VLOOKUP('Données projet'!$B$13,Paramètres!$A$1:$I$89,5,0)</f>
        <v>8.9119112089974823E-14</v>
      </c>
      <c r="CV201" s="13">
        <f t="shared" si="173"/>
        <v>1.3568952080113142E-12</v>
      </c>
      <c r="CW201" s="20">
        <f t="shared" si="174"/>
        <v>2.5184749408430782E-12</v>
      </c>
      <c r="CX201" s="59">
        <f t="shared" si="196"/>
        <v>290.46664116925541</v>
      </c>
      <c r="CY201" s="59">
        <f ca="1">AVERAGE(OFFSET($CX$3,0,0,'Données projet'!$E$13+1,1))-AVERAGE(OFFSET($H$3,0,0,'Données projet'!$E$13+1,1))</f>
        <v>287.73449456153207</v>
      </c>
      <c r="CZ201" s="59">
        <f t="shared" si="208"/>
        <v>296.74833899433281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9.4472799680973178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9.4472799680973178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-1.8474111129762605E-13</v>
      </c>
      <c r="DP201" s="17">
        <f>DO201*VLOOKUP('Données projet'!$B$14,Paramètres!$A$1:$I$89,3,0)*VLOOKUP('Données projet'!$B$14,Paramètres!$A$1:$I$89,5,0)</f>
        <v>-1.8732748685579284E-13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532.34688562681413</v>
      </c>
      <c r="DU201" s="59">
        <f t="shared" si="209"/>
        <v>345.42627129678556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91.064436864474374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91.064436864474374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-5.1431925385259088E-14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256.20286603823035</v>
      </c>
      <c r="EP201" s="59">
        <f t="shared" si="210"/>
        <v>364.83827155069434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2.4324003155549891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2.4324003155549891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-1.8474111129762605E-13</v>
      </c>
      <c r="FF201" s="17">
        <f>FE201*VLOOKUP('Données projet'!$B$16,Paramètres!$A$1:$I$89,3,0)*VLOOKUP('Données projet'!$B$16,Paramètres!$A$1:$I$89,5,0)</f>
        <v>-1.2392433745844755E-13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380.73695370216979</v>
      </c>
      <c r="FK201" s="59">
        <f t="shared" si="211"/>
        <v>249.34467160415713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74.252540827955997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74.252540827955997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-1.8474111129762605E-13</v>
      </c>
      <c r="GA201" s="17">
        <f>FZ201*VLOOKUP('Données projet'!$B$17,Paramètres!$A$1:$I$89,3,0)*VLOOKUP('Données projet'!$B$17,Paramètres!$A$1:$I$89,5,0)</f>
        <v>-1.7868160284706392E-13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511.7458522930001</v>
      </c>
      <c r="GF201" s="59">
        <f t="shared" si="212"/>
        <v>332.37317679966122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86.86146285534474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86.86146285534474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-1.7053025658242404E-13</v>
      </c>
      <c r="GV201" s="17">
        <f>GU201*VLOOKUP('Données projet'!$B$18,Paramètres!$A$1:$I$89,3,0)*VLOOKUP('Données projet'!$B$18,Paramètres!$A$1:$I$89,5,0)</f>
        <v>-1.4897523215040567E-13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348.77506423101278</v>
      </c>
      <c r="HA201" s="59">
        <f t="shared" si="213"/>
        <v>336.13747591329548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12.909222776046516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12.909222776046516</v>
      </c>
    </row>
    <row r="202" spans="1:218" x14ac:dyDescent="0.2">
      <c r="A202" s="10">
        <f t="shared" si="161"/>
        <v>199</v>
      </c>
      <c r="B202" s="71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5">
        <f t="shared" si="192"/>
        <v>183.33333333333334</v>
      </c>
      <c r="I202" s="6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-2.1282176021486519E-13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387.50901594883317</v>
      </c>
      <c r="T202" s="59">
        <f t="shared" si="204"/>
        <v>361.3623790401972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34.522641883605679</v>
      </c>
      <c r="AA202" s="21">
        <f>EXP(-LN(2)/25)*AA201+(1-EXP(-LN(2)/25))/(LN(2)/25)*Calculateur!V202*Calculateur!X202*VLOOKUP('Données projet'!$B$9,Paramètres!$A$1:$I$89,3,0)*0.475*44/12</f>
        <v>2.7373250631802164</v>
      </c>
      <c r="AB202" s="21">
        <f>EXP(-LN(2)/2)*AB201+(1-EXP(-LN(2)/2))/(LN(2)/2)*V202*Y202*VLOOKUP('Données projet'!$B$9,Paramètres!$A$1:$I$89,3,0)*0.475*44/12</f>
        <v>1.2377200685550026E-13</v>
      </c>
      <c r="AC202" s="22">
        <f t="shared" si="163"/>
        <v>37.259966946786015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373.47758082856359</v>
      </c>
      <c r="AO202" s="59">
        <f t="shared" si="205"/>
        <v>277.24895424120166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18.20527249270777</v>
      </c>
      <c r="AV202" s="21">
        <f>EXP(-LN(2)/25)*AV201+(1-EXP(-LN(2)/25))/(LN(2)/25)*Calculateur!AQ202*Calculateur!AS202*VLOOKUP('Données projet'!$B$10,Paramètres!$A$1:$I$89,3,0)*0.475*44/12</f>
        <v>1.3269504218406885</v>
      </c>
      <c r="AW202" s="21">
        <f>EXP(-LN(2)/2)*AW201+(1-EXP(-LN(2)/2))/(LN(2)/2)*AQ202*AT202*VLOOKUP('Données projet'!$B$10,Paramètres!$A$1:$I$89,3,0)*0.475*44/12</f>
        <v>3.9108068574821146E-17</v>
      </c>
      <c r="AX202" s="21">
        <f t="shared" si="166"/>
        <v>19.532222914548459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-6.8212102632969618E-13</v>
      </c>
      <c r="BE202" s="13">
        <f>BD202*VLOOKUP('Données projet'!$B$11,Paramètres!$A$1:$I$89,3,0)*VLOOKUP('Données projet'!$B$11,Paramètres!$A$1:$I$89,5,0)</f>
        <v>-4.0790837374515837E-13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460.88622650237176</v>
      </c>
      <c r="BJ202" s="59">
        <f t="shared" si="206"/>
        <v>396.05161661639647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21.274894573879674</v>
      </c>
      <c r="BQ202" s="21">
        <f>EXP(-LN(2)/25)*BQ201+(1-EXP(-LN(2)/25))/(LN(2)/25)*Calculateur!BL202*Calculateur!BN202*VLOOKUP('Données projet'!$B$11,Paramètres!$A$1:$I$89,3,0)*0.475*44/12</f>
        <v>1.4547604086806549</v>
      </c>
      <c r="BR202" s="21">
        <f>EXP(-LN(2)/2)*BR201+(1-EXP(-LN(2)/2))/(LN(2)/2)*BL202*BO202*VLOOKUP('Données projet'!$B$11,Paramètres!$A$1:$I$89,3,0)*0.475*44/12</f>
        <v>1.2626508590384337E-17</v>
      </c>
      <c r="BS202" s="22">
        <f t="shared" si="169"/>
        <v>22.72965498256033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-5.1727511163335289E-14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341.60063595566282</v>
      </c>
      <c r="CE202" s="59">
        <f t="shared" si="207"/>
        <v>317.05609766344219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17.460985487345607</v>
      </c>
      <c r="CL202" s="21">
        <f>EXP(-LN(2)/25)*CL201+(1-EXP(-LN(2)/25))/(LN(2)/25)*Calculateur!CG202*Calculateur!CI202*VLOOKUP('Données projet'!$B$12,Paramètres!$A$1:$I$89,3,0)*0.475*44/12</f>
        <v>1.3511648174587978</v>
      </c>
      <c r="CM202" s="21">
        <f>EXP(-LN(2)/2)*CM201+(1-EXP(-LN(2)/2))/(LN(2)/2)*CG202*CJ202*VLOOKUP('Données projet'!$B$12,Paramètres!$A$1:$I$89,3,0)*0.475*44/12</f>
        <v>1.0670968626738079E-18</v>
      </c>
      <c r="CN202" s="22">
        <f t="shared" si="172"/>
        <v>18.812150304804405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8.5265128291212022E-14</v>
      </c>
      <c r="CU202" s="17">
        <f>CT202*VLOOKUP('Données projet'!$B$13,Paramètres!$A$1:$I$89,3,0)*VLOOKUP('Données projet'!$B$13,Paramètres!$A$1:$I$89,5,0)</f>
        <v>8.9119112089974823E-14</v>
      </c>
      <c r="CV202" s="13">
        <f t="shared" si="173"/>
        <v>1.3568952080113142E-12</v>
      </c>
      <c r="CW202" s="20">
        <f t="shared" si="174"/>
        <v>2.5184749408430782E-12</v>
      </c>
      <c r="CX202" s="59">
        <f t="shared" si="196"/>
        <v>290.51637186933863</v>
      </c>
      <c r="CY202" s="59">
        <f ca="1">AVERAGE(OFFSET($CX$3,0,0,'Données projet'!$E$13+1,1))-AVERAGE(OFFSET($H$3,0,0,'Données projet'!$E$13+1,1))</f>
        <v>287.73449456153207</v>
      </c>
      <c r="CZ202" s="59">
        <f t="shared" si="208"/>
        <v>296.74833899433281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9.2620245701947326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9.2620245701947326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-1.8474111129762605E-13</v>
      </c>
      <c r="DP202" s="17">
        <f>DO202*VLOOKUP('Données projet'!$B$14,Paramètres!$A$1:$I$89,3,0)*VLOOKUP('Données projet'!$B$14,Paramètres!$A$1:$I$89,5,0)</f>
        <v>-1.8732748685579284E-13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532.34688562681413</v>
      </c>
      <c r="DU202" s="59">
        <f t="shared" si="209"/>
        <v>345.42627129678556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89.278718801384017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89.278718801384017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-5.1431925385259088E-14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256.20286603823035</v>
      </c>
      <c r="EP202" s="59">
        <f t="shared" si="210"/>
        <v>364.83827155069434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2.384702428984653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2.384702428984653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-1.8474111129762605E-13</v>
      </c>
      <c r="FF202" s="17">
        <f>FE202*VLOOKUP('Données projet'!$B$16,Paramètres!$A$1:$I$89,3,0)*VLOOKUP('Données projet'!$B$16,Paramètres!$A$1:$I$89,5,0)</f>
        <v>-1.2392433745844755E-13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380.73695370216979</v>
      </c>
      <c r="FK202" s="59">
        <f t="shared" si="211"/>
        <v>249.34467160415713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72.796493791897717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72.796493791897717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-1.8474111129762605E-13</v>
      </c>
      <c r="GA202" s="17">
        <f>FZ202*VLOOKUP('Données projet'!$B$17,Paramètres!$A$1:$I$89,3,0)*VLOOKUP('Données projet'!$B$17,Paramètres!$A$1:$I$89,5,0)</f>
        <v>-1.7868160284706392E-13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511.7458522930001</v>
      </c>
      <c r="GF202" s="59">
        <f t="shared" si="212"/>
        <v>332.37317679966122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85.158162549012403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85.158162549012403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-1.7053025658242404E-13</v>
      </c>
      <c r="GV202" s="17">
        <f>GU202*VLOOKUP('Données projet'!$B$18,Paramètres!$A$1:$I$89,3,0)*VLOOKUP('Données projet'!$B$18,Paramètres!$A$1:$I$89,5,0)</f>
        <v>-1.4897523215040567E-13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348.77506423101278</v>
      </c>
      <c r="HA202" s="59">
        <f t="shared" si="213"/>
        <v>336.13747591329548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12.65608079125666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12.65608079125666</v>
      </c>
    </row>
    <row r="203" spans="1:218" ht="16" thickBot="1" x14ac:dyDescent="0.25">
      <c r="A203" s="10">
        <f>A202+1</f>
        <v>200</v>
      </c>
      <c r="B203" s="71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5">
        <f t="shared" si="192"/>
        <v>183.33333333333334</v>
      </c>
      <c r="I203" s="6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-2.1282176021486519E-13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387.50901594883317</v>
      </c>
      <c r="T203" s="59">
        <f t="shared" si="204"/>
        <v>361.3623790401972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33.845673933000541</v>
      </c>
      <c r="AA203" s="21">
        <f>EXP(-LN(2)/25)*AA202+(1-EXP(-LN(2)/25))/(LN(2)/25)*Calculateur!V203*Calculateur!X203*VLOOKUP('Données projet'!$B$9,Paramètres!$A$1:$I$89,3,0)*0.475*44/12</f>
        <v>2.6624727653778844</v>
      </c>
      <c r="AB203" s="21">
        <f>EXP(-LN(2)/2)*AB202+(1-EXP(-LN(2)/2))/(LN(2)/2)*V203*Y203*VLOOKUP('Données projet'!$B$9,Paramètres!$A$1:$I$89,3,0)*0.475*44/12</f>
        <v>8.7520025368592081E-14</v>
      </c>
      <c r="AC203" s="22">
        <f t="shared" si="163"/>
        <v>36.508146698378511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373.47758082856359</v>
      </c>
      <c r="AO203" s="59">
        <f t="shared" si="205"/>
        <v>277.24895424120166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17.848278203245552</v>
      </c>
      <c r="AV203" s="21">
        <f>EXP(-LN(2)/25)*AV202+(1-EXP(-LN(2)/25))/(LN(2)/25)*Calculateur!AQ203*Calculateur!AS203*VLOOKUP('Données projet'!$B$10,Paramètres!$A$1:$I$89,3,0)*0.475*44/12</f>
        <v>1.2906648927741649</v>
      </c>
      <c r="AW203" s="21">
        <f>EXP(-LN(2)/2)*AW202+(1-EXP(-LN(2)/2))/(LN(2)/2)*AQ203*AT203*VLOOKUP('Données projet'!$B$10,Paramètres!$A$1:$I$89,3,0)*0.475*44/12</f>
        <v>2.7653580488364554E-17</v>
      </c>
      <c r="AX203" s="21">
        <f t="shared" si="166"/>
        <v>19.138943096019716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-6.8212102632969618E-13</v>
      </c>
      <c r="BE203" s="13">
        <f>BD203*VLOOKUP('Données projet'!$B$11,Paramètres!$A$1:$I$89,3,0)*VLOOKUP('Données projet'!$B$11,Paramètres!$A$1:$I$89,5,0)</f>
        <v>-4.0790837374515837E-13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460.88622650237176</v>
      </c>
      <c r="BJ203" s="59">
        <f t="shared" si="206"/>
        <v>396.05161661639647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20.857706867690272</v>
      </c>
      <c r="BQ203" s="21">
        <f>EXP(-LN(2)/25)*BQ202+(1-EXP(-LN(2)/25))/(LN(2)/25)*Calculateur!BL203*Calculateur!BN203*VLOOKUP('Données projet'!$B$11,Paramètres!$A$1:$I$89,3,0)*0.475*44/12</f>
        <v>1.4149799088027575</v>
      </c>
      <c r="BR203" s="21">
        <f>EXP(-LN(2)/2)*BR202+(1-EXP(-LN(2)/2))/(LN(2)/2)*BL203*BO203*VLOOKUP('Données projet'!$B$11,Paramètres!$A$1:$I$89,3,0)*0.475*44/12</f>
        <v>8.9282898469709599E-18</v>
      </c>
      <c r="BS203" s="22">
        <f t="shared" si="169"/>
        <v>22.272686776493028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-5.1727511163335289E-14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341.60063595566282</v>
      </c>
      <c r="CE203" s="59">
        <f t="shared" si="207"/>
        <v>317.05609766344219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17.118586212088292</v>
      </c>
      <c r="CL203" s="21">
        <f>EXP(-LN(2)/25)*CL202+(1-EXP(-LN(2)/25))/(LN(2)/25)*Calculateur!CG203*Calculateur!CI203*VLOOKUP('Données projet'!$B$12,Paramètres!$A$1:$I$89,3,0)*0.475*44/12</f>
        <v>1.3142171444707174</v>
      </c>
      <c r="CM203" s="21">
        <f>EXP(-LN(2)/2)*CM202+(1-EXP(-LN(2)/2))/(LN(2)/2)*CG203*CJ203*VLOOKUP('Données projet'!$B$12,Paramètres!$A$1:$I$89,3,0)*0.475*44/12</f>
        <v>7.5455142777953963E-19</v>
      </c>
      <c r="CN203" s="22">
        <f t="shared" si="172"/>
        <v>18.43280335655901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8.5265128291212022E-14</v>
      </c>
      <c r="CU203" s="17">
        <f>CT203*VLOOKUP('Données projet'!$B$13,Paramètres!$A$1:$I$89,3,0)*VLOOKUP('Données projet'!$B$13,Paramètres!$A$1:$I$89,5,0)</f>
        <v>8.9119112089974823E-14</v>
      </c>
      <c r="CV203" s="13">
        <f t="shared" si="173"/>
        <v>1.3568952080113142E-12</v>
      </c>
      <c r="CW203" s="20">
        <f t="shared" si="174"/>
        <v>2.5184749408430782E-12</v>
      </c>
      <c r="CX203" s="59">
        <f t="shared" si="196"/>
        <v>290.56523985295661</v>
      </c>
      <c r="CY203" s="59">
        <f ca="1">AVERAGE(OFFSET($CX$3,0,0,'Données projet'!$E$13+1,1))-AVERAGE(OFFSET($H$3,0,0,'Données projet'!$E$13+1,1))</f>
        <v>287.73449456153207</v>
      </c>
      <c r="CZ203" s="59">
        <f t="shared" si="208"/>
        <v>296.74833899433281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9.0804019176503825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9.0804019176503825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-1.8474111129762605E-13</v>
      </c>
      <c r="DP203" s="17">
        <f>DO203*VLOOKUP('Données projet'!$B$14,Paramètres!$A$1:$I$89,3,0)*VLOOKUP('Données projet'!$B$14,Paramètres!$A$1:$I$89,5,0)</f>
        <v>-1.8732748685579284E-13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532.34688562681413</v>
      </c>
      <c r="DU203" s="59">
        <f t="shared" si="209"/>
        <v>345.42627129678556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87.528017580330399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87.528017580330399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-5.1431925385259088E-14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256.20286603823035</v>
      </c>
      <c r="EP203" s="59">
        <f t="shared" si="210"/>
        <v>364.83827155069434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2.3379398688771231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2.3379398688771231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-1.8474111129762605E-13</v>
      </c>
      <c r="FF203" s="17">
        <f>FE203*VLOOKUP('Données projet'!$B$16,Paramètres!$A$1:$I$89,3,0)*VLOOKUP('Données projet'!$B$16,Paramètres!$A$1:$I$89,5,0)</f>
        <v>-1.2392433745844755E-13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380.73695370216979</v>
      </c>
      <c r="FK203" s="59">
        <f t="shared" si="211"/>
        <v>249.34467160415713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71.36899895011554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71.36899895011554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-1.8474111129762605E-13</v>
      </c>
      <c r="GA203" s="17">
        <f>FZ203*VLOOKUP('Données projet'!$B$17,Paramètres!$A$1:$I$89,3,0)*VLOOKUP('Données projet'!$B$17,Paramètres!$A$1:$I$89,5,0)</f>
        <v>-1.7868160284706392E-13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511.7458522930001</v>
      </c>
      <c r="GF203" s="59">
        <f t="shared" si="212"/>
        <v>332.37317679966122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83.488262922776642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83.488262922776642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-1.7053025658242404E-13</v>
      </c>
      <c r="GV203" s="17">
        <f>GU203*VLOOKUP('Données projet'!$B$18,Paramètres!$A$1:$I$89,3,0)*VLOOKUP('Données projet'!$B$18,Paramètres!$A$1:$I$89,5,0)</f>
        <v>-1.4897523215040567E-13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348.77506423101278</v>
      </c>
      <c r="HA203" s="59">
        <f t="shared" si="213"/>
        <v>336.13747591329548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12.407902766387167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12.407902766387167</v>
      </c>
    </row>
    <row r="204" spans="1:218" ht="17" thickBot="1" x14ac:dyDescent="0.25">
      <c r="B204" s="10"/>
      <c r="C204" s="74"/>
      <c r="D204" s="75"/>
      <c r="E204" s="75"/>
      <c r="F204" s="75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2" t="s">
        <v>293</v>
      </c>
      <c r="L204" s="76"/>
      <c r="M204" s="76"/>
      <c r="N204" s="76"/>
      <c r="O204" s="74"/>
      <c r="P204" s="74"/>
      <c r="Q204" s="75"/>
      <c r="R204" s="77"/>
      <c r="S204" s="77"/>
      <c r="T204" s="77"/>
      <c r="U204" s="76"/>
      <c r="V204" s="76"/>
      <c r="W204" s="78"/>
      <c r="X204" s="78"/>
      <c r="Y204" s="78"/>
      <c r="Z204" s="74"/>
      <c r="AA204" s="74"/>
      <c r="AB204" s="74"/>
      <c r="AC204" s="74"/>
      <c r="AD204" s="74"/>
      <c r="AE204" s="74"/>
      <c r="AF204" s="79" t="s">
        <v>293</v>
      </c>
      <c r="BA204" s="79" t="s">
        <v>293</v>
      </c>
      <c r="BV204" s="79" t="s">
        <v>293</v>
      </c>
      <c r="CQ204" s="79" t="s">
        <v>293</v>
      </c>
      <c r="DL204" s="79" t="s">
        <v>293</v>
      </c>
      <c r="EG204" s="79" t="s">
        <v>293</v>
      </c>
      <c r="FB204" s="79" t="s">
        <v>293</v>
      </c>
      <c r="FW204" s="79" t="s">
        <v>293</v>
      </c>
      <c r="GR204" s="79" t="s">
        <v>293</v>
      </c>
    </row>
    <row r="205" spans="1:218" ht="16" thickBot="1" x14ac:dyDescent="0.25">
      <c r="B205" s="10"/>
      <c r="C205" s="74"/>
      <c r="D205" s="75"/>
      <c r="E205" s="75"/>
      <c r="F205" s="75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0">
        <f>EXP(LN('Données projet'!B36)/'Données projet'!A36)</f>
        <v>1.1544582689993719</v>
      </c>
      <c r="L205" s="76"/>
      <c r="M205" s="76"/>
      <c r="N205" s="76"/>
      <c r="O205" s="74"/>
      <c r="P205" s="74"/>
      <c r="Q205" s="75"/>
      <c r="R205" s="77"/>
      <c r="S205" s="77"/>
      <c r="T205" s="77"/>
      <c r="U205" s="76"/>
      <c r="V205" s="76"/>
      <c r="W205" s="78"/>
      <c r="X205" s="78"/>
      <c r="Y205" s="78"/>
      <c r="Z205" s="74"/>
      <c r="AA205" s="74"/>
      <c r="AB205" s="74"/>
      <c r="AC205" s="74"/>
      <c r="AD205" s="74"/>
      <c r="AE205" s="74"/>
      <c r="AF205" s="81">
        <f>EXP(LN('Données projet'!B62)/'Données projet'!A62)</f>
        <v>1.2472301622014093</v>
      </c>
      <c r="BA205" s="80">
        <f>EXP(LN('Données projet'!B88)/'Données projet'!A88)</f>
        <v>1.2908435877572824</v>
      </c>
      <c r="BV205" s="80">
        <f>EXP(LN('Données projet'!B114)/'Données projet'!A114)</f>
        <v>1.2854795418236975</v>
      </c>
      <c r="CQ205" s="80">
        <f>EXP(LN('Données projet'!B140)/'Données projet'!A140)</f>
        <v>1.2484571790906913</v>
      </c>
      <c r="DL205" s="80">
        <f>EXP(LN('Données projet'!B166)/'Données projet'!A166)</f>
        <v>1.1267530431577886</v>
      </c>
      <c r="EG205" s="80">
        <f>EXP(LN('Données projet'!B192)/'Données projet'!A192)</f>
        <v>1.8520446218242204</v>
      </c>
      <c r="FB205" s="80">
        <f>EXP(LN('Données projet'!B218)/'Données projet'!A218)</f>
        <v>1.1267530431577886</v>
      </c>
      <c r="FW205" s="80">
        <f>EXP(LN('Données projet'!B244)/'Données projet'!A244)</f>
        <v>1.1267530431577886</v>
      </c>
      <c r="GR205" s="80">
        <f>EXP(LN('Données projet'!B270)/'Données projet'!A270)</f>
        <v>1.2721747796233518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6"/>
      <c r="K1" s="76"/>
      <c r="L1" s="76"/>
      <c r="M1" s="76"/>
      <c r="N1" s="76"/>
    </row>
    <row r="2" spans="1:16" x14ac:dyDescent="0.2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6"/>
      <c r="K2" s="76"/>
      <c r="L2" s="76"/>
      <c r="M2" s="76"/>
      <c r="N2" s="76"/>
      <c r="O2" s="279" t="s">
        <v>238</v>
      </c>
      <c r="P2" s="119">
        <v>0</v>
      </c>
    </row>
    <row r="3" spans="1:16" ht="16" thickBot="1" x14ac:dyDescent="0.2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6"/>
      <c r="K3" s="76"/>
      <c r="L3" s="76"/>
      <c r="M3" s="76"/>
      <c r="N3" s="76"/>
      <c r="O3" s="280"/>
      <c r="P3" s="126">
        <v>0.2</v>
      </c>
    </row>
    <row r="4" spans="1:16" ht="16" thickBot="1" x14ac:dyDescent="0.2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6"/>
      <c r="K4" s="76"/>
      <c r="L4" s="76"/>
      <c r="M4" s="76"/>
      <c r="N4" s="76"/>
    </row>
    <row r="5" spans="1:16" x14ac:dyDescent="0.2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6"/>
      <c r="K5" s="76"/>
      <c r="L5" s="76"/>
      <c r="M5" s="76"/>
      <c r="N5" s="76"/>
      <c r="O5" s="279" t="s">
        <v>237</v>
      </c>
      <c r="P5" s="119">
        <v>0</v>
      </c>
    </row>
    <row r="6" spans="1:16" x14ac:dyDescent="0.2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6"/>
      <c r="K6" s="76"/>
      <c r="L6" s="76"/>
      <c r="M6" s="76"/>
      <c r="N6" s="76"/>
      <c r="O6" s="281"/>
      <c r="P6" s="127">
        <v>0.05</v>
      </c>
    </row>
    <row r="7" spans="1:16" x14ac:dyDescent="0.2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6"/>
      <c r="K7" s="76"/>
      <c r="L7" s="76"/>
      <c r="M7" s="76"/>
      <c r="N7" s="76"/>
      <c r="O7" s="281"/>
      <c r="P7" s="127">
        <v>0.1</v>
      </c>
    </row>
    <row r="8" spans="1:16" ht="16" thickBot="1" x14ac:dyDescent="0.2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6"/>
      <c r="K8" s="76"/>
      <c r="L8" s="76"/>
      <c r="M8" s="76"/>
      <c r="N8" s="76"/>
      <c r="O8" s="280"/>
      <c r="P8" s="126">
        <v>0.15</v>
      </c>
    </row>
    <row r="9" spans="1:16" ht="16" thickBot="1" x14ac:dyDescent="0.2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6"/>
      <c r="K9" s="76"/>
      <c r="L9" s="76"/>
      <c r="M9" s="76"/>
      <c r="N9" s="76"/>
    </row>
    <row r="10" spans="1:16" x14ac:dyDescent="0.2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6"/>
      <c r="K10" s="76"/>
      <c r="L10" s="76"/>
      <c r="M10" s="76"/>
      <c r="N10" s="76"/>
      <c r="O10" s="279" t="s">
        <v>236</v>
      </c>
      <c r="P10" s="119">
        <v>0</v>
      </c>
    </row>
    <row r="11" spans="1:16" ht="16" thickBot="1" x14ac:dyDescent="0.2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6"/>
      <c r="K11" s="76"/>
      <c r="L11" s="76"/>
      <c r="M11" s="76"/>
      <c r="N11" s="76"/>
      <c r="O11" s="280"/>
      <c r="P11" s="126">
        <v>0.1</v>
      </c>
    </row>
    <row r="12" spans="1:16" x14ac:dyDescent="0.2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6"/>
      <c r="K12" s="76"/>
      <c r="L12" s="76"/>
      <c r="M12" s="76"/>
      <c r="N12" s="76"/>
    </row>
    <row r="13" spans="1:16" x14ac:dyDescent="0.2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6"/>
      <c r="K13" s="76"/>
      <c r="L13" s="76"/>
      <c r="M13" s="76"/>
      <c r="N13" s="76"/>
    </row>
    <row r="14" spans="1:16" x14ac:dyDescent="0.2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6"/>
      <c r="K14" s="76"/>
      <c r="L14" s="76"/>
      <c r="M14" s="76"/>
      <c r="N14" s="76"/>
    </row>
    <row r="15" spans="1:16" x14ac:dyDescent="0.2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6"/>
      <c r="K15" s="76"/>
      <c r="L15" s="76"/>
      <c r="M15" s="76"/>
      <c r="N15" s="76"/>
    </row>
    <row r="16" spans="1:16" x14ac:dyDescent="0.2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6"/>
      <c r="K16" s="76"/>
      <c r="L16" s="76"/>
      <c r="M16" s="76"/>
      <c r="N16" s="76"/>
    </row>
    <row r="17" spans="1:14" x14ac:dyDescent="0.2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6"/>
      <c r="K17" s="76"/>
      <c r="L17" s="76"/>
      <c r="M17" s="76"/>
      <c r="N17" s="76"/>
    </row>
    <row r="18" spans="1:14" x14ac:dyDescent="0.2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6"/>
      <c r="K18" s="76"/>
      <c r="L18" s="76"/>
      <c r="M18" s="76"/>
      <c r="N18" s="76"/>
    </row>
    <row r="19" spans="1:14" x14ac:dyDescent="0.2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6"/>
      <c r="K19" s="76"/>
      <c r="L19" s="76"/>
      <c r="M19" s="76"/>
      <c r="N19" s="76"/>
    </row>
    <row r="20" spans="1:14" x14ac:dyDescent="0.2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6"/>
      <c r="K20" s="76"/>
      <c r="L20" s="76"/>
      <c r="M20" s="76"/>
      <c r="N20" s="76"/>
    </row>
    <row r="21" spans="1:14" x14ac:dyDescent="0.2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6"/>
      <c r="K21" s="76"/>
      <c r="L21" s="76"/>
      <c r="M21" s="76"/>
      <c r="N21" s="76"/>
    </row>
    <row r="22" spans="1:14" x14ac:dyDescent="0.2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6"/>
      <c r="K22" s="76"/>
      <c r="L22" s="76"/>
      <c r="M22" s="76"/>
      <c r="N22" s="76"/>
    </row>
    <row r="23" spans="1:14" x14ac:dyDescent="0.2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6"/>
      <c r="K23" s="76"/>
      <c r="L23" s="76"/>
      <c r="M23" s="76"/>
      <c r="N23" s="76"/>
    </row>
    <row r="24" spans="1:14" x14ac:dyDescent="0.2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6"/>
      <c r="K24" s="76"/>
      <c r="L24" s="76"/>
      <c r="M24" s="76"/>
      <c r="N24" s="76"/>
    </row>
    <row r="25" spans="1:14" x14ac:dyDescent="0.2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6"/>
      <c r="K25" s="76"/>
      <c r="L25" s="76"/>
      <c r="M25" s="76"/>
      <c r="N25" s="76"/>
    </row>
    <row r="26" spans="1:14" x14ac:dyDescent="0.2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6"/>
      <c r="K26" s="76"/>
      <c r="L26" s="76"/>
      <c r="M26" s="76"/>
      <c r="N26" s="76"/>
    </row>
    <row r="27" spans="1:14" x14ac:dyDescent="0.2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6"/>
      <c r="K27" s="76"/>
      <c r="L27" s="76"/>
      <c r="M27" s="76"/>
      <c r="N27" s="76"/>
    </row>
    <row r="28" spans="1:14" x14ac:dyDescent="0.2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6"/>
      <c r="K28" s="76"/>
      <c r="L28" s="76"/>
      <c r="M28" s="76"/>
      <c r="N28" s="76"/>
    </row>
    <row r="29" spans="1:14" x14ac:dyDescent="0.2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6"/>
      <c r="K29" s="76"/>
      <c r="L29" s="76"/>
      <c r="M29" s="76"/>
      <c r="N29" s="76"/>
    </row>
    <row r="30" spans="1:14" x14ac:dyDescent="0.2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6"/>
      <c r="K30" s="76"/>
      <c r="L30" s="76"/>
      <c r="M30" s="76"/>
      <c r="N30" s="76"/>
    </row>
    <row r="31" spans="1:14" x14ac:dyDescent="0.2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6"/>
      <c r="K31" s="76"/>
      <c r="L31" s="76"/>
      <c r="M31" s="76"/>
      <c r="N31" s="76"/>
    </row>
    <row r="32" spans="1:14" x14ac:dyDescent="0.2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6"/>
      <c r="K32" s="76"/>
      <c r="L32" s="76"/>
      <c r="M32" s="76"/>
      <c r="N32" s="76"/>
    </row>
    <row r="33" spans="1:14" x14ac:dyDescent="0.2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6"/>
      <c r="K33" s="76"/>
      <c r="L33" s="76"/>
      <c r="M33" s="76"/>
      <c r="N33" s="76"/>
    </row>
    <row r="34" spans="1:14" x14ac:dyDescent="0.2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6"/>
      <c r="K34" s="76"/>
      <c r="L34" s="76"/>
      <c r="M34" s="76"/>
      <c r="N34" s="76"/>
    </row>
    <row r="35" spans="1:14" x14ac:dyDescent="0.2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6"/>
      <c r="K35" s="76"/>
      <c r="L35" s="76"/>
      <c r="M35" s="76"/>
      <c r="N35" s="76"/>
    </row>
    <row r="36" spans="1:14" x14ac:dyDescent="0.2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6"/>
      <c r="K36" s="76"/>
      <c r="L36" s="76"/>
      <c r="M36" s="76"/>
      <c r="N36" s="76"/>
    </row>
    <row r="37" spans="1:14" x14ac:dyDescent="0.2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6"/>
      <c r="K37" s="76"/>
      <c r="L37" s="76"/>
      <c r="M37" s="76"/>
      <c r="N37" s="76"/>
    </row>
    <row r="38" spans="1:14" x14ac:dyDescent="0.2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6"/>
      <c r="K38" s="76"/>
      <c r="L38" s="76"/>
      <c r="M38" s="76"/>
      <c r="N38" s="76"/>
    </row>
    <row r="39" spans="1:14" x14ac:dyDescent="0.2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6"/>
      <c r="K39" s="76"/>
      <c r="L39" s="76"/>
      <c r="M39" s="76"/>
      <c r="N39" s="76"/>
    </row>
    <row r="40" spans="1:14" x14ac:dyDescent="0.2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6"/>
      <c r="K40" s="76"/>
      <c r="L40" s="76"/>
      <c r="M40" s="76"/>
      <c r="N40" s="76"/>
    </row>
    <row r="41" spans="1:14" x14ac:dyDescent="0.2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6"/>
      <c r="K41" s="76"/>
      <c r="L41" s="76"/>
      <c r="M41" s="76"/>
      <c r="N41" s="76"/>
    </row>
    <row r="42" spans="1:14" x14ac:dyDescent="0.2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6"/>
      <c r="K42" s="76"/>
      <c r="L42" s="76"/>
      <c r="M42" s="76"/>
      <c r="N42" s="76"/>
    </row>
    <row r="43" spans="1:14" x14ac:dyDescent="0.2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6"/>
      <c r="K43" s="76"/>
      <c r="L43" s="76"/>
      <c r="M43" s="76"/>
      <c r="N43" s="76"/>
    </row>
    <row r="44" spans="1:14" x14ac:dyDescent="0.2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6"/>
      <c r="K44" s="76"/>
      <c r="L44" s="76"/>
      <c r="M44" s="76"/>
      <c r="N44" s="76"/>
    </row>
    <row r="45" spans="1:14" x14ac:dyDescent="0.2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6"/>
      <c r="K45" s="76"/>
      <c r="L45" s="76"/>
      <c r="M45" s="76"/>
      <c r="N45" s="76"/>
    </row>
    <row r="46" spans="1:14" x14ac:dyDescent="0.2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6"/>
      <c r="K46" s="76"/>
      <c r="L46" s="76"/>
      <c r="M46" s="76"/>
      <c r="N46" s="76"/>
    </row>
    <row r="47" spans="1:14" x14ac:dyDescent="0.2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6"/>
      <c r="K47" s="76"/>
      <c r="L47" s="76"/>
      <c r="M47" s="76"/>
      <c r="N47" s="76"/>
    </row>
    <row r="48" spans="1:14" x14ac:dyDescent="0.2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6"/>
      <c r="K48" s="76"/>
      <c r="L48" s="76"/>
      <c r="M48" s="76"/>
      <c r="N48" s="76"/>
    </row>
    <row r="49" spans="1:14" x14ac:dyDescent="0.2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6"/>
      <c r="K49" s="76"/>
      <c r="L49" s="76"/>
      <c r="M49" s="76"/>
      <c r="N49" s="76"/>
    </row>
    <row r="50" spans="1:14" x14ac:dyDescent="0.2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6"/>
      <c r="K50" s="76"/>
      <c r="L50" s="76"/>
      <c r="M50" s="76"/>
      <c r="N50" s="76"/>
    </row>
    <row r="51" spans="1:14" x14ac:dyDescent="0.2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6"/>
      <c r="K51" s="76"/>
      <c r="L51" s="76"/>
      <c r="M51" s="76"/>
      <c r="N51" s="76"/>
    </row>
    <row r="52" spans="1:14" x14ac:dyDescent="0.2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6"/>
      <c r="K52" s="76"/>
      <c r="L52" s="76"/>
      <c r="M52" s="76"/>
      <c r="N52" s="76"/>
    </row>
    <row r="53" spans="1:14" x14ac:dyDescent="0.2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6"/>
      <c r="K53" s="76"/>
      <c r="L53" s="76"/>
      <c r="M53" s="76"/>
      <c r="N53" s="76"/>
    </row>
    <row r="54" spans="1:14" x14ac:dyDescent="0.2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6"/>
      <c r="K54" s="76"/>
      <c r="L54" s="76"/>
      <c r="M54" s="76"/>
      <c r="N54" s="76"/>
    </row>
    <row r="55" spans="1:14" x14ac:dyDescent="0.2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6"/>
      <c r="K55" s="76"/>
      <c r="L55" s="76"/>
      <c r="M55" s="76"/>
      <c r="N55" s="76"/>
    </row>
    <row r="56" spans="1:14" x14ac:dyDescent="0.2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6"/>
      <c r="K56" s="76"/>
      <c r="L56" s="76"/>
      <c r="M56" s="76"/>
      <c r="N56" s="76"/>
    </row>
    <row r="57" spans="1:14" x14ac:dyDescent="0.2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6"/>
      <c r="K57" s="76"/>
      <c r="L57" s="76"/>
      <c r="M57" s="76"/>
      <c r="N57" s="76"/>
    </row>
    <row r="58" spans="1:14" x14ac:dyDescent="0.2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6"/>
      <c r="K58" s="76"/>
      <c r="L58" s="76"/>
      <c r="M58" s="76"/>
      <c r="N58" s="76"/>
    </row>
    <row r="59" spans="1:14" x14ac:dyDescent="0.2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6"/>
      <c r="K59" s="76"/>
      <c r="L59" s="76"/>
      <c r="M59" s="76"/>
      <c r="N59" s="76"/>
    </row>
    <row r="60" spans="1:14" x14ac:dyDescent="0.2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6"/>
      <c r="K60" s="76"/>
      <c r="L60" s="76"/>
      <c r="M60" s="76"/>
      <c r="N60" s="76"/>
    </row>
    <row r="61" spans="1:14" x14ac:dyDescent="0.2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6"/>
      <c r="K61" s="76"/>
      <c r="L61" s="76"/>
      <c r="M61" s="76"/>
      <c r="N61" s="76"/>
    </row>
    <row r="62" spans="1:14" x14ac:dyDescent="0.2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6"/>
      <c r="K62" s="76"/>
      <c r="L62" s="76"/>
      <c r="M62" s="76"/>
      <c r="N62" s="76"/>
    </row>
    <row r="63" spans="1:14" x14ac:dyDescent="0.2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6"/>
      <c r="K63" s="76"/>
      <c r="L63" s="76"/>
      <c r="M63" s="76"/>
      <c r="N63" s="76"/>
    </row>
    <row r="64" spans="1:14" x14ac:dyDescent="0.2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6"/>
      <c r="K64" s="76"/>
      <c r="L64" s="76"/>
      <c r="M64" s="76"/>
      <c r="N64" s="76"/>
    </row>
    <row r="65" spans="1:14" x14ac:dyDescent="0.2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6"/>
      <c r="K65" s="76"/>
      <c r="L65" s="76"/>
      <c r="M65" s="76"/>
      <c r="N65" s="76"/>
    </row>
    <row r="66" spans="1:14" x14ac:dyDescent="0.2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6"/>
      <c r="K66" s="76"/>
      <c r="L66" s="76"/>
      <c r="M66" s="76"/>
      <c r="N66" s="76"/>
    </row>
    <row r="67" spans="1:14" x14ac:dyDescent="0.2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6"/>
      <c r="K67" s="76"/>
      <c r="L67" s="76"/>
      <c r="M67" s="76"/>
      <c r="N67" s="76"/>
    </row>
    <row r="68" spans="1:14" x14ac:dyDescent="0.2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6"/>
      <c r="K68" s="76"/>
      <c r="L68" s="76"/>
      <c r="M68" s="76"/>
      <c r="N68" s="76"/>
    </row>
    <row r="69" spans="1:14" x14ac:dyDescent="0.2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6"/>
      <c r="K69" s="76"/>
      <c r="L69" s="76"/>
      <c r="M69" s="76"/>
      <c r="N69" s="76"/>
    </row>
    <row r="70" spans="1:14" x14ac:dyDescent="0.2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6"/>
      <c r="K70" s="76"/>
      <c r="L70" s="76"/>
      <c r="M70" s="76"/>
      <c r="N70" s="76"/>
    </row>
    <row r="71" spans="1:14" x14ac:dyDescent="0.2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6"/>
      <c r="K71" s="76"/>
      <c r="L71" s="76"/>
      <c r="M71" s="76"/>
      <c r="N71" s="76"/>
    </row>
    <row r="72" spans="1:14" x14ac:dyDescent="0.2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6"/>
      <c r="K72" s="76"/>
      <c r="L72" s="76"/>
      <c r="M72" s="76"/>
      <c r="N72" s="76"/>
    </row>
    <row r="73" spans="1:14" x14ac:dyDescent="0.2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6"/>
      <c r="K73" s="76"/>
      <c r="L73" s="76"/>
      <c r="M73" s="76"/>
      <c r="N73" s="76"/>
    </row>
    <row r="74" spans="1:14" x14ac:dyDescent="0.2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6"/>
      <c r="K74" s="76"/>
      <c r="L74" s="76"/>
      <c r="M74" s="76"/>
      <c r="N74" s="76"/>
    </row>
    <row r="75" spans="1:14" x14ac:dyDescent="0.2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6"/>
      <c r="K75" s="76"/>
      <c r="L75" s="76"/>
      <c r="M75" s="76"/>
      <c r="N75" s="76"/>
    </row>
    <row r="76" spans="1:14" x14ac:dyDescent="0.2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6"/>
      <c r="K76" s="76"/>
      <c r="L76" s="76"/>
      <c r="M76" s="76"/>
      <c r="N76" s="76"/>
    </row>
    <row r="77" spans="1:14" x14ac:dyDescent="0.2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6"/>
      <c r="K77" s="76"/>
      <c r="L77" s="76"/>
      <c r="M77" s="76"/>
      <c r="N77" s="76"/>
    </row>
    <row r="78" spans="1:14" x14ac:dyDescent="0.2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6"/>
      <c r="K78" s="76"/>
      <c r="L78" s="76"/>
      <c r="M78" s="76"/>
      <c r="N78" s="76"/>
    </row>
    <row r="79" spans="1:14" x14ac:dyDescent="0.2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6"/>
      <c r="K79" s="76"/>
      <c r="L79" s="76"/>
      <c r="M79" s="76"/>
      <c r="N79" s="76"/>
    </row>
    <row r="80" spans="1:14" x14ac:dyDescent="0.2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6"/>
      <c r="K80" s="76"/>
      <c r="L80" s="76"/>
      <c r="M80" s="76"/>
      <c r="N80" s="76"/>
    </row>
    <row r="81" spans="1:14" x14ac:dyDescent="0.2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6"/>
      <c r="K81" s="76"/>
      <c r="L81" s="76"/>
      <c r="M81" s="76"/>
      <c r="N81" s="76"/>
    </row>
    <row r="82" spans="1:14" x14ac:dyDescent="0.2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6"/>
      <c r="K82" s="76"/>
      <c r="L82" s="76"/>
      <c r="M82" s="76"/>
      <c r="N82" s="76"/>
    </row>
    <row r="83" spans="1:14" x14ac:dyDescent="0.2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6"/>
      <c r="K83" s="76"/>
      <c r="L83" s="76"/>
      <c r="M83" s="76"/>
      <c r="N83" s="76"/>
    </row>
    <row r="84" spans="1:14" x14ac:dyDescent="0.2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6"/>
      <c r="K84" s="76"/>
      <c r="L84" s="76"/>
      <c r="M84" s="76"/>
      <c r="N84" s="76"/>
    </row>
    <row r="85" spans="1:14" x14ac:dyDescent="0.2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6"/>
      <c r="K85" s="76"/>
      <c r="L85" s="76"/>
      <c r="M85" s="76"/>
      <c r="N85" s="76"/>
    </row>
    <row r="86" spans="1:14" x14ac:dyDescent="0.2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6"/>
      <c r="K86" s="76"/>
      <c r="L86" s="76"/>
      <c r="M86" s="76"/>
      <c r="N86" s="76"/>
    </row>
    <row r="87" spans="1:14" x14ac:dyDescent="0.2">
      <c r="A87" s="248" t="s">
        <v>321</v>
      </c>
      <c r="B87" s="249" t="s">
        <v>322</v>
      </c>
      <c r="C87" s="250">
        <v>0.41</v>
      </c>
      <c r="D87" s="250" t="s">
        <v>323</v>
      </c>
      <c r="E87" s="250">
        <v>1.56</v>
      </c>
      <c r="F87" s="251" t="s">
        <v>274</v>
      </c>
      <c r="G87" s="252">
        <v>0.43</v>
      </c>
      <c r="H87" s="250" t="s">
        <v>278</v>
      </c>
      <c r="I87" s="253">
        <v>0.25</v>
      </c>
      <c r="J87" s="76"/>
      <c r="K87" s="76"/>
      <c r="L87" s="76"/>
      <c r="M87" s="76"/>
      <c r="N87" s="76"/>
    </row>
    <row r="88" spans="1:14" x14ac:dyDescent="0.2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6" thickBot="1" x14ac:dyDescent="0.2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2">
      <c r="A93" s="120" t="s">
        <v>208</v>
      </c>
    </row>
    <row r="94" spans="1:14" x14ac:dyDescent="0.2">
      <c r="A94" s="120" t="s">
        <v>209</v>
      </c>
    </row>
    <row r="95" spans="1:14" x14ac:dyDescent="0.2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2" zoomScale="90" zoomScaleNormal="90" workbookViewId="0">
      <selection activeCell="L43" sqref="L4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2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3" t="str">
        <f>IF('Données projet'!$B$9="","",'Données projet'!$B$9)</f>
        <v>Cèdre de l'Atlas</v>
      </c>
      <c r="B6" s="144">
        <f>'Données projet'!D9</f>
        <v>1.9752527999999998</v>
      </c>
      <c r="C6" s="145">
        <f ca="1">IF(OR('Données projet'!B9="",'Données projet'!C9="",'Données projet'!C9=0%),0,Calculateur!S3)</f>
        <v>387.50901594883317</v>
      </c>
      <c r="D6" s="145">
        <f>IF(OR('Données projet'!B9="",'Données projet'!C9="",'Données projet'!C9=0%),0,Calculateur!T3)</f>
        <v>361.3623790401972</v>
      </c>
      <c r="E6" s="145">
        <f ca="1">MIN(C6,D6)</f>
        <v>361.3623790401972</v>
      </c>
      <c r="F6" s="145">
        <f ca="1">E6*B6</f>
        <v>713.7820510138107</v>
      </c>
      <c r="G6" s="145">
        <f ca="1">F6*(100%-'Données projet'!$C$24)*(100%-'Données projet'!$C$25)*(100%-'Données projet'!$C$26)*(100%-'Données projet'!$C$27)</f>
        <v>642.40384591242969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642.40384591242969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1" t="str">
        <f>IF('Données projet'!$B$10="","",'Données projet'!$B$10)</f>
        <v>Pin noir d'Autriche</v>
      </c>
      <c r="B7" s="152">
        <f>'Données projet'!D10</f>
        <v>1.9752527999999998</v>
      </c>
      <c r="C7" s="145">
        <f ca="1">IF(OR('Données projet'!B10="",'Données projet'!C10="",'Données projet'!C10=0%),0,Calculateur!AN3)</f>
        <v>373.47758082856359</v>
      </c>
      <c r="D7" s="145">
        <f>IF(OR('Données projet'!B10="",'Données projet'!C10="",'Données projet'!C10=0%),0,Calculateur!AO3)</f>
        <v>277.24895424120166</v>
      </c>
      <c r="E7" s="145">
        <f t="shared" ref="E7:E15" ca="1" si="0">MIN(C7,D7)</f>
        <v>277.24895424120166</v>
      </c>
      <c r="F7" s="145">
        <f t="shared" ref="F7:F15" ca="1" si="1">E7*B7</f>
        <v>547.6367731620054</v>
      </c>
      <c r="G7" s="145">
        <f ca="1">F7*(100%-'Données projet'!$C$24)*(100%-'Données projet'!$C$25)*(100%-'Données projet'!$C$26)*(100%-'Données projet'!$C$27)</f>
        <v>492.87309584580487</v>
      </c>
      <c r="H7" s="153">
        <f>IF(OR('Données projet'!B10="",'Données projet'!C10="",'Données projet'!C10=0%),0,AVERAGE(Calculateur!$AX$3:$AX$33)*B7)</f>
        <v>12.46500534302054</v>
      </c>
      <c r="I7" s="147">
        <f>H7*(100%-'Données projet'!$C$24)*(100%-'Données projet'!$C$25)*(100%-'Données projet'!$C$26)*(100%-'Données projet'!$C$27)</f>
        <v>11.218504808718485</v>
      </c>
      <c r="J7" s="148">
        <f>IF(OR('Données projet'!B10="",'Données projet'!C10="",'Données projet'!C10=0%),0,SUM(Calculateur!$AQ$3:$AQ$33)*VLOOKUP('Données projet'!$B$10,Paramètres!$A$1:$I$89,9,0)*B7)</f>
        <v>76.65462303599999</v>
      </c>
      <c r="K7" s="149">
        <f>J7*(100%-'Données projet'!$C$24)*(100%-'Données projet'!$C$25)*(100%-'Données projet'!$C$26)*(100%-'Données projet'!$C$27)</f>
        <v>68.989160732399995</v>
      </c>
      <c r="L7" s="150">
        <f t="shared" ref="L7:L15" ca="1" si="2">G7+I7+K7</f>
        <v>573.08076138692331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1" t="str">
        <f>IF('Données projet'!$B$11="","",'Données projet'!$B$11)</f>
        <v>Pin laricio</v>
      </c>
      <c r="B8" s="152">
        <f>'Données projet'!D11</f>
        <v>1.9752527999999998</v>
      </c>
      <c r="C8" s="145">
        <f ca="1">IF(OR('Données projet'!B11="",'Données projet'!C11="",'Données projet'!C11=0%),0,Calculateur!BI3)</f>
        <v>460.88622650237176</v>
      </c>
      <c r="D8" s="145">
        <f>IF(OR('Données projet'!B11="",'Données projet'!C11="",'Données projet'!C11=0%),0,Calculateur!BJ3)</f>
        <v>396.05161661639647</v>
      </c>
      <c r="E8" s="145">
        <f t="shared" ca="1" si="0"/>
        <v>396.05161661639647</v>
      </c>
      <c r="F8" s="145">
        <f t="shared" ca="1" si="1"/>
        <v>782.30206466606353</v>
      </c>
      <c r="G8" s="145">
        <f ca="1">F8*(100%-'Données projet'!$C$24)*(100%-'Données projet'!$C$25)*(100%-'Données projet'!$C$26)*(100%-'Données projet'!$C$27)</f>
        <v>704.07185819945721</v>
      </c>
      <c r="H8" s="153">
        <f>IF(OR('Données projet'!B11="",'Données projet'!C11="",'Données projet'!C11=0%),0,AVERAGE(Calculateur!$BS$3:$BS$33)*B8)</f>
        <v>17.826614307756063</v>
      </c>
      <c r="I8" s="147">
        <f>H8*(100%-'Données projet'!$C$24)*(100%-'Données projet'!$C$25)*(100%-'Données projet'!$C$26)*(100%-'Données projet'!$C$27)</f>
        <v>16.043952876980459</v>
      </c>
      <c r="J8" s="148">
        <f>IF(OR('Données projet'!B11="",'Données projet'!C11="",'Données projet'!C11=0%),0,SUM(Calculateur!$BL$3:$BL$33)*VLOOKUP('Données projet'!$B$11,Paramètres!$A$1:$I$89,9,0)*B8)</f>
        <v>134.30909186351997</v>
      </c>
      <c r="K8" s="149">
        <f>J8*(100%-'Données projet'!$C$24)*(100%-'Données projet'!$C$25)*(100%-'Données projet'!$C$26)*(100%-'Données projet'!$C$27)</f>
        <v>120.87818267716797</v>
      </c>
      <c r="L8" s="150">
        <f t="shared" ca="1" si="2"/>
        <v>840.99399375360565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1" t="str">
        <f>IF('Données projet'!$B$12="","",'Données projet'!$B$12)</f>
        <v>Séquoia géant</v>
      </c>
      <c r="B9" s="152">
        <f>'Données projet'!D12</f>
        <v>1.9752527999999998</v>
      </c>
      <c r="C9" s="145">
        <f ca="1">IF(OR('Données projet'!B12="",'Données projet'!C12="",'Données projet'!C12=0%),0,Calculateur!CD3)</f>
        <v>341.60063595566282</v>
      </c>
      <c r="D9" s="145">
        <f>IF(OR('Données projet'!B12="",'Données projet'!C12="",'Données projet'!C12=0%),0,Calculateur!CE3)</f>
        <v>317.05609766344219</v>
      </c>
      <c r="E9" s="145">
        <f t="shared" ca="1" si="0"/>
        <v>317.05609766344219</v>
      </c>
      <c r="F9" s="145">
        <f t="shared" ca="1" si="1"/>
        <v>626.26594466678762</v>
      </c>
      <c r="G9" s="145">
        <f ca="1">F9*(100%-'Données projet'!$C$24)*(100%-'Données projet'!$C$25)*(100%-'Données projet'!$C$26)*(100%-'Données projet'!$C$27)</f>
        <v>563.63935020010888</v>
      </c>
      <c r="H9" s="153">
        <f>IF(OR('Données projet'!B12="",'Données projet'!C12="",'Données projet'!C12=0%),0,AVERAGE(Calculateur!$CN$3:$CN$33)*B9)</f>
        <v>14.781079275446251</v>
      </c>
      <c r="I9" s="147">
        <f>H9*(100%-'Données projet'!$C$24)*(100%-'Données projet'!$C$25)*(100%-'Données projet'!$C$26)*(100%-'Données projet'!$C$27)</f>
        <v>13.302971347901625</v>
      </c>
      <c r="J9" s="148">
        <f>IF(OR('Données projet'!B12="",'Données projet'!C12="",'Données projet'!C12=0%),0,SUM(Calculateur!$CG$3:$CG$33)*VLOOKUP('Données projet'!$B$12,Paramètres!$A$1:$I$89,9,0)*B9)</f>
        <v>112.27672708175999</v>
      </c>
      <c r="K9" s="149">
        <f>J9*(100%-'Données projet'!$C$24)*(100%-'Données projet'!$C$25)*(100%-'Données projet'!$C$26)*(100%-'Données projet'!$C$27)</f>
        <v>101.04905437358399</v>
      </c>
      <c r="L9" s="150">
        <f t="shared" ca="1" si="2"/>
        <v>677.99137592159445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1" t="str">
        <f>IF('Données projet'!$B$13="","",'Données projet'!$B$13)</f>
        <v>Chêne chevelu</v>
      </c>
      <c r="B10" s="152">
        <f>'Données projet'!D13</f>
        <v>1.5403735999999999</v>
      </c>
      <c r="C10" s="145">
        <f ca="1">IF(OR('Données projet'!B13="",'Données projet'!C13="",'Données projet'!C13=0%),0,Calculateur!CY3)</f>
        <v>287.73449456153207</v>
      </c>
      <c r="D10" s="145">
        <f>IF(OR('Données projet'!B13="",'Données projet'!C13="",'Données projet'!C13=0%),0,Calculateur!CZ3)</f>
        <v>296.74833899433281</v>
      </c>
      <c r="E10" s="145">
        <f t="shared" ca="1" si="0"/>
        <v>287.73449456153207</v>
      </c>
      <c r="F10" s="145">
        <f t="shared" ca="1" si="1"/>
        <v>443.21861923192756</v>
      </c>
      <c r="G10" s="145">
        <f ca="1">F10*(100%-'Données projet'!$C$24)*(100%-'Données projet'!$C$25)*(100%-'Données projet'!$C$26)*(100%-'Données projet'!$C$27)</f>
        <v>398.89675730873483</v>
      </c>
      <c r="H10" s="153">
        <f>IF(OR('Données projet'!B13="",'Données projet'!C13="",'Données projet'!C13=0%),0,AVERAGE(Calculateur!$DI$3:$DI$33)*B10)</f>
        <v>0.11711810056126092</v>
      </c>
      <c r="I10" s="147">
        <f>H10*(100%-'Données projet'!$C$24)*(100%-'Données projet'!$C$25)*(100%-'Données projet'!$C$26)*(100%-'Données projet'!$C$27)</f>
        <v>0.10540629050513482</v>
      </c>
      <c r="J10" s="148">
        <f>IF(OR('Données projet'!B13="",'Données projet'!C13="",'Données projet'!C13=0%),0,SUM(Calculateur!$DB$3:$DB$33)*VLOOKUP('Données projet'!$B$13,Paramètres!$A$1:$I$89,9,0)*B10)</f>
        <v>30.611074365999997</v>
      </c>
      <c r="K10" s="149">
        <f>J10*(100%-'Données projet'!$C$24)*(100%-'Données projet'!$C$25)*(100%-'Données projet'!$C$26)*(100%-'Données projet'!$C$27)</f>
        <v>27.549966929399996</v>
      </c>
      <c r="L10" s="150">
        <f t="shared" ca="1" si="2"/>
        <v>426.55213052863996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1" t="str">
        <f>IF('Données projet'!$B$14="","",'Données projet'!$B$14)</f>
        <v>Chêne pubescent</v>
      </c>
      <c r="B11" s="152">
        <f>'Données projet'!D14</f>
        <v>1.5403735999999999</v>
      </c>
      <c r="C11" s="145">
        <f ca="1">IF(OR('Données projet'!B14="",'Données projet'!C14="",'Données projet'!C14=0%),0,Calculateur!DT3)</f>
        <v>532.34688562681413</v>
      </c>
      <c r="D11" s="145">
        <f>IF(OR('Données projet'!B14="",'Données projet'!C14="",'Données projet'!C14=0%),0,Calculateur!DU3)</f>
        <v>345.42627129678556</v>
      </c>
      <c r="E11" s="145">
        <f t="shared" ca="1" si="0"/>
        <v>345.42627129678556</v>
      </c>
      <c r="F11" s="145">
        <f t="shared" ca="1" si="1"/>
        <v>532.08550905200616</v>
      </c>
      <c r="G11" s="145">
        <f ca="1">F11*(100%-'Données projet'!$C$24)*(100%-'Données projet'!$C$25)*(100%-'Données projet'!$C$26)*(100%-'Données projet'!$C$27)</f>
        <v>478.87695814680558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478.87695814680558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1" t="str">
        <f>IF('Données projet'!$B$15="","",'Données projet'!$B$15)</f>
        <v>Robinier faux-acacia</v>
      </c>
      <c r="B12" s="152">
        <f>'Données projet'!D15</f>
        <v>1.5403735999999999</v>
      </c>
      <c r="C12" s="145">
        <f ca="1">IF(OR('Données projet'!B15="",'Données projet'!C15="",'Données projet'!C15=0%),0,Calculateur!EO3)</f>
        <v>256.20286603823035</v>
      </c>
      <c r="D12" s="145">
        <f>IF(OR('Données projet'!B15="",'Données projet'!C15="",'Données projet'!C15=0%),0,Calculateur!EP3)</f>
        <v>364.83827155069434</v>
      </c>
      <c r="E12" s="145">
        <f t="shared" ca="1" si="0"/>
        <v>256.20286603823035</v>
      </c>
      <c r="F12" s="145">
        <f t="shared" ca="1" si="1"/>
        <v>394.64813108962659</v>
      </c>
      <c r="G12" s="145">
        <f ca="1">F12*(100%-'Données projet'!$C$24)*(100%-'Données projet'!$C$25)*(100%-'Données projet'!$C$26)*(100%-'Données projet'!$C$27)</f>
        <v>355.18331798066396</v>
      </c>
      <c r="H12" s="153">
        <f>IF(OR('Données projet'!B15="",'Données projet'!C15="",'Données projet'!C15=0%),0,AVERAGE(Calculateur!$EY$3:$EY$33)*B12)</f>
        <v>4.2046944175890631E-2</v>
      </c>
      <c r="I12" s="147">
        <f>H12*(100%-'Données projet'!$C$24)*(100%-'Données projet'!$C$25)*(100%-'Données projet'!$C$26)*(100%-'Données projet'!$C$27)</f>
        <v>3.7842249758301569E-2</v>
      </c>
      <c r="J12" s="148">
        <f>IF(OR('Données projet'!B15="",'Données projet'!C15="",'Données projet'!C15=0%),0,SUM(Calculateur!$ER$3:$ER$33)*VLOOKUP('Données projet'!$B$15,Paramètres!$A$1:$I$89,9,0)*B12)</f>
        <v>24.684486939999996</v>
      </c>
      <c r="K12" s="149">
        <f>J12*(100%-'Données projet'!$C$24)*(100%-'Données projet'!$C$25)*(100%-'Données projet'!$C$26)*(100%-'Données projet'!$C$27)</f>
        <v>22.216038245999997</v>
      </c>
      <c r="L12" s="150">
        <f t="shared" ca="1" si="2"/>
        <v>377.43719847642222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1" t="str">
        <f>IF('Données projet'!$B$16="","",'Données projet'!$B$16)</f>
        <v>Tilleul</v>
      </c>
      <c r="B13" s="152">
        <f>'Données projet'!D16</f>
        <v>1.5403735999999999</v>
      </c>
      <c r="C13" s="145">
        <f ca="1">IF(OR('Données projet'!B16="",'Données projet'!C16="",'Données projet'!C16=0%),0,Calculateur!FJ3)</f>
        <v>380.73695370216979</v>
      </c>
      <c r="D13" s="145">
        <f>IF(OR('Données projet'!B16="",'Données projet'!C16="",'Données projet'!C16=0%),0,Calculateur!FK3)</f>
        <v>249.34467160415713</v>
      </c>
      <c r="E13" s="145">
        <f t="shared" ca="1" si="0"/>
        <v>249.34467160415713</v>
      </c>
      <c r="F13" s="145">
        <f t="shared" ca="1" si="1"/>
        <v>384.08394943971325</v>
      </c>
      <c r="G13" s="145">
        <f ca="1">F13*(100%-'Données projet'!$C$24)*(100%-'Données projet'!$C$25)*(100%-'Données projet'!$C$26)*(100%-'Données projet'!$C$27)</f>
        <v>345.67555449574195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ca="1" si="2"/>
        <v>345.67555449574195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1" t="str">
        <f>IF('Données projet'!$B$17="","",'Données projet'!$B$17)</f>
        <v>Alisier torminal</v>
      </c>
      <c r="B14" s="152">
        <f>'Données projet'!D17</f>
        <v>0.69499460000000002</v>
      </c>
      <c r="C14" s="145">
        <f ca="1">IF(OR('Données projet'!B17="",'Données projet'!C17="",'Données projet'!C17=0%),0,Calculateur!GE3)</f>
        <v>511.7458522930001</v>
      </c>
      <c r="D14" s="145">
        <f>IF(OR('Données projet'!B17="",'Données projet'!C17="",'Données projet'!C17=0%),0,Calculateur!GF3)</f>
        <v>332.37317679966122</v>
      </c>
      <c r="E14" s="145">
        <f t="shared" ca="1" si="0"/>
        <v>332.37317679966122</v>
      </c>
      <c r="F14" s="145">
        <f t="shared" ca="1" si="1"/>
        <v>230.99756306060985</v>
      </c>
      <c r="G14" s="145">
        <f ca="1">F14*(100%-'Données projet'!$C$24)*(100%-'Données projet'!$C$25)*(100%-'Données projet'!$C$26)*(100%-'Données projet'!$C$27)</f>
        <v>207.89780675454887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ca="1" si="2"/>
        <v>207.89780675454887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4" t="str">
        <f>IF('Données projet'!B18="","",'Données projet'!B18)</f>
        <v>Erable champêtre</v>
      </c>
      <c r="B15" s="155">
        <f>'Données projet'!D18</f>
        <v>0.34750520000000001</v>
      </c>
      <c r="C15" s="156">
        <f ca="1">IF(OR('Données projet'!B18="",'Données projet'!C18="",'Données projet'!C18=0%),0,Calculateur!GZ3)</f>
        <v>348.77506423101278</v>
      </c>
      <c r="D15" s="156">
        <f>IF(OR('Données projet'!B18="",'Données projet'!C18="",'Données projet'!C18=0%),0,Calculateur!HA3)</f>
        <v>336.13747591329548</v>
      </c>
      <c r="E15" s="156">
        <f t="shared" ca="1" si="0"/>
        <v>336.13747591329548</v>
      </c>
      <c r="F15" s="157">
        <f t="shared" ca="1" si="1"/>
        <v>116.80952079474493</v>
      </c>
      <c r="G15" s="157">
        <f ca="1">F15*(100%-'Données projet'!$C$24)*(100%-'Données projet'!$C$25)*(100%-'Données projet'!$C$26)*(100%-'Données projet'!$C$27)</f>
        <v>105.12856871527043</v>
      </c>
      <c r="H15" s="158">
        <f>IF(OR('Données projet'!B18="",'Données projet'!C18="",'Données projet'!C18=0%),0,AVERAGE(Calculateur!$HJ$3:$HJ$33)*B15)</f>
        <v>3.2130926316437054E-2</v>
      </c>
      <c r="I15" s="159">
        <f>H15*(100%-'Données projet'!$C$24)*(100%-'Données projet'!$C$25)*(100%-'Données projet'!$C$26)*(100%-'Données projet'!$C$27)</f>
        <v>2.8917833684793351E-2</v>
      </c>
      <c r="J15" s="160">
        <f>IF(OR('Données projet'!B18="",'Données projet'!C18="",'Données projet'!C18=0%),0,SUM(Calculateur!$HC$3:$HC$33)*VLOOKUP('Données projet'!$B$18,Paramètres!$A$1:$I$89,9,0)*B15)</f>
        <v>8.6007537000000003</v>
      </c>
      <c r="K15" s="161">
        <f>J15*(100%-'Données projet'!$C$24)*(100%-'Données projet'!$C$25)*(100%-'Données projet'!$C$26)*(100%-'Données projet'!$C$27)</f>
        <v>7.7406783300000006</v>
      </c>
      <c r="L15" s="162">
        <f t="shared" ca="1" si="2"/>
        <v>112.89816487895521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6"/>
      <c r="B16" s="210"/>
      <c r="C16" s="211"/>
      <c r="D16" s="23"/>
      <c r="E16" s="23"/>
      <c r="F16" s="163">
        <f t="shared" ref="F16:L16" ca="1" si="3">SUM(F6:F15)</f>
        <v>4771.8301261772958</v>
      </c>
      <c r="G16" s="164">
        <f t="shared" ca="1" si="3"/>
        <v>4294.6471135595657</v>
      </c>
      <c r="H16" s="165">
        <f t="shared" si="3"/>
        <v>45.263994897276447</v>
      </c>
      <c r="I16" s="165">
        <f t="shared" si="3"/>
        <v>40.737595407548795</v>
      </c>
      <c r="J16" s="166">
        <f t="shared" si="3"/>
        <v>387.13675698727991</v>
      </c>
      <c r="K16" s="166">
        <f t="shared" si="3"/>
        <v>348.42308128855194</v>
      </c>
      <c r="L16" s="167">
        <f t="shared" ca="1" si="3"/>
        <v>4683.8077902556661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6"/>
      <c r="B17" s="210"/>
      <c r="C17" s="211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6"/>
      <c r="B18" s="210"/>
      <c r="C18" s="211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68" t="str">
        <f>A7</f>
        <v>Pin noir d'Autriche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68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68" t="str">
        <f>A9</f>
        <v>Séquoia géant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68" t="str">
        <f>A10</f>
        <v>Chêne chevelu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68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68" t="str">
        <f>A12</f>
        <v>Robinier faux-acacia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68" t="str">
        <f>A13</f>
        <v>Tilleul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68" t="str">
        <f>A14</f>
        <v>Alisier torminal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68" t="str">
        <f>A15</f>
        <v>Erable champêtre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P25" sqref="P2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0" t="s">
        <v>315</v>
      </c>
      <c r="I4" s="260"/>
      <c r="K4" s="284" t="s">
        <v>253</v>
      </c>
      <c r="L4" s="285"/>
      <c r="M4" s="234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39"/>
      <c r="B7" s="240"/>
      <c r="C7" s="240"/>
      <c r="D7" s="240"/>
      <c r="E7" s="241"/>
      <c r="F7" s="241" t="s">
        <v>192</v>
      </c>
      <c r="G7" s="242"/>
      <c r="H7" s="240"/>
      <c r="I7" s="240"/>
      <c r="J7" s="243"/>
      <c r="K7" s="237"/>
      <c r="L7" s="238"/>
      <c r="M7" s="238"/>
      <c r="N7" s="244" t="s">
        <v>191</v>
      </c>
      <c r="O7" s="244"/>
      <c r="P7" s="245"/>
      <c r="Q7" s="246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7"/>
      <c r="K8" s="205"/>
      <c r="L8" s="23"/>
      <c r="M8" s="23"/>
      <c r="N8" s="23"/>
      <c r="O8" s="23"/>
      <c r="P8" s="23"/>
      <c r="Q8" s="231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1" t="s">
        <v>311</v>
      </c>
      <c r="C9" s="23"/>
      <c r="D9" s="23"/>
      <c r="E9" s="23"/>
      <c r="F9" s="227"/>
      <c r="G9" s="91" t="s">
        <v>314</v>
      </c>
      <c r="J9" s="197"/>
      <c r="K9" s="205"/>
      <c r="O9" s="23"/>
      <c r="P9" s="23"/>
      <c r="Q9" s="231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1" t="s">
        <v>317</v>
      </c>
      <c r="C10" s="23"/>
      <c r="D10" s="23"/>
      <c r="E10" s="23"/>
      <c r="F10" s="227"/>
      <c r="G10" s="91" t="s">
        <v>316</v>
      </c>
      <c r="J10" s="197"/>
      <c r="K10" s="205"/>
      <c r="O10" s="23"/>
      <c r="P10" s="23"/>
      <c r="Q10" s="231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4150.133440238802</v>
      </c>
      <c r="U10" s="176">
        <f>'Données projet'!D9</f>
        <v>1.9752527999999998</v>
      </c>
      <c r="V10" s="175">
        <f>U10*T10</f>
        <v>8197.5626982053254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1" t="s">
        <v>312</v>
      </c>
      <c r="B11" s="23"/>
      <c r="C11" s="23"/>
      <c r="D11" s="23"/>
      <c r="E11" s="23"/>
      <c r="F11" s="227"/>
      <c r="G11" s="91" t="s">
        <v>313</v>
      </c>
      <c r="J11" s="197"/>
      <c r="K11" s="205"/>
      <c r="M11" s="4"/>
      <c r="N11" s="4"/>
      <c r="O11" s="23"/>
      <c r="P11" s="23"/>
      <c r="Q11" s="231"/>
      <c r="R11" s="23"/>
      <c r="S11" s="36" t="str">
        <f>B45</f>
        <v>Pin noir d'Autriche</v>
      </c>
      <c r="T11" s="23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6630.1943792821257</v>
      </c>
      <c r="U11" s="176">
        <f>'Données projet'!D10</f>
        <v>1.9752527999999998</v>
      </c>
      <c r="V11" s="175">
        <f t="shared" ref="V11" si="0">U11*T11</f>
        <v>13096.31001222128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7"/>
      <c r="J12" s="197"/>
      <c r="K12" s="205"/>
      <c r="L12" s="199"/>
      <c r="M12" s="23"/>
      <c r="N12" s="23"/>
      <c r="O12" s="23"/>
      <c r="P12" s="23"/>
      <c r="Q12" s="231"/>
      <c r="R12" s="23"/>
      <c r="S12" s="36" t="str">
        <f>B76</f>
        <v>Pin laricio</v>
      </c>
      <c r="T12" s="23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10954.85710990026</v>
      </c>
      <c r="U12" s="176">
        <f>'Données projet'!D11</f>
        <v>1.9752527999999998</v>
      </c>
      <c r="V12" s="175">
        <f t="shared" ref="V12:V19" si="1">U12*T12</f>
        <v>21638.612179930395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7"/>
      <c r="J13" s="23"/>
      <c r="K13" s="205"/>
      <c r="L13" s="91" t="s">
        <v>257</v>
      </c>
      <c r="M13" s="23"/>
      <c r="N13" s="23"/>
      <c r="O13" s="23"/>
      <c r="P13" s="23"/>
      <c r="Q13" s="231"/>
      <c r="R13" s="23"/>
      <c r="S13" s="36" t="str">
        <f>B107</f>
        <v>Séquoia géant</v>
      </c>
      <c r="T13" s="23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9462.7013223890499</v>
      </c>
      <c r="U13" s="176">
        <f>'Données projet'!D12</f>
        <v>1.9752527999999998</v>
      </c>
      <c r="V13" s="175">
        <f t="shared" si="1"/>
        <v>18691.227282612672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7"/>
      <c r="G14" s="23"/>
      <c r="H14" s="36" t="s">
        <v>178</v>
      </c>
      <c r="I14" s="36" t="s">
        <v>290</v>
      </c>
      <c r="J14" s="198"/>
      <c r="K14" s="171"/>
      <c r="L14" s="199"/>
      <c r="M14" s="23"/>
      <c r="N14" s="23"/>
      <c r="O14" s="4"/>
      <c r="P14" s="4"/>
      <c r="Q14" s="232"/>
      <c r="R14" s="4"/>
      <c r="S14" s="36" t="str">
        <f>B138</f>
        <v>Chêne chevelu</v>
      </c>
      <c r="T14" s="23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-1386.9637813941724</v>
      </c>
      <c r="U14" s="176">
        <f>'Données projet'!D13</f>
        <v>1.5403735999999999</v>
      </c>
      <c r="V14" s="175">
        <f t="shared" si="1"/>
        <v>-2136.4423930157541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7"/>
      <c r="G15" s="287" t="s">
        <v>318</v>
      </c>
      <c r="H15" s="188"/>
      <c r="I15" s="189"/>
      <c r="J15" s="199"/>
      <c r="K15" s="205"/>
      <c r="L15" s="199"/>
      <c r="M15" s="23"/>
      <c r="N15" s="23"/>
      <c r="O15" s="23"/>
      <c r="P15" s="23"/>
      <c r="Q15" s="231"/>
      <c r="R15" s="23"/>
      <c r="S15" s="36" t="str">
        <f>B169</f>
        <v>Chêne pubescent</v>
      </c>
      <c r="T15" s="23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-1682.0468741974648</v>
      </c>
      <c r="U15" s="176">
        <f>'Données projet'!D14</f>
        <v>1.5403735999999999</v>
      </c>
      <c r="V15" s="175">
        <f t="shared" si="1"/>
        <v>-2590.9805989762958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7"/>
      <c r="G16" s="287"/>
      <c r="H16" s="188"/>
      <c r="I16" s="189"/>
      <c r="J16" s="199"/>
      <c r="K16" s="205"/>
      <c r="L16" s="284" t="s">
        <v>254</v>
      </c>
      <c r="M16" s="285"/>
      <c r="N16" s="2"/>
      <c r="O16" s="23"/>
      <c r="P16" s="23"/>
      <c r="Q16" s="231"/>
      <c r="R16" s="23"/>
      <c r="S16" s="36" t="str">
        <f>B200</f>
        <v>Robinier faux-acacia</v>
      </c>
      <c r="T16" s="23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3299.686283680187</v>
      </c>
      <c r="U16" s="176">
        <f>'Données projet'!D15</f>
        <v>1.5403735999999999</v>
      </c>
      <c r="V16" s="175">
        <f t="shared" si="1"/>
        <v>5082.7496396630704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6" t="s">
        <v>132</v>
      </c>
      <c r="C17" s="195" t="s">
        <v>132</v>
      </c>
      <c r="D17" s="194" t="s">
        <v>132</v>
      </c>
      <c r="E17" s="191">
        <v>3748.5</v>
      </c>
      <c r="F17" s="227"/>
      <c r="G17" s="287"/>
      <c r="J17" s="199"/>
      <c r="K17" s="205"/>
      <c r="L17" s="257" t="s">
        <v>289</v>
      </c>
      <c r="M17" s="259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1"/>
      <c r="R17" s="23"/>
      <c r="S17" s="36" t="str">
        <f>B231</f>
        <v>Tilleul</v>
      </c>
      <c r="T17" s="23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-1848.6468741974638</v>
      </c>
      <c r="U17" s="176">
        <f>'Données projet'!D16</f>
        <v>1.5403735999999999</v>
      </c>
      <c r="V17" s="175">
        <f t="shared" si="1"/>
        <v>-2847.6068407362941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6" t="s">
        <v>132</v>
      </c>
      <c r="C18" s="195" t="s">
        <v>132</v>
      </c>
      <c r="D18" s="194" t="s">
        <v>132</v>
      </c>
      <c r="E18" s="191"/>
      <c r="F18" s="227"/>
      <c r="G18" s="287"/>
      <c r="J18" s="199"/>
      <c r="K18" s="205"/>
      <c r="L18" s="257" t="s">
        <v>255</v>
      </c>
      <c r="M18" s="259"/>
      <c r="N18" s="190"/>
      <c r="O18" s="23"/>
      <c r="P18" s="23"/>
      <c r="Q18" s="231"/>
      <c r="R18" s="23"/>
      <c r="S18" s="36" t="str">
        <f>B262</f>
        <v>Alisier torminal</v>
      </c>
      <c r="T18" s="23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-2848.246874197464</v>
      </c>
      <c r="U18" s="176">
        <f>'Données projet'!D17</f>
        <v>0.69499460000000002</v>
      </c>
      <c r="V18" s="175">
        <f t="shared" si="1"/>
        <v>-1979.5161970341169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6" t="s">
        <v>132</v>
      </c>
      <c r="C19" s="195" t="s">
        <v>132</v>
      </c>
      <c r="D19" s="194" t="s">
        <v>132</v>
      </c>
      <c r="E19" s="191"/>
      <c r="F19" s="227"/>
      <c r="G19" s="287"/>
      <c r="H19" s="209" t="s">
        <v>178</v>
      </c>
      <c r="I19" s="209" t="s">
        <v>287</v>
      </c>
      <c r="J19" s="91"/>
      <c r="K19" s="171"/>
      <c r="L19" s="284" t="s">
        <v>288</v>
      </c>
      <c r="M19" s="285"/>
      <c r="N19" s="177">
        <f>N17*N18</f>
        <v>0</v>
      </c>
      <c r="O19" s="23"/>
      <c r="P19" s="4"/>
      <c r="Q19" s="232"/>
      <c r="R19" s="4"/>
      <c r="S19" s="36" t="str">
        <f>B293</f>
        <v>Erable champêtre</v>
      </c>
      <c r="T19" s="23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182.79474779998327</v>
      </c>
      <c r="U19" s="176">
        <f>'Données projet'!D18</f>
        <v>0.34750520000000001</v>
      </c>
      <c r="V19" s="175">
        <f t="shared" si="1"/>
        <v>63.522125393182748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6" t="s">
        <v>132</v>
      </c>
      <c r="C20" s="195" t="s">
        <v>132</v>
      </c>
      <c r="D20" s="194" t="s">
        <v>132</v>
      </c>
      <c r="E20" s="191"/>
      <c r="F20" s="227"/>
      <c r="G20" s="287"/>
      <c r="H20" s="188">
        <v>0</v>
      </c>
      <c r="I20" s="189">
        <v>4559.21</v>
      </c>
      <c r="J20" s="4"/>
      <c r="K20" s="171"/>
      <c r="O20" s="23"/>
      <c r="P20" s="4"/>
      <c r="Q20" s="232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6" t="s">
        <v>132</v>
      </c>
      <c r="C21" s="195" t="s">
        <v>132</v>
      </c>
      <c r="D21" s="194" t="s">
        <v>132</v>
      </c>
      <c r="E21" s="191"/>
      <c r="F21" s="227"/>
      <c r="H21" s="188">
        <v>1</v>
      </c>
      <c r="I21" s="189">
        <v>450</v>
      </c>
      <c r="K21" s="171"/>
      <c r="O21" s="23"/>
      <c r="P21" s="4"/>
      <c r="Q21" s="232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6" t="s">
        <v>132</v>
      </c>
      <c r="C22" s="195" t="s">
        <v>132</v>
      </c>
      <c r="D22" s="194" t="s">
        <v>132</v>
      </c>
      <c r="E22" s="191"/>
      <c r="F22" s="227"/>
      <c r="H22" s="188">
        <v>2</v>
      </c>
      <c r="I22" s="189">
        <v>450</v>
      </c>
      <c r="K22" s="171"/>
      <c r="O22" s="23"/>
      <c r="P22" s="4"/>
      <c r="Q22" s="232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78">
        <f>'Données projet'!A36</f>
        <v>42</v>
      </c>
      <c r="B23" s="179">
        <f>'Données projet'!D36</f>
        <v>182.39</v>
      </c>
      <c r="C23" s="191">
        <f>225*'Données projet'!E36+13.8*('Données projet'!F36+'Données projet'!G36)+10*'Données projet'!G36</f>
        <v>80.259999999999991</v>
      </c>
      <c r="D23" s="180">
        <f>B23*C23</f>
        <v>14638.621399999996</v>
      </c>
      <c r="E23" s="191"/>
      <c r="F23" s="227"/>
      <c r="H23" s="188">
        <v>3</v>
      </c>
      <c r="I23" s="189"/>
      <c r="K23" s="205"/>
      <c r="L23" s="286" t="s">
        <v>260</v>
      </c>
      <c r="M23" s="286"/>
      <c r="N23" s="286"/>
      <c r="O23" s="23"/>
      <c r="P23" s="23"/>
      <c r="Q23" s="231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-34096.918949178231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78">
        <f>'Données projet'!A37</f>
        <v>49</v>
      </c>
      <c r="B24" s="179">
        <f>'Données projet'!D37</f>
        <v>100.16</v>
      </c>
      <c r="C24" s="191">
        <f>225*'Données projet'!E37+13.8*('Données projet'!F37+'Données projet'!G37)+10*'Données projet'!G37</f>
        <v>100.88</v>
      </c>
      <c r="D24" s="180">
        <f t="shared" ref="D24:D42" si="2">B24*C24</f>
        <v>10104.140799999999</v>
      </c>
      <c r="E24" s="191"/>
      <c r="F24" s="230"/>
      <c r="H24" s="188">
        <v>4</v>
      </c>
      <c r="I24" s="189">
        <v>450</v>
      </c>
      <c r="K24" s="205"/>
      <c r="O24" s="23"/>
      <c r="P24" s="23"/>
      <c r="Q24" s="231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78">
        <f>'Données projet'!A38</f>
        <v>56</v>
      </c>
      <c r="B25" s="179">
        <f>'Données projet'!D38</f>
        <v>79.39</v>
      </c>
      <c r="C25" s="191">
        <f>225*'Données projet'!E38+13.8*('Données projet'!F38+'Données projet'!G38)+10*'Données projet'!G38</f>
        <v>121.60000000000001</v>
      </c>
      <c r="D25" s="180">
        <f t="shared" si="2"/>
        <v>9653.8240000000005</v>
      </c>
      <c r="E25" s="191"/>
      <c r="F25" s="230"/>
      <c r="H25" s="188">
        <v>5</v>
      </c>
      <c r="I25" s="189"/>
      <c r="K25" s="205"/>
      <c r="L25" s="128" t="s">
        <v>285</v>
      </c>
      <c r="M25" s="128"/>
      <c r="N25" s="128"/>
      <c r="O25" s="128"/>
      <c r="P25" s="190"/>
      <c r="Q25" s="231"/>
      <c r="R25" s="23"/>
      <c r="S25" s="184" t="s">
        <v>266</v>
      </c>
      <c r="T25" s="301">
        <f ca="1">T23-T24</f>
        <v>-34096.918949178231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78">
        <f>'Données projet'!A39</f>
        <v>63</v>
      </c>
      <c r="B26" s="179">
        <f>'Données projet'!D39</f>
        <v>79.099999999999994</v>
      </c>
      <c r="C26" s="191">
        <f>225*'Données projet'!E39+13.8*('Données projet'!F39+'Données projet'!G39)+10*'Données projet'!G39</f>
        <v>142.32000000000002</v>
      </c>
      <c r="D26" s="180">
        <f t="shared" si="2"/>
        <v>11257.512000000001</v>
      </c>
      <c r="E26" s="191"/>
      <c r="F26" s="230"/>
      <c r="G26" s="226"/>
      <c r="H26" s="188"/>
      <c r="I26" s="189"/>
      <c r="K26" s="205"/>
      <c r="L26" s="288" t="s">
        <v>258</v>
      </c>
      <c r="M26" s="289"/>
      <c r="N26" s="289"/>
      <c r="O26" s="289"/>
      <c r="P26" s="290"/>
      <c r="Q26" s="231"/>
      <c r="R26" s="23"/>
      <c r="S26" s="184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78">
        <f>'Données projet'!A40</f>
        <v>71</v>
      </c>
      <c r="B27" s="179">
        <f>'Données projet'!D40</f>
        <v>90.8</v>
      </c>
      <c r="C27" s="191">
        <f>225*'Données projet'!E40+13.8*('Données projet'!F40+'Données projet'!G40)+10*'Données projet'!G40</f>
        <v>162.94</v>
      </c>
      <c r="D27" s="180">
        <f t="shared" si="2"/>
        <v>14794.951999999999</v>
      </c>
      <c r="E27" s="191"/>
      <c r="F27" s="230"/>
      <c r="G27" s="226"/>
      <c r="H27" s="188"/>
      <c r="I27" s="189"/>
      <c r="K27" s="205"/>
      <c r="L27" s="291"/>
      <c r="M27" s="292"/>
      <c r="N27" s="292"/>
      <c r="O27" s="292"/>
      <c r="P27" s="293"/>
      <c r="Q27" s="231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78">
        <f>'Données projet'!A41</f>
        <v>79</v>
      </c>
      <c r="B28" s="179">
        <f>'Données projet'!D41</f>
        <v>87.99</v>
      </c>
      <c r="C28" s="191">
        <f>225*'Données projet'!E41+13.8*('Données projet'!F41+'Données projet'!G41)+10*'Données projet'!G41</f>
        <v>183.66</v>
      </c>
      <c r="D28" s="180">
        <f t="shared" si="2"/>
        <v>16160.243399999999</v>
      </c>
      <c r="E28" s="191"/>
      <c r="F28" s="230"/>
      <c r="G28" s="202"/>
      <c r="H28" s="188"/>
      <c r="I28" s="189"/>
      <c r="K28" s="205"/>
      <c r="Q28" s="231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78">
        <f>'Données projet'!A42</f>
        <v>87</v>
      </c>
      <c r="B29" s="179">
        <f>'Données projet'!D42</f>
        <v>88.62</v>
      </c>
      <c r="C29" s="191">
        <f>225*'Données projet'!E42+13.8*('Données projet'!F42+'Données projet'!G42)+10*'Données projet'!G42</f>
        <v>183.66</v>
      </c>
      <c r="D29" s="180">
        <f t="shared" si="2"/>
        <v>16275.949200000001</v>
      </c>
      <c r="E29" s="191"/>
      <c r="F29" s="230"/>
      <c r="G29" s="200"/>
      <c r="H29" s="188"/>
      <c r="I29" s="189"/>
      <c r="K29" s="205"/>
      <c r="O29" s="23"/>
      <c r="P29" s="23"/>
      <c r="Q29" s="231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78">
        <f>'Données projet'!A43</f>
        <v>95</v>
      </c>
      <c r="B30" s="179">
        <f>'Données projet'!D43</f>
        <v>268.81</v>
      </c>
      <c r="C30" s="191">
        <f>225*'Données projet'!E43+13.8*('Données projet'!F43+'Données projet'!G43)+10*'Données projet'!G43</f>
        <v>183.66</v>
      </c>
      <c r="D30" s="180">
        <f t="shared" si="2"/>
        <v>49369.6446</v>
      </c>
      <c r="E30" s="191"/>
      <c r="F30" s="230"/>
      <c r="G30" s="200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2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78">
        <f>'Données projet'!A44</f>
        <v>105</v>
      </c>
      <c r="B31" s="179">
        <f>'Données projet'!D44</f>
        <v>356.68</v>
      </c>
      <c r="C31" s="191">
        <f>225*'Données projet'!E44+13.8*('Données projet'!F44+'Données projet'!G44)+10*'Données projet'!G44</f>
        <v>183.66</v>
      </c>
      <c r="D31" s="180">
        <f t="shared" si="2"/>
        <v>65507.8488</v>
      </c>
      <c r="E31" s="191"/>
      <c r="F31" s="230"/>
      <c r="G31" s="200"/>
      <c r="H31" s="188"/>
      <c r="I31" s="189"/>
      <c r="K31" s="171"/>
      <c r="Q31" s="231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78">
        <f>'Données projet'!A45</f>
        <v>0</v>
      </c>
      <c r="B32" s="179">
        <f>'Données projet'!D45</f>
        <v>0</v>
      </c>
      <c r="C32" s="191">
        <f>225*'Données projet'!E45+13.8*('Données projet'!F45+'Données projet'!G45)+10*'Données projet'!G45</f>
        <v>0</v>
      </c>
      <c r="D32" s="180">
        <f t="shared" si="2"/>
        <v>0</v>
      </c>
      <c r="E32" s="191"/>
      <c r="F32" s="230"/>
      <c r="G32" s="200"/>
      <c r="H32" s="188"/>
      <c r="I32" s="189"/>
      <c r="K32" s="171"/>
      <c r="N32" s="4"/>
      <c r="O32" s="83" t="s">
        <v>178</v>
      </c>
      <c r="P32" s="83" t="s">
        <v>252</v>
      </c>
      <c r="Q32" s="231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78">
        <f>'Données projet'!A46</f>
        <v>0</v>
      </c>
      <c r="B33" s="179">
        <f>'Données projet'!D46</f>
        <v>0</v>
      </c>
      <c r="C33" s="191">
        <f>225*'Données projet'!E46+13.8*('Données projet'!F46+'Données projet'!G46)+10*'Données projet'!G46</f>
        <v>0</v>
      </c>
      <c r="D33" s="180">
        <f t="shared" si="2"/>
        <v>0</v>
      </c>
      <c r="E33" s="191"/>
      <c r="F33" s="230"/>
      <c r="G33" s="200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1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78">
        <f>'Données projet'!A47</f>
        <v>0</v>
      </c>
      <c r="B34" s="179">
        <f>'Données projet'!D47</f>
        <v>0</v>
      </c>
      <c r="C34" s="191">
        <f>225*'Données projet'!E47+13.8*('Données projet'!F47+'Données projet'!G47)+10*'Données projet'!G47</f>
        <v>0</v>
      </c>
      <c r="D34" s="180">
        <f t="shared" si="2"/>
        <v>0</v>
      </c>
      <c r="E34" s="191"/>
      <c r="F34" s="230"/>
      <c r="G34" s="200"/>
      <c r="H34" s="188"/>
      <c r="I34" s="189"/>
      <c r="K34" s="171"/>
      <c r="L34" s="96"/>
      <c r="M34" s="96"/>
      <c r="N34" s="247"/>
      <c r="O34" s="192">
        <f>IF(O33+1&lt;=MIN('Données projet'!$E$9:$E$18),O33+1,"STOP")</f>
        <v>1</v>
      </c>
      <c r="P34" s="183">
        <f t="shared" si="3"/>
        <v>0</v>
      </c>
      <c r="Q34" s="231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78">
        <f>'Données projet'!A48</f>
        <v>0</v>
      </c>
      <c r="B35" s="179">
        <f>'Données projet'!D48</f>
        <v>0</v>
      </c>
      <c r="C35" s="191">
        <f>225*'Données projet'!E48+13.8*('Données projet'!F48+'Données projet'!G48)+10*'Données projet'!G48</f>
        <v>0</v>
      </c>
      <c r="D35" s="180">
        <f t="shared" si="2"/>
        <v>0</v>
      </c>
      <c r="E35" s="191"/>
      <c r="F35" s="230"/>
      <c r="G35" s="200"/>
      <c r="H35" s="188"/>
      <c r="I35" s="189"/>
      <c r="K35" s="171"/>
      <c r="L35" s="96"/>
      <c r="M35" s="96"/>
      <c r="N35" s="247"/>
      <c r="O35" s="192">
        <f>IF(O34+1&lt;=MIN('Données projet'!$E$9:$E$18),O34+1,"STOP")</f>
        <v>2</v>
      </c>
      <c r="P35" s="183">
        <f t="shared" si="3"/>
        <v>0</v>
      </c>
      <c r="Q35" s="231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78">
        <f>'Données projet'!A49</f>
        <v>0</v>
      </c>
      <c r="B36" s="179">
        <f>'Données projet'!D49</f>
        <v>0</v>
      </c>
      <c r="C36" s="191">
        <f>225*'Données projet'!E49+13.8*('Données projet'!F49+'Données projet'!G49)+10*'Données projet'!G49</f>
        <v>0</v>
      </c>
      <c r="D36" s="180">
        <f t="shared" si="2"/>
        <v>0</v>
      </c>
      <c r="E36" s="191"/>
      <c r="F36" s="230"/>
      <c r="G36" s="200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1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78">
        <f>'Données projet'!A50</f>
        <v>0</v>
      </c>
      <c r="B37" s="179">
        <f>'Données projet'!D50</f>
        <v>0</v>
      </c>
      <c r="C37" s="191">
        <f>225*'Données projet'!E50+13.8*('Données projet'!F50+'Données projet'!G50)+10*'Données projet'!G50</f>
        <v>0</v>
      </c>
      <c r="D37" s="180">
        <f t="shared" si="2"/>
        <v>0</v>
      </c>
      <c r="E37" s="191"/>
      <c r="F37" s="230"/>
      <c r="G37" s="200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1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78">
        <f>'Données projet'!A51</f>
        <v>0</v>
      </c>
      <c r="B38" s="179">
        <f>'Données projet'!D51</f>
        <v>0</v>
      </c>
      <c r="C38" s="191">
        <f>225*'Données projet'!E51+13.8*('Données projet'!F51+'Données projet'!G51)+10*'Données projet'!G51</f>
        <v>0</v>
      </c>
      <c r="D38" s="180">
        <f t="shared" si="2"/>
        <v>0</v>
      </c>
      <c r="E38" s="191"/>
      <c r="F38" s="230"/>
      <c r="G38" s="200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1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78">
        <f>'Données projet'!A52</f>
        <v>0</v>
      </c>
      <c r="B39" s="179">
        <f>'Données projet'!D52</f>
        <v>0</v>
      </c>
      <c r="C39" s="191">
        <f>225*'Données projet'!E52+13.8*('Données projet'!F52+'Données projet'!G52)+10*'Données projet'!G52</f>
        <v>0</v>
      </c>
      <c r="D39" s="180">
        <f t="shared" si="2"/>
        <v>0</v>
      </c>
      <c r="E39" s="191"/>
      <c r="F39" s="230"/>
      <c r="G39" s="200"/>
      <c r="H39" s="188"/>
      <c r="I39" s="189"/>
      <c r="K39" s="205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1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78">
        <f>'Données projet'!A53</f>
        <v>0</v>
      </c>
      <c r="B40" s="179">
        <f>'Données projet'!D53</f>
        <v>0</v>
      </c>
      <c r="C40" s="191">
        <f>225*'Données projet'!E53+13.8*('Données projet'!F53+'Données projet'!G53)+10*'Données projet'!G53</f>
        <v>0</v>
      </c>
      <c r="D40" s="180">
        <f t="shared" si="2"/>
        <v>0</v>
      </c>
      <c r="E40" s="191"/>
      <c r="F40" s="230"/>
      <c r="G40" s="200"/>
      <c r="H40" s="188"/>
      <c r="I40" s="189"/>
      <c r="K40" s="205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1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78">
        <f>'Données projet'!A54</f>
        <v>0</v>
      </c>
      <c r="B41" s="179">
        <f>'Données projet'!D54</f>
        <v>0</v>
      </c>
      <c r="C41" s="191">
        <f>225*'Données projet'!E54+13.8*('Données projet'!F54+'Données projet'!G54)+10*'Données projet'!G54</f>
        <v>0</v>
      </c>
      <c r="D41" s="180">
        <f t="shared" si="2"/>
        <v>0</v>
      </c>
      <c r="E41" s="191"/>
      <c r="F41" s="230"/>
      <c r="G41" s="200"/>
      <c r="H41" s="188"/>
      <c r="I41" s="189"/>
      <c r="K41" s="205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1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78">
        <f>'Données projet'!A55</f>
        <v>0</v>
      </c>
      <c r="B42" s="179">
        <f>'Données projet'!D55</f>
        <v>0</v>
      </c>
      <c r="C42" s="191">
        <f>225*'Données projet'!E55+13.8*('Données projet'!F55+'Données projet'!G55)+10*'Données projet'!G55</f>
        <v>0</v>
      </c>
      <c r="D42" s="180">
        <f t="shared" si="2"/>
        <v>0</v>
      </c>
      <c r="E42" s="191"/>
      <c r="F42" s="230"/>
      <c r="G42" s="200"/>
      <c r="H42" s="188"/>
      <c r="I42" s="189"/>
      <c r="K42" s="205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1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5"/>
      <c r="B43" s="185"/>
      <c r="C43" s="185"/>
      <c r="D43" s="224"/>
      <c r="E43" s="224"/>
      <c r="F43" s="235"/>
      <c r="G43" s="200"/>
      <c r="H43" s="188"/>
      <c r="I43" s="189"/>
      <c r="K43" s="205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2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7"/>
      <c r="G44" s="200"/>
      <c r="H44" s="188"/>
      <c r="I44" s="189"/>
      <c r="K44" s="205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2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2" t="str">
        <f>IF('Données projet'!$B$10="","",'Données projet'!$B$10)</f>
        <v>Pin noir d'Autriche</v>
      </c>
      <c r="C45" s="4"/>
      <c r="D45" s="4"/>
      <c r="E45" s="4"/>
      <c r="F45" s="227"/>
      <c r="G45" s="200"/>
      <c r="H45" s="188"/>
      <c r="I45" s="189"/>
      <c r="J45" s="23"/>
      <c r="K45" s="205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7"/>
      <c r="G46" s="200"/>
      <c r="H46" s="188"/>
      <c r="I46" s="189"/>
      <c r="J46" s="23"/>
      <c r="K46" s="205"/>
      <c r="L46" s="201"/>
      <c r="M46" s="201"/>
      <c r="N46" s="201"/>
      <c r="O46" s="192">
        <f>IF(O45+1&lt;=MIN('Données projet'!$E$9:$E$18),O45+1,"STOP")</f>
        <v>13</v>
      </c>
      <c r="P46" s="186">
        <f t="shared" si="3"/>
        <v>0</v>
      </c>
      <c r="Q46" s="23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8"/>
      <c r="G47" s="200"/>
      <c r="H47" s="188"/>
      <c r="I47" s="189"/>
      <c r="J47" s="23"/>
      <c r="K47" s="205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6" t="s">
        <v>132</v>
      </c>
      <c r="C48" s="195" t="s">
        <v>132</v>
      </c>
      <c r="D48" s="194" t="s">
        <v>132</v>
      </c>
      <c r="E48" s="191">
        <v>2165.8000000000002</v>
      </c>
      <c r="F48" s="228"/>
      <c r="G48" s="200"/>
      <c r="H48" s="188"/>
      <c r="I48" s="189"/>
      <c r="J48" s="23"/>
      <c r="K48" s="205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2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2">
      <c r="A49" s="49">
        <v>1</v>
      </c>
      <c r="B49" s="196" t="s">
        <v>132</v>
      </c>
      <c r="C49" s="195" t="s">
        <v>132</v>
      </c>
      <c r="D49" s="194" t="s">
        <v>132</v>
      </c>
      <c r="E49" s="191"/>
      <c r="F49" s="228"/>
      <c r="G49" s="201"/>
      <c r="H49" s="188"/>
      <c r="I49" s="189"/>
      <c r="J49" s="201"/>
      <c r="K49" s="207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3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ht="16" x14ac:dyDescent="0.2">
      <c r="A50" s="49">
        <v>2</v>
      </c>
      <c r="B50" s="196" t="s">
        <v>132</v>
      </c>
      <c r="C50" s="195" t="s">
        <v>132</v>
      </c>
      <c r="D50" s="194" t="s">
        <v>132</v>
      </c>
      <c r="E50" s="191"/>
      <c r="F50" s="228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6" t="s">
        <v>132</v>
      </c>
      <c r="C51" s="195" t="s">
        <v>132</v>
      </c>
      <c r="D51" s="194" t="s">
        <v>132</v>
      </c>
      <c r="E51" s="191"/>
      <c r="F51" s="228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6" t="s">
        <v>132</v>
      </c>
      <c r="C52" s="195" t="s">
        <v>132</v>
      </c>
      <c r="D52" s="194" t="s">
        <v>132</v>
      </c>
      <c r="E52" s="191"/>
      <c r="F52" s="228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6" t="s">
        <v>132</v>
      </c>
      <c r="C53" s="195" t="s">
        <v>132</v>
      </c>
      <c r="D53" s="194" t="s">
        <v>132</v>
      </c>
      <c r="E53" s="191"/>
      <c r="F53" s="228"/>
      <c r="G53" s="202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78">
        <f>'Données projet'!A62</f>
        <v>22</v>
      </c>
      <c r="B54" s="179">
        <f>'Données projet'!D62</f>
        <v>52.41</v>
      </c>
      <c r="C54" s="189">
        <f>225*'Données projet'!E62+13.8*('Données projet'!F62+'Données projet'!G62)+10*'Données projet'!H62</f>
        <v>56.04</v>
      </c>
      <c r="D54" s="177">
        <f>B54*C54</f>
        <v>2937.0563999999999</v>
      </c>
      <c r="E54" s="191"/>
      <c r="F54" s="229"/>
      <c r="G54" s="202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78">
        <f>'Données projet'!A63</f>
        <v>27</v>
      </c>
      <c r="B55" s="179">
        <f>'Données projet'!D63</f>
        <v>37.840000000000003</v>
      </c>
      <c r="C55" s="189">
        <f>225*'Données projet'!E63+13.8*('Données projet'!F63+'Données projet'!G63)+10*'Données projet'!H63</f>
        <v>77.16</v>
      </c>
      <c r="D55" s="177">
        <f t="shared" ref="D55:D73" si="4">B55*C55</f>
        <v>2919.7344000000003</v>
      </c>
      <c r="E55" s="191"/>
      <c r="F55" s="229"/>
      <c r="G55" s="202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2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78">
        <f>'Données projet'!A64</f>
        <v>33</v>
      </c>
      <c r="B56" s="179">
        <f>'Données projet'!D64</f>
        <v>50.41</v>
      </c>
      <c r="C56" s="189">
        <f>225*'Données projet'!E64+13.8*('Données projet'!F64+'Données projet'!G64)+10*'Données projet'!H64</f>
        <v>98.28</v>
      </c>
      <c r="D56" s="177">
        <f t="shared" si="4"/>
        <v>4954.2947999999997</v>
      </c>
      <c r="E56" s="191"/>
      <c r="F56" s="229"/>
      <c r="G56" s="202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78">
        <f>'Données projet'!A65</f>
        <v>41</v>
      </c>
      <c r="B57" s="179">
        <f>'Données projet'!D65</f>
        <v>72.13</v>
      </c>
      <c r="C57" s="189">
        <f>225*'Données projet'!E65+13.8*('Données projet'!F65+'Données projet'!G65)+10*'Données projet'!H65</f>
        <v>119.4</v>
      </c>
      <c r="D57" s="177">
        <f t="shared" si="4"/>
        <v>8612.3220000000001</v>
      </c>
      <c r="E57" s="191"/>
      <c r="F57" s="229"/>
      <c r="G57" s="202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78">
        <f>'Données projet'!A66</f>
        <v>50</v>
      </c>
      <c r="B58" s="179">
        <f>'Données projet'!D66</f>
        <v>70.2</v>
      </c>
      <c r="C58" s="189">
        <f>225*'Données projet'!E66+13.8*('Données projet'!F66+'Données projet'!G66)+10*'Données projet'!H66</f>
        <v>140.52000000000001</v>
      </c>
      <c r="D58" s="177">
        <f t="shared" si="4"/>
        <v>9864.5040000000008</v>
      </c>
      <c r="E58" s="191"/>
      <c r="F58" s="229"/>
      <c r="G58" s="202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78">
        <f>'Données projet'!A67</f>
        <v>60</v>
      </c>
      <c r="B59" s="179">
        <f>'Données projet'!D67</f>
        <v>69.849999999999994</v>
      </c>
      <c r="C59" s="189">
        <f>225*'Données projet'!E67+13.8*('Données projet'!F67+'Données projet'!G67)+10*'Données projet'!H67</f>
        <v>140.52000000000001</v>
      </c>
      <c r="D59" s="177">
        <f t="shared" si="4"/>
        <v>9815.3220000000001</v>
      </c>
      <c r="E59" s="191"/>
      <c r="F59" s="229"/>
      <c r="G59" s="202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78">
        <f>'Données projet'!A68</f>
        <v>70</v>
      </c>
      <c r="B60" s="179">
        <f>'Données projet'!D68</f>
        <v>67.88</v>
      </c>
      <c r="C60" s="189">
        <f>225*'Données projet'!E68+13.8*('Données projet'!F68+'Données projet'!G68)+10*'Données projet'!H68</f>
        <v>161.63999999999999</v>
      </c>
      <c r="D60" s="177">
        <f t="shared" si="4"/>
        <v>10972.123199999998</v>
      </c>
      <c r="E60" s="191"/>
      <c r="F60" s="229"/>
      <c r="G60" s="203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78">
        <f>'Données projet'!A69</f>
        <v>80</v>
      </c>
      <c r="B61" s="179">
        <f>'Données projet'!D69</f>
        <v>520</v>
      </c>
      <c r="C61" s="189">
        <f>225*'Données projet'!E69+13.8*('Données projet'!F69+'Données projet'!G69)+10*'Données projet'!H69</f>
        <v>182.76</v>
      </c>
      <c r="D61" s="177">
        <f t="shared" si="4"/>
        <v>95035.199999999997</v>
      </c>
      <c r="E61" s="191"/>
      <c r="F61" s="229"/>
      <c r="G61" s="203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2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78">
        <f>'Données projet'!A70</f>
        <v>0</v>
      </c>
      <c r="B62" s="179">
        <f>'Données projet'!D70</f>
        <v>0</v>
      </c>
      <c r="C62" s="189">
        <f>225*'Données projet'!E70+13.8*('Données projet'!F70+'Données projet'!G70)+10*'Données projet'!H70</f>
        <v>0</v>
      </c>
      <c r="D62" s="177">
        <f t="shared" si="4"/>
        <v>0</v>
      </c>
      <c r="E62" s="191"/>
      <c r="F62" s="229"/>
      <c r="G62" s="203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78">
        <f>'Données projet'!A71</f>
        <v>0</v>
      </c>
      <c r="B63" s="179">
        <f>'Données projet'!D71</f>
        <v>0</v>
      </c>
      <c r="C63" s="189">
        <f>225*'Données projet'!E71+13.8*('Données projet'!F71+'Données projet'!G71)+10*'Données projet'!H71</f>
        <v>0</v>
      </c>
      <c r="D63" s="177">
        <f t="shared" si="4"/>
        <v>0</v>
      </c>
      <c r="E63" s="191"/>
      <c r="F63" s="229"/>
      <c r="G63" s="203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78">
        <f>'Données projet'!A72</f>
        <v>0</v>
      </c>
      <c r="B64" s="179">
        <f>'Données projet'!D72</f>
        <v>0</v>
      </c>
      <c r="C64" s="189">
        <f>225*'Données projet'!E72+13.8*('Données projet'!F72+'Données projet'!G72)+10*'Données projet'!H72</f>
        <v>0</v>
      </c>
      <c r="D64" s="177">
        <f t="shared" si="4"/>
        <v>0</v>
      </c>
      <c r="E64" s="191"/>
      <c r="F64" s="229"/>
      <c r="G64" s="203"/>
      <c r="H64" s="188"/>
      <c r="I64" s="189"/>
      <c r="J64" s="204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78">
        <f>'Données projet'!A73</f>
        <v>0</v>
      </c>
      <c r="B65" s="179">
        <f>'Données projet'!D73</f>
        <v>0</v>
      </c>
      <c r="C65" s="189">
        <f>225*'Données projet'!E73+13.8*('Données projet'!F73+'Données projet'!G73)+10*'Données projet'!H73</f>
        <v>0</v>
      </c>
      <c r="D65" s="177">
        <f t="shared" si="4"/>
        <v>0</v>
      </c>
      <c r="E65" s="191"/>
      <c r="F65" s="229"/>
      <c r="G65" s="203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78">
        <f>'Données projet'!A74</f>
        <v>0</v>
      </c>
      <c r="B66" s="179">
        <f>'Données projet'!D74</f>
        <v>0</v>
      </c>
      <c r="C66" s="189">
        <f>225*'Données projet'!E74+13.8*('Données projet'!F74+'Données projet'!G74)+10*'Données projet'!H74</f>
        <v>0</v>
      </c>
      <c r="D66" s="177">
        <f t="shared" si="4"/>
        <v>0</v>
      </c>
      <c r="E66" s="191"/>
      <c r="F66" s="229"/>
      <c r="G66" s="203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2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78">
        <f>'Données projet'!A75</f>
        <v>0</v>
      </c>
      <c r="B67" s="179">
        <f>'Données projet'!D75</f>
        <v>0</v>
      </c>
      <c r="C67" s="189">
        <f>225*'Données projet'!E75+13.8*('Données projet'!F75+'Données projet'!G75)+10*'Données projet'!H75</f>
        <v>0</v>
      </c>
      <c r="D67" s="177">
        <f t="shared" si="4"/>
        <v>0</v>
      </c>
      <c r="E67" s="191"/>
      <c r="F67" s="229"/>
      <c r="G67" s="203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78">
        <f>'Données projet'!A76</f>
        <v>0</v>
      </c>
      <c r="B68" s="179">
        <f>'Données projet'!D76</f>
        <v>0</v>
      </c>
      <c r="C68" s="189">
        <f>225*'Données projet'!E76+13.8*('Données projet'!F76+'Données projet'!G76)+10*'Données projet'!H76</f>
        <v>0</v>
      </c>
      <c r="D68" s="177">
        <f t="shared" si="4"/>
        <v>0</v>
      </c>
      <c r="E68" s="191"/>
      <c r="F68" s="229"/>
      <c r="G68" s="203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2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78">
        <f>'Données projet'!A77</f>
        <v>0</v>
      </c>
      <c r="B69" s="179">
        <f>'Données projet'!D77</f>
        <v>0</v>
      </c>
      <c r="C69" s="189">
        <f>225*'Données projet'!E77+13.8*('Données projet'!F77+'Données projet'!G77)+10*'Données projet'!H77</f>
        <v>0</v>
      </c>
      <c r="D69" s="177">
        <f t="shared" si="4"/>
        <v>0</v>
      </c>
      <c r="E69" s="191"/>
      <c r="F69" s="229"/>
      <c r="G69" s="203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2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78">
        <f>'Données projet'!A78</f>
        <v>0</v>
      </c>
      <c r="B70" s="179">
        <f>'Données projet'!D78</f>
        <v>0</v>
      </c>
      <c r="C70" s="189">
        <f>225*'Données projet'!E78+13.8*('Données projet'!F78+'Données projet'!G78)+10*'Données projet'!H78</f>
        <v>0</v>
      </c>
      <c r="D70" s="177">
        <f t="shared" si="4"/>
        <v>0</v>
      </c>
      <c r="E70" s="191"/>
      <c r="F70" s="229"/>
      <c r="G70" s="203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2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78">
        <f>'Données projet'!A79</f>
        <v>0</v>
      </c>
      <c r="B71" s="179">
        <f>'Données projet'!D79</f>
        <v>0</v>
      </c>
      <c r="C71" s="189">
        <f>225*'Données projet'!E79+13.8*('Données projet'!F79+'Données projet'!G79)+10*'Données projet'!H79</f>
        <v>0</v>
      </c>
      <c r="D71" s="177">
        <f t="shared" si="4"/>
        <v>0</v>
      </c>
      <c r="E71" s="191"/>
      <c r="F71" s="229"/>
      <c r="G71" s="203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2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78">
        <f>'Données projet'!A80</f>
        <v>0</v>
      </c>
      <c r="B72" s="179">
        <f>'Données projet'!D80</f>
        <v>0</v>
      </c>
      <c r="C72" s="189">
        <f>225*'Données projet'!E80+13.8*('Données projet'!F80+'Données projet'!G80)+10*'Données projet'!H80</f>
        <v>0</v>
      </c>
      <c r="D72" s="177">
        <f t="shared" si="4"/>
        <v>0</v>
      </c>
      <c r="E72" s="191"/>
      <c r="F72" s="229"/>
      <c r="G72" s="203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2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78">
        <f>'Données projet'!A81</f>
        <v>0</v>
      </c>
      <c r="B73" s="179">
        <f>'Données projet'!D81</f>
        <v>0</v>
      </c>
      <c r="C73" s="189">
        <f>225*'Données projet'!E81+13.8*('Données projet'!F81+'Données projet'!G81)+10*'Données projet'!H81</f>
        <v>0</v>
      </c>
      <c r="D73" s="177">
        <f t="shared" si="4"/>
        <v>0</v>
      </c>
      <c r="E73" s="191"/>
      <c r="F73" s="229"/>
      <c r="G73" s="203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2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7"/>
      <c r="G74" s="203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2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7"/>
      <c r="G75" s="203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2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2" t="str">
        <f>IF('Données projet'!B11="","",'Données projet'!B11)</f>
        <v>Pin laricio</v>
      </c>
      <c r="C76" s="4"/>
      <c r="D76" s="4"/>
      <c r="E76" s="4"/>
      <c r="F76" s="227"/>
      <c r="G76" s="203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2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7"/>
      <c r="G77" s="203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2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8"/>
      <c r="G78" s="203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2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6" t="s">
        <v>132</v>
      </c>
      <c r="C79" s="195" t="s">
        <v>132</v>
      </c>
      <c r="D79" s="194" t="s">
        <v>132</v>
      </c>
      <c r="E79" s="191">
        <v>2165.8000000000002</v>
      </c>
      <c r="F79" s="228"/>
      <c r="G79" s="203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2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6" t="s">
        <v>132</v>
      </c>
      <c r="C80" s="195" t="s">
        <v>132</v>
      </c>
      <c r="D80" s="194" t="s">
        <v>132</v>
      </c>
      <c r="E80" s="191"/>
      <c r="F80" s="228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2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6" t="s">
        <v>132</v>
      </c>
      <c r="C81" s="195" t="s">
        <v>132</v>
      </c>
      <c r="D81" s="194" t="s">
        <v>132</v>
      </c>
      <c r="E81" s="191"/>
      <c r="F81" s="228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2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6" t="s">
        <v>132</v>
      </c>
      <c r="C82" s="195" t="s">
        <v>132</v>
      </c>
      <c r="D82" s="194" t="s">
        <v>132</v>
      </c>
      <c r="E82" s="191"/>
      <c r="F82" s="228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2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6" t="s">
        <v>132</v>
      </c>
      <c r="C83" s="195" t="s">
        <v>132</v>
      </c>
      <c r="D83" s="194" t="s">
        <v>132</v>
      </c>
      <c r="E83" s="191"/>
      <c r="F83" s="228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2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6" t="s">
        <v>132</v>
      </c>
      <c r="C84" s="195" t="s">
        <v>132</v>
      </c>
      <c r="D84" s="194" t="s">
        <v>132</v>
      </c>
      <c r="E84" s="191"/>
      <c r="F84" s="228"/>
      <c r="G84" s="202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2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78">
        <f>'Données projet'!A88</f>
        <v>19</v>
      </c>
      <c r="B85" s="179">
        <f>'Données projet'!D88</f>
        <v>46.3</v>
      </c>
      <c r="C85" s="189">
        <f>225*'Données projet'!E88+13.8*('Données projet'!F88+'Données projet'!G88)+10*'Données projet'!H88</f>
        <v>56.04</v>
      </c>
      <c r="D85" s="177">
        <f>B85*C85</f>
        <v>2594.6519999999996</v>
      </c>
      <c r="E85" s="191"/>
      <c r="F85" s="229"/>
      <c r="G85" s="202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2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78">
        <f>'Données projet'!A89</f>
        <v>24</v>
      </c>
      <c r="B86" s="179">
        <f>'Données projet'!D89</f>
        <v>44.84</v>
      </c>
      <c r="C86" s="189">
        <f>225*'Données projet'!E89+13.8*('Données projet'!F89+'Données projet'!G89)+10*'Données projet'!H89</f>
        <v>77.16</v>
      </c>
      <c r="D86" s="177">
        <f t="shared" ref="D86:D104" si="6">B86*C86</f>
        <v>3459.8544000000002</v>
      </c>
      <c r="E86" s="191"/>
      <c r="F86" s="229"/>
      <c r="G86" s="202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2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78">
        <f>'Données projet'!A90</f>
        <v>30</v>
      </c>
      <c r="B87" s="179">
        <f>'Données projet'!D90</f>
        <v>66.989999999999995</v>
      </c>
      <c r="C87" s="189">
        <f>225*'Données projet'!E90+13.8*('Données projet'!F90+'Données projet'!G90)+10*'Données projet'!H90</f>
        <v>98.28</v>
      </c>
      <c r="D87" s="177">
        <f t="shared" si="6"/>
        <v>6583.7771999999995</v>
      </c>
      <c r="E87" s="191"/>
      <c r="F87" s="229"/>
      <c r="G87" s="202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2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78">
        <f>'Données projet'!A91</f>
        <v>37</v>
      </c>
      <c r="B88" s="179">
        <f>'Données projet'!D91</f>
        <v>54.63</v>
      </c>
      <c r="C88" s="189">
        <f>225*'Données projet'!E91+13.8*('Données projet'!F91+'Données projet'!G91)+10*'Données projet'!H91</f>
        <v>119.4</v>
      </c>
      <c r="D88" s="177">
        <f t="shared" si="6"/>
        <v>6522.822000000001</v>
      </c>
      <c r="E88" s="191"/>
      <c r="F88" s="229"/>
      <c r="G88" s="202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2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78">
        <f>'Données projet'!A92</f>
        <v>46</v>
      </c>
      <c r="B89" s="179">
        <f>'Données projet'!D92</f>
        <v>93.13</v>
      </c>
      <c r="C89" s="189">
        <f>225*'Données projet'!E92+13.8*('Données projet'!F92+'Données projet'!G92)+10*'Données projet'!H92</f>
        <v>140.52000000000001</v>
      </c>
      <c r="D89" s="177">
        <f t="shared" si="6"/>
        <v>13086.6276</v>
      </c>
      <c r="E89" s="191"/>
      <c r="F89" s="229"/>
      <c r="G89" s="202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2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78">
        <f>'Données projet'!A93</f>
        <v>56</v>
      </c>
      <c r="B90" s="179">
        <f>'Données projet'!D93</f>
        <v>77.37</v>
      </c>
      <c r="C90" s="189">
        <f>225*'Données projet'!E93+13.8*('Données projet'!F93+'Données projet'!G93)+10*'Données projet'!H93</f>
        <v>140.52000000000001</v>
      </c>
      <c r="D90" s="177">
        <f t="shared" si="6"/>
        <v>10872.032400000002</v>
      </c>
      <c r="E90" s="191"/>
      <c r="F90" s="229"/>
      <c r="G90" s="202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2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78">
        <f>'Données projet'!A94</f>
        <v>66</v>
      </c>
      <c r="B91" s="179">
        <f>'Données projet'!D94</f>
        <v>87.84</v>
      </c>
      <c r="C91" s="189">
        <f>225*'Données projet'!E94+13.8*('Données projet'!F94+'Données projet'!G94)+10*'Données projet'!H94</f>
        <v>161.63999999999999</v>
      </c>
      <c r="D91" s="177">
        <f t="shared" si="6"/>
        <v>14198.4576</v>
      </c>
      <c r="E91" s="191"/>
      <c r="F91" s="229"/>
      <c r="G91" s="203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2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78">
        <f>'Données projet'!A95</f>
        <v>76</v>
      </c>
      <c r="B92" s="179">
        <f>'Données projet'!D95</f>
        <v>671.57</v>
      </c>
      <c r="C92" s="189">
        <f>225*'Données projet'!E95+13.8*('Données projet'!F95+'Données projet'!G95)+10*'Données projet'!H95</f>
        <v>182.76</v>
      </c>
      <c r="D92" s="177">
        <f t="shared" si="6"/>
        <v>122736.1332</v>
      </c>
      <c r="E92" s="191"/>
      <c r="F92" s="229"/>
      <c r="G92" s="203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2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78">
        <f>'Données projet'!A96</f>
        <v>0</v>
      </c>
      <c r="B93" s="179">
        <f>'Données projet'!D96</f>
        <v>0</v>
      </c>
      <c r="C93" s="189">
        <f>225*'Données projet'!E96+13.8*('Données projet'!F96+'Données projet'!G96)+10*'Données projet'!H96</f>
        <v>0</v>
      </c>
      <c r="D93" s="177">
        <f t="shared" si="6"/>
        <v>0</v>
      </c>
      <c r="E93" s="191"/>
      <c r="F93" s="229"/>
      <c r="G93" s="203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2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78">
        <f>'Données projet'!A97</f>
        <v>0</v>
      </c>
      <c r="B94" s="179">
        <f>'Données projet'!D97</f>
        <v>0</v>
      </c>
      <c r="C94" s="189">
        <f>225*'Données projet'!E97+13.8*('Données projet'!F97+'Données projet'!G97)+10*'Données projet'!H97</f>
        <v>0</v>
      </c>
      <c r="D94" s="177">
        <f t="shared" si="6"/>
        <v>0</v>
      </c>
      <c r="E94" s="191"/>
      <c r="F94" s="229"/>
      <c r="G94" s="203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2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78">
        <f>'Données projet'!A98</f>
        <v>0</v>
      </c>
      <c r="B95" s="179">
        <f>'Données projet'!D98</f>
        <v>0</v>
      </c>
      <c r="C95" s="189">
        <f>225*'Données projet'!E98+13.8*('Données projet'!F98+'Données projet'!G98)+10*'Données projet'!H98</f>
        <v>0</v>
      </c>
      <c r="D95" s="177">
        <f t="shared" si="6"/>
        <v>0</v>
      </c>
      <c r="E95" s="191"/>
      <c r="F95" s="229"/>
      <c r="G95" s="203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2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78">
        <f>'Données projet'!A99</f>
        <v>0</v>
      </c>
      <c r="B96" s="179">
        <f>'Données projet'!D99</f>
        <v>0</v>
      </c>
      <c r="C96" s="189">
        <f>225*'Données projet'!E99+13.8*('Données projet'!F99+'Données projet'!G99)+10*'Données projet'!H99</f>
        <v>0</v>
      </c>
      <c r="D96" s="177">
        <f t="shared" si="6"/>
        <v>0</v>
      </c>
      <c r="E96" s="191"/>
      <c r="F96" s="229"/>
      <c r="G96" s="203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2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78">
        <f>'Données projet'!A100</f>
        <v>0</v>
      </c>
      <c r="B97" s="179">
        <f>'Données projet'!D100</f>
        <v>0</v>
      </c>
      <c r="C97" s="189">
        <f>225*'Données projet'!E100+13.8*('Données projet'!F100+'Données projet'!G100)+10*'Données projet'!H100</f>
        <v>0</v>
      </c>
      <c r="D97" s="177">
        <f t="shared" si="6"/>
        <v>0</v>
      </c>
      <c r="E97" s="191"/>
      <c r="F97" s="229"/>
      <c r="G97" s="203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2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78">
        <f>'Données projet'!A101</f>
        <v>0</v>
      </c>
      <c r="B98" s="179">
        <f>'Données projet'!D101</f>
        <v>0</v>
      </c>
      <c r="C98" s="189">
        <f>225*'Données projet'!E101+13.8*('Données projet'!F101+'Données projet'!G101)+10*'Données projet'!H101</f>
        <v>0</v>
      </c>
      <c r="D98" s="177">
        <f t="shared" si="6"/>
        <v>0</v>
      </c>
      <c r="E98" s="191"/>
      <c r="F98" s="229"/>
      <c r="G98" s="203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2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78">
        <f>'Données projet'!A102</f>
        <v>0</v>
      </c>
      <c r="B99" s="179">
        <f>'Données projet'!D102</f>
        <v>0</v>
      </c>
      <c r="C99" s="189">
        <f>225*'Données projet'!E102+13.8*('Données projet'!F102+'Données projet'!G102)+10*'Données projet'!H102</f>
        <v>0</v>
      </c>
      <c r="D99" s="177">
        <f t="shared" si="6"/>
        <v>0</v>
      </c>
      <c r="E99" s="191"/>
      <c r="F99" s="229"/>
      <c r="G99" s="203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2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78">
        <f>'Données projet'!A103</f>
        <v>0</v>
      </c>
      <c r="B100" s="179">
        <f>'Données projet'!D103</f>
        <v>0</v>
      </c>
      <c r="C100" s="189">
        <f>225*'Données projet'!E103+13.8*('Données projet'!F103+'Données projet'!G103)+10*'Données projet'!H103</f>
        <v>0</v>
      </c>
      <c r="D100" s="177">
        <f t="shared" si="6"/>
        <v>0</v>
      </c>
      <c r="E100" s="191"/>
      <c r="F100" s="229"/>
      <c r="G100" s="203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2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78">
        <f>'Données projet'!A104</f>
        <v>0</v>
      </c>
      <c r="B101" s="179">
        <f>'Données projet'!D104</f>
        <v>0</v>
      </c>
      <c r="C101" s="189">
        <f>225*'Données projet'!E104+13.8*('Données projet'!F104+'Données projet'!G104)+10*'Données projet'!H104</f>
        <v>0</v>
      </c>
      <c r="D101" s="177">
        <f t="shared" si="6"/>
        <v>0</v>
      </c>
      <c r="E101" s="191"/>
      <c r="F101" s="229"/>
      <c r="G101" s="203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2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78">
        <f>'Données projet'!A105</f>
        <v>0</v>
      </c>
      <c r="B102" s="179">
        <f>'Données projet'!D105</f>
        <v>0</v>
      </c>
      <c r="C102" s="189">
        <f>225*'Données projet'!E105+13.8*('Données projet'!F105+'Données projet'!G105)+10*'Données projet'!H105</f>
        <v>0</v>
      </c>
      <c r="D102" s="177">
        <f t="shared" si="6"/>
        <v>0</v>
      </c>
      <c r="E102" s="191"/>
      <c r="F102" s="229"/>
      <c r="G102" s="203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2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78">
        <f>'Données projet'!A106</f>
        <v>0</v>
      </c>
      <c r="B103" s="179">
        <f>'Données projet'!D106</f>
        <v>0</v>
      </c>
      <c r="C103" s="189">
        <f>225*'Données projet'!E106+13.8*('Données projet'!F106+'Données projet'!G106)+10*'Données projet'!H106</f>
        <v>0</v>
      </c>
      <c r="D103" s="177">
        <f t="shared" si="6"/>
        <v>0</v>
      </c>
      <c r="E103" s="191"/>
      <c r="F103" s="229"/>
      <c r="G103" s="203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2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78">
        <f>'Données projet'!A107</f>
        <v>0</v>
      </c>
      <c r="B104" s="179">
        <f>'Données projet'!D107</f>
        <v>0</v>
      </c>
      <c r="C104" s="189">
        <f>225*'Données projet'!E107+13.8*('Données projet'!F107+'Données projet'!G107)+10*'Données projet'!H107</f>
        <v>0</v>
      </c>
      <c r="D104" s="177">
        <f t="shared" si="6"/>
        <v>0</v>
      </c>
      <c r="E104" s="191"/>
      <c r="F104" s="229"/>
      <c r="G104" s="203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2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7"/>
      <c r="G105" s="203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2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7"/>
      <c r="G106" s="203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2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2" t="str">
        <f>IF('Données projet'!B12="","",'Données projet'!B12)</f>
        <v>Séquoia géant</v>
      </c>
      <c r="C107" s="4"/>
      <c r="D107" s="4"/>
      <c r="E107" s="4"/>
      <c r="F107" s="227"/>
      <c r="G107" s="203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2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7"/>
      <c r="G108" s="203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2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8"/>
      <c r="G109" s="203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2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6" t="s">
        <v>132</v>
      </c>
      <c r="C110" s="195" t="s">
        <v>132</v>
      </c>
      <c r="D110" s="194" t="s">
        <v>132</v>
      </c>
      <c r="E110" s="191">
        <v>6080.9</v>
      </c>
      <c r="F110" s="228"/>
      <c r="G110" s="203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2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6" t="s">
        <v>132</v>
      </c>
      <c r="C111" s="195" t="s">
        <v>132</v>
      </c>
      <c r="D111" s="194" t="s">
        <v>132</v>
      </c>
      <c r="E111" s="191"/>
      <c r="F111" s="228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2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6" t="s">
        <v>132</v>
      </c>
      <c r="C112" s="195" t="s">
        <v>132</v>
      </c>
      <c r="D112" s="194" t="s">
        <v>132</v>
      </c>
      <c r="E112" s="191"/>
      <c r="F112" s="228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2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6" t="s">
        <v>132</v>
      </c>
      <c r="C113" s="195" t="s">
        <v>132</v>
      </c>
      <c r="D113" s="194" t="s">
        <v>132</v>
      </c>
      <c r="E113" s="191"/>
      <c r="F113" s="228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2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6" t="s">
        <v>132</v>
      </c>
      <c r="C114" s="195" t="s">
        <v>132</v>
      </c>
      <c r="D114" s="194" t="s">
        <v>132</v>
      </c>
      <c r="E114" s="191"/>
      <c r="F114" s="228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2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6" t="s">
        <v>132</v>
      </c>
      <c r="C115" s="195" t="s">
        <v>132</v>
      </c>
      <c r="D115" s="194" t="s">
        <v>132</v>
      </c>
      <c r="E115" s="191"/>
      <c r="F115" s="228"/>
      <c r="G115" s="202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2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78">
        <f>'Données projet'!A114</f>
        <v>21</v>
      </c>
      <c r="B116" s="179">
        <f>'Données projet'!D114</f>
        <v>64.58</v>
      </c>
      <c r="C116" s="189">
        <f>225*'Données projet'!E114+13.8*('Données projet'!F114+'Données projet'!G114)+10*'Données projet'!H114</f>
        <v>56.04</v>
      </c>
      <c r="D116" s="177">
        <f>B116*C116</f>
        <v>3619.0632000000001</v>
      </c>
      <c r="E116" s="191"/>
      <c r="F116" s="229"/>
      <c r="G116" s="202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2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78">
        <f>'Données projet'!A115</f>
        <v>28</v>
      </c>
      <c r="B117" s="179">
        <f>'Données projet'!D115</f>
        <v>67.61</v>
      </c>
      <c r="C117" s="189">
        <f>225*'Données projet'!E115+13.8*('Données projet'!F115+'Données projet'!G115)+10*'Données projet'!H115</f>
        <v>77.16</v>
      </c>
      <c r="D117" s="177">
        <f t="shared" ref="D117:D135" si="8">B117*C117</f>
        <v>5216.7875999999997</v>
      </c>
      <c r="E117" s="191"/>
      <c r="F117" s="229"/>
      <c r="G117" s="202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2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78">
        <f>'Données projet'!A116</f>
        <v>35</v>
      </c>
      <c r="B118" s="179">
        <f>'Données projet'!D116</f>
        <v>86.68</v>
      </c>
      <c r="C118" s="189">
        <f>225*'Données projet'!E116+13.8*('Données projet'!F116+'Données projet'!G116)+10*'Données projet'!H116</f>
        <v>98.28</v>
      </c>
      <c r="D118" s="177">
        <f t="shared" si="8"/>
        <v>8518.9104000000007</v>
      </c>
      <c r="E118" s="191"/>
      <c r="F118" s="229"/>
      <c r="G118" s="202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2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78">
        <f>'Données projet'!A117</f>
        <v>42</v>
      </c>
      <c r="B119" s="179">
        <f>'Données projet'!D117</f>
        <v>99.98</v>
      </c>
      <c r="C119" s="189">
        <f>225*'Données projet'!E117+13.8*('Données projet'!F117+'Données projet'!G117)+10*'Données projet'!H117</f>
        <v>119.4</v>
      </c>
      <c r="D119" s="177">
        <f t="shared" si="8"/>
        <v>11937.612000000001</v>
      </c>
      <c r="E119" s="191"/>
      <c r="F119" s="229"/>
      <c r="G119" s="202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2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78">
        <f>'Données projet'!A118</f>
        <v>49</v>
      </c>
      <c r="B120" s="179">
        <f>'Données projet'!D118</f>
        <v>112.61</v>
      </c>
      <c r="C120" s="189">
        <f>225*'Données projet'!E118+13.8*('Données projet'!F118+'Données projet'!G118)+10*'Données projet'!H118</f>
        <v>140.52000000000001</v>
      </c>
      <c r="D120" s="177">
        <f t="shared" si="8"/>
        <v>15823.957200000001</v>
      </c>
      <c r="E120" s="191"/>
      <c r="F120" s="229"/>
      <c r="G120" s="202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2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78">
        <f>'Données projet'!A119</f>
        <v>56</v>
      </c>
      <c r="B121" s="179">
        <f>'Données projet'!D119</f>
        <v>94.57</v>
      </c>
      <c r="C121" s="189">
        <f>225*'Données projet'!E119+13.8*('Données projet'!F119+'Données projet'!G119)+10*'Données projet'!H119</f>
        <v>140.52000000000001</v>
      </c>
      <c r="D121" s="177">
        <f t="shared" si="8"/>
        <v>13288.9764</v>
      </c>
      <c r="E121" s="191"/>
      <c r="F121" s="229"/>
      <c r="G121" s="202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2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78">
        <f>'Données projet'!A120</f>
        <v>63</v>
      </c>
      <c r="B122" s="179">
        <f>'Données projet'!D120</f>
        <v>99.49</v>
      </c>
      <c r="C122" s="189">
        <f>225*'Données projet'!E120+13.8*('Données projet'!F120+'Données projet'!G120)+10*'Données projet'!H120</f>
        <v>161.63999999999999</v>
      </c>
      <c r="D122" s="177">
        <f t="shared" si="8"/>
        <v>16081.563599999998</v>
      </c>
      <c r="E122" s="191"/>
      <c r="F122" s="229"/>
      <c r="G122" s="203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2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78">
        <f>'Données projet'!A121</f>
        <v>70</v>
      </c>
      <c r="B123" s="179">
        <f>'Données projet'!D121</f>
        <v>586.05999999999995</v>
      </c>
      <c r="C123" s="189">
        <f>225*'Données projet'!E121+13.8*('Données projet'!F121+'Données projet'!G121)+10*'Données projet'!H121</f>
        <v>182.76</v>
      </c>
      <c r="D123" s="177">
        <f t="shared" si="8"/>
        <v>107108.32559999998</v>
      </c>
      <c r="E123" s="191"/>
      <c r="F123" s="229"/>
      <c r="G123" s="203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2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78">
        <f>'Données projet'!A122</f>
        <v>0</v>
      </c>
      <c r="B124" s="179">
        <f>'Données projet'!D122</f>
        <v>0</v>
      </c>
      <c r="C124" s="189">
        <f>225*'Données projet'!E122+13.8*('Données projet'!F122+'Données projet'!G122)+10*'Données projet'!H122</f>
        <v>0</v>
      </c>
      <c r="D124" s="177">
        <f t="shared" si="8"/>
        <v>0</v>
      </c>
      <c r="E124" s="191"/>
      <c r="F124" s="229"/>
      <c r="G124" s="203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2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78">
        <f>'Données projet'!A123</f>
        <v>0</v>
      </c>
      <c r="B125" s="179">
        <f>'Données projet'!D123</f>
        <v>0</v>
      </c>
      <c r="C125" s="189">
        <f>225*'Données projet'!E123+13.8*('Données projet'!F123+'Données projet'!G123)+10*'Données projet'!H123</f>
        <v>0</v>
      </c>
      <c r="D125" s="177">
        <f t="shared" si="8"/>
        <v>0</v>
      </c>
      <c r="E125" s="191"/>
      <c r="F125" s="229"/>
      <c r="G125" s="203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2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78">
        <f>'Données projet'!A124</f>
        <v>0</v>
      </c>
      <c r="B126" s="179">
        <f>'Données projet'!D124</f>
        <v>0</v>
      </c>
      <c r="C126" s="189">
        <f>225*'Données projet'!E124+13.8*('Données projet'!F124+'Données projet'!G124)+10*'Données projet'!H124</f>
        <v>0</v>
      </c>
      <c r="D126" s="177">
        <f t="shared" si="8"/>
        <v>0</v>
      </c>
      <c r="E126" s="191"/>
      <c r="F126" s="229"/>
      <c r="G126" s="203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2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78">
        <f>'Données projet'!A125</f>
        <v>0</v>
      </c>
      <c r="B127" s="179">
        <f>'Données projet'!D125</f>
        <v>0</v>
      </c>
      <c r="C127" s="189">
        <f>225*'Données projet'!E125+13.8*('Données projet'!F125+'Données projet'!G125)+10*'Données projet'!H125</f>
        <v>0</v>
      </c>
      <c r="D127" s="177">
        <f t="shared" si="8"/>
        <v>0</v>
      </c>
      <c r="E127" s="191"/>
      <c r="F127" s="229"/>
      <c r="G127" s="203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2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78">
        <f>'Données projet'!A126</f>
        <v>0</v>
      </c>
      <c r="B128" s="179">
        <f>'Données projet'!D126</f>
        <v>0</v>
      </c>
      <c r="C128" s="189">
        <f>225*'Données projet'!E126+13.8*('Données projet'!F126+'Données projet'!G126)+10*'Données projet'!H126</f>
        <v>0</v>
      </c>
      <c r="D128" s="177">
        <f t="shared" si="8"/>
        <v>0</v>
      </c>
      <c r="E128" s="191"/>
      <c r="F128" s="229"/>
      <c r="G128" s="203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2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78">
        <f>'Données projet'!A127</f>
        <v>0</v>
      </c>
      <c r="B129" s="179">
        <f>'Données projet'!D127</f>
        <v>0</v>
      </c>
      <c r="C129" s="189">
        <f>225*'Données projet'!E127+13.8*('Données projet'!F127+'Données projet'!G127)+10*'Données projet'!H127</f>
        <v>0</v>
      </c>
      <c r="D129" s="177">
        <f t="shared" si="8"/>
        <v>0</v>
      </c>
      <c r="E129" s="191"/>
      <c r="F129" s="229"/>
      <c r="G129" s="203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2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78">
        <f>'Données projet'!A128</f>
        <v>0</v>
      </c>
      <c r="B130" s="179">
        <f>'Données projet'!D128</f>
        <v>0</v>
      </c>
      <c r="C130" s="189">
        <f>225*'Données projet'!E128+13.8*('Données projet'!F128+'Données projet'!G128)+10*'Données projet'!H128</f>
        <v>0</v>
      </c>
      <c r="D130" s="177">
        <f t="shared" si="8"/>
        <v>0</v>
      </c>
      <c r="E130" s="191"/>
      <c r="F130" s="229"/>
      <c r="G130" s="203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2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78">
        <f>'Données projet'!A129</f>
        <v>0</v>
      </c>
      <c r="B131" s="179">
        <f>'Données projet'!D129</f>
        <v>0</v>
      </c>
      <c r="C131" s="189">
        <f>225*'Données projet'!E129+13.8*('Données projet'!F129+'Données projet'!G129)+10*'Données projet'!H129</f>
        <v>0</v>
      </c>
      <c r="D131" s="177">
        <f t="shared" si="8"/>
        <v>0</v>
      </c>
      <c r="E131" s="191"/>
      <c r="F131" s="229"/>
      <c r="G131" s="203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2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78">
        <f>'Données projet'!A130</f>
        <v>0</v>
      </c>
      <c r="B132" s="179">
        <f>'Données projet'!D130</f>
        <v>0</v>
      </c>
      <c r="C132" s="189">
        <f>225*'Données projet'!E130+13.8*('Données projet'!F130+'Données projet'!G130)+10*'Données projet'!H130</f>
        <v>0</v>
      </c>
      <c r="D132" s="177">
        <f t="shared" si="8"/>
        <v>0</v>
      </c>
      <c r="E132" s="191"/>
      <c r="F132" s="229"/>
      <c r="G132" s="203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2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78">
        <f>'Données projet'!A131</f>
        <v>0</v>
      </c>
      <c r="B133" s="179">
        <f>'Données projet'!D131</f>
        <v>0</v>
      </c>
      <c r="C133" s="189">
        <f>225*'Données projet'!E131+13.8*('Données projet'!F131+'Données projet'!G131)+10*'Données projet'!H131</f>
        <v>0</v>
      </c>
      <c r="D133" s="177">
        <f t="shared" si="8"/>
        <v>0</v>
      </c>
      <c r="E133" s="191"/>
      <c r="F133" s="229"/>
      <c r="G133" s="203"/>
      <c r="H133" s="188"/>
      <c r="I133" s="189"/>
      <c r="J133" s="4"/>
      <c r="K133" s="171"/>
      <c r="Q133" s="232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78">
        <f>'Données projet'!A132</f>
        <v>0</v>
      </c>
      <c r="B134" s="179">
        <f>'Données projet'!D132</f>
        <v>0</v>
      </c>
      <c r="C134" s="189">
        <f>225*'Données projet'!E132+13.8*('Données projet'!F132+'Données projet'!G132)+10*'Données projet'!H132</f>
        <v>0</v>
      </c>
      <c r="D134" s="177">
        <f t="shared" si="8"/>
        <v>0</v>
      </c>
      <c r="E134" s="191"/>
      <c r="F134" s="229"/>
      <c r="G134" s="203"/>
      <c r="H134" s="188"/>
      <c r="I134" s="189"/>
      <c r="J134" s="4"/>
      <c r="K134" s="171"/>
      <c r="Q134" s="232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78">
        <f>'Données projet'!A133</f>
        <v>0</v>
      </c>
      <c r="B135" s="179">
        <f>'Données projet'!D133</f>
        <v>0</v>
      </c>
      <c r="C135" s="189">
        <f>225*'Données projet'!E133+13.8*('Données projet'!F133+'Données projet'!G133)+10*'Données projet'!H133</f>
        <v>0</v>
      </c>
      <c r="D135" s="177">
        <f t="shared" si="8"/>
        <v>0</v>
      </c>
      <c r="E135" s="191"/>
      <c r="F135" s="229"/>
      <c r="G135" s="203"/>
      <c r="H135" s="188"/>
      <c r="I135" s="189"/>
      <c r="J135" s="4"/>
      <c r="K135" s="171"/>
      <c r="Q135" s="232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7"/>
      <c r="G136" s="203"/>
      <c r="H136" s="188"/>
      <c r="I136" s="189"/>
      <c r="J136" s="4"/>
      <c r="K136" s="171"/>
      <c r="L136" s="4"/>
      <c r="M136" s="4"/>
      <c r="N136" s="4"/>
      <c r="Q136" s="232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7"/>
      <c r="G137" s="203"/>
      <c r="H137" s="188"/>
      <c r="I137" s="189"/>
      <c r="J137" s="4"/>
      <c r="K137" s="171"/>
      <c r="L137" s="4"/>
      <c r="M137" s="4"/>
      <c r="N137" s="4"/>
      <c r="Q137" s="232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2" t="str">
        <f>IF('Données projet'!B13="","",'Données projet'!B13)</f>
        <v>Chêne chevelu</v>
      </c>
      <c r="C138" s="4"/>
      <c r="D138" s="4"/>
      <c r="E138" s="4"/>
      <c r="F138" s="227"/>
      <c r="G138" s="203"/>
      <c r="H138" s="188"/>
      <c r="I138" s="189"/>
      <c r="J138" s="4"/>
      <c r="K138" s="171"/>
      <c r="L138" s="4"/>
      <c r="M138" s="4"/>
      <c r="N138" s="4"/>
      <c r="Q138" s="232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7"/>
      <c r="G139" s="203"/>
      <c r="H139" s="188"/>
      <c r="I139" s="189"/>
      <c r="J139" s="4"/>
      <c r="K139" s="171"/>
      <c r="L139" s="4"/>
      <c r="M139" s="4"/>
      <c r="N139" s="4"/>
      <c r="Q139" s="232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8"/>
      <c r="G140" s="203"/>
      <c r="H140" s="188"/>
      <c r="I140" s="189"/>
      <c r="J140" s="4"/>
      <c r="K140" s="171"/>
      <c r="L140" s="4"/>
      <c r="M140" s="4"/>
      <c r="N140" s="4"/>
      <c r="Q140" s="232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6" t="s">
        <v>132</v>
      </c>
      <c r="C141" s="195" t="s">
        <v>132</v>
      </c>
      <c r="D141" s="194" t="s">
        <v>132</v>
      </c>
      <c r="E141" s="191">
        <v>3915.1</v>
      </c>
      <c r="F141" s="228"/>
      <c r="G141" s="203"/>
      <c r="H141" s="188"/>
      <c r="I141" s="189"/>
      <c r="J141" s="4"/>
      <c r="K141" s="171"/>
      <c r="L141" s="4"/>
      <c r="M141" s="4"/>
      <c r="N141" s="4"/>
      <c r="Q141" s="232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6" t="s">
        <v>132</v>
      </c>
      <c r="C142" s="195" t="s">
        <v>132</v>
      </c>
      <c r="D142" s="194" t="s">
        <v>132</v>
      </c>
      <c r="E142" s="191"/>
      <c r="F142" s="228"/>
      <c r="G142" s="23"/>
      <c r="H142" s="188"/>
      <c r="I142" s="189"/>
      <c r="J142" s="4"/>
      <c r="K142" s="171"/>
      <c r="L142" s="4"/>
      <c r="M142" s="4"/>
      <c r="N142" s="4"/>
      <c r="Q142" s="232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6" t="s">
        <v>132</v>
      </c>
      <c r="C143" s="195" t="s">
        <v>132</v>
      </c>
      <c r="D143" s="194" t="s">
        <v>132</v>
      </c>
      <c r="E143" s="191"/>
      <c r="F143" s="228"/>
      <c r="G143" s="23"/>
      <c r="H143" s="188"/>
      <c r="I143" s="189"/>
      <c r="J143" s="4"/>
      <c r="K143" s="171"/>
      <c r="L143" s="4"/>
      <c r="M143" s="4"/>
      <c r="N143" s="4"/>
      <c r="Q143" s="232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6" t="s">
        <v>132</v>
      </c>
      <c r="C144" s="195" t="s">
        <v>132</v>
      </c>
      <c r="D144" s="194" t="s">
        <v>132</v>
      </c>
      <c r="E144" s="191"/>
      <c r="F144" s="228"/>
      <c r="G144" s="23"/>
      <c r="H144" s="188"/>
      <c r="I144" s="189"/>
      <c r="J144" s="4"/>
      <c r="K144" s="171"/>
      <c r="L144" s="4"/>
      <c r="M144" s="4"/>
      <c r="N144" s="4"/>
      <c r="Q144" s="232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6" t="s">
        <v>132</v>
      </c>
      <c r="C145" s="195" t="s">
        <v>132</v>
      </c>
      <c r="D145" s="194" t="s">
        <v>132</v>
      </c>
      <c r="E145" s="191"/>
      <c r="F145" s="228"/>
      <c r="G145" s="23"/>
      <c r="H145" s="188"/>
      <c r="I145" s="189"/>
      <c r="J145" s="4"/>
      <c r="K145" s="171"/>
      <c r="L145" s="4"/>
      <c r="M145" s="4"/>
      <c r="N145" s="4"/>
      <c r="Q145" s="232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6" t="s">
        <v>132</v>
      </c>
      <c r="C146" s="195" t="s">
        <v>132</v>
      </c>
      <c r="D146" s="194" t="s">
        <v>132</v>
      </c>
      <c r="E146" s="191"/>
      <c r="F146" s="228"/>
      <c r="G146" s="202"/>
      <c r="H146" s="188"/>
      <c r="I146" s="189"/>
      <c r="J146" s="4"/>
      <c r="K146" s="171"/>
      <c r="L146" s="4"/>
      <c r="M146" s="4"/>
      <c r="N146" s="4"/>
      <c r="Q146" s="232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20</v>
      </c>
      <c r="B147" s="173">
        <f>'Données projet'!D140</f>
        <v>32.049999999999997</v>
      </c>
      <c r="C147" s="189">
        <f>225*'Données projet'!E140+13.8*('Données projet'!F140+'Données projet'!G140)+10*'Données projet'!H140</f>
        <v>10</v>
      </c>
      <c r="D147" s="180">
        <f>B147*C147</f>
        <v>320.5</v>
      </c>
      <c r="E147" s="191"/>
      <c r="F147" s="230"/>
      <c r="G147" s="202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25</v>
      </c>
      <c r="B148" s="173">
        <f>'Données projet'!D141</f>
        <v>23.72</v>
      </c>
      <c r="C148" s="189">
        <f>225*'Données projet'!E141+13.8*('Données projet'!F141+'Données projet'!G141)+10*'Données projet'!H141</f>
        <v>10</v>
      </c>
      <c r="D148" s="180">
        <f t="shared" ref="D148:D166" si="10">B148*C148</f>
        <v>237.2</v>
      </c>
      <c r="E148" s="191"/>
      <c r="F148" s="230"/>
      <c r="G148" s="202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30</v>
      </c>
      <c r="B149" s="173">
        <f>'Données projet'!D142</f>
        <v>23.72</v>
      </c>
      <c r="C149" s="189">
        <f>225*'Données projet'!E142+13.8*('Données projet'!F142+'Données projet'!G142)+10*'Données projet'!H142</f>
        <v>53</v>
      </c>
      <c r="D149" s="180">
        <f t="shared" si="10"/>
        <v>1257.1599999999999</v>
      </c>
      <c r="E149" s="191"/>
      <c r="F149" s="230"/>
      <c r="G149" s="202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35</v>
      </c>
      <c r="B150" s="173">
        <f>'Données projet'!D143</f>
        <v>23.08</v>
      </c>
      <c r="C150" s="189">
        <f>225*'Données projet'!E143+13.8*('Données projet'!F143+'Données projet'!G143)+10*'Données projet'!H143</f>
        <v>53</v>
      </c>
      <c r="D150" s="180">
        <f t="shared" si="10"/>
        <v>1223.24</v>
      </c>
      <c r="E150" s="191"/>
      <c r="F150" s="230"/>
      <c r="G150" s="202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40</v>
      </c>
      <c r="B151" s="173">
        <f>'Données projet'!D144</f>
        <v>21.15</v>
      </c>
      <c r="C151" s="189">
        <f>225*'Données projet'!E144+13.8*('Données projet'!F144+'Données projet'!G144)+10*'Données projet'!H144</f>
        <v>74.5</v>
      </c>
      <c r="D151" s="180">
        <f t="shared" si="10"/>
        <v>1575.675</v>
      </c>
      <c r="E151" s="191"/>
      <c r="F151" s="230"/>
      <c r="G151" s="202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45</v>
      </c>
      <c r="B152" s="173">
        <f>'Données projet'!D145</f>
        <v>19.87</v>
      </c>
      <c r="C152" s="189">
        <f>225*'Données projet'!E145+13.8*('Données projet'!F145+'Données projet'!G145)+10*'Données projet'!H145</f>
        <v>74.5</v>
      </c>
      <c r="D152" s="180">
        <f t="shared" si="10"/>
        <v>1480.3150000000001</v>
      </c>
      <c r="E152" s="191"/>
      <c r="F152" s="230"/>
      <c r="G152" s="202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50</v>
      </c>
      <c r="B153" s="173">
        <f>'Données projet'!D146</f>
        <v>17.95</v>
      </c>
      <c r="C153" s="189">
        <f>225*'Données projet'!E146+13.8*('Données projet'!F146+'Données projet'!G146)+10*'Données projet'!H146</f>
        <v>96</v>
      </c>
      <c r="D153" s="180">
        <f t="shared" si="10"/>
        <v>1723.1999999999998</v>
      </c>
      <c r="E153" s="191"/>
      <c r="F153" s="230"/>
      <c r="G153" s="200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55</v>
      </c>
      <c r="B154" s="173">
        <f>'Données projet'!D147</f>
        <v>16.03</v>
      </c>
      <c r="C154" s="189">
        <f>225*'Données projet'!E147+13.8*('Données projet'!F147+'Données projet'!G147)+10*'Données projet'!H147</f>
        <v>96</v>
      </c>
      <c r="D154" s="180">
        <f t="shared" si="10"/>
        <v>1538.88</v>
      </c>
      <c r="E154" s="191"/>
      <c r="F154" s="230"/>
      <c r="G154" s="200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60</v>
      </c>
      <c r="B155" s="173">
        <f>'Données projet'!D148</f>
        <v>14.1</v>
      </c>
      <c r="C155" s="189">
        <f>225*'Données projet'!E148+13.8*('Données projet'!F148+'Données projet'!G148)+10*'Données projet'!H148</f>
        <v>117.5</v>
      </c>
      <c r="D155" s="180">
        <f t="shared" si="10"/>
        <v>1656.75</v>
      </c>
      <c r="E155" s="191"/>
      <c r="F155" s="230"/>
      <c r="G155" s="200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65</v>
      </c>
      <c r="B156" s="173">
        <f>'Données projet'!D149</f>
        <v>12.82</v>
      </c>
      <c r="C156" s="189">
        <f>225*'Données projet'!E149+13.8*('Données projet'!F149+'Données projet'!G149)+10*'Données projet'!H149</f>
        <v>117.5</v>
      </c>
      <c r="D156" s="180">
        <f t="shared" si="10"/>
        <v>1506.3500000000001</v>
      </c>
      <c r="E156" s="191"/>
      <c r="F156" s="230"/>
      <c r="G156" s="200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70</v>
      </c>
      <c r="B157" s="173">
        <f>'Données projet'!D150</f>
        <v>10.9</v>
      </c>
      <c r="C157" s="189">
        <f>225*'Données projet'!E150+13.8*('Données projet'!F150+'Données projet'!G150)+10*'Données projet'!H150</f>
        <v>139</v>
      </c>
      <c r="D157" s="180">
        <f t="shared" si="10"/>
        <v>1515.1000000000001</v>
      </c>
      <c r="E157" s="191"/>
      <c r="F157" s="230"/>
      <c r="G157" s="200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75</v>
      </c>
      <c r="B158" s="173">
        <f>'Données projet'!D151</f>
        <v>9.6199999999999992</v>
      </c>
      <c r="C158" s="189">
        <f>225*'Données projet'!E151+13.8*('Données projet'!F151+'Données projet'!G151)+10*'Données projet'!H151</f>
        <v>139</v>
      </c>
      <c r="D158" s="180">
        <f t="shared" si="10"/>
        <v>1337.1799999999998</v>
      </c>
      <c r="E158" s="191"/>
      <c r="F158" s="230"/>
      <c r="G158" s="200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80</v>
      </c>
      <c r="B159" s="173">
        <f>'Données projet'!D152</f>
        <v>8.33</v>
      </c>
      <c r="C159" s="189">
        <f>225*'Données projet'!E152+13.8*('Données projet'!F152+'Données projet'!G152)+10*'Données projet'!H152</f>
        <v>160.5</v>
      </c>
      <c r="D159" s="180">
        <f t="shared" si="10"/>
        <v>1336.9649999999999</v>
      </c>
      <c r="E159" s="191"/>
      <c r="F159" s="230"/>
      <c r="G159" s="200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85</v>
      </c>
      <c r="B160" s="173">
        <f>'Données projet'!D153</f>
        <v>7.69</v>
      </c>
      <c r="C160" s="189">
        <f>225*'Données projet'!E153+13.8*('Données projet'!F153+'Données projet'!G153)+10*'Données projet'!H153</f>
        <v>160.5</v>
      </c>
      <c r="D160" s="180">
        <f t="shared" si="10"/>
        <v>1234.2450000000001</v>
      </c>
      <c r="E160" s="191"/>
      <c r="F160" s="230"/>
      <c r="G160" s="200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90</v>
      </c>
      <c r="B161" s="173">
        <f>'Données projet'!D154</f>
        <v>151.28</v>
      </c>
      <c r="C161" s="189">
        <f>225*'Données projet'!E154+13.8*('Données projet'!F154+'Données projet'!G154)+10*'Données projet'!H154</f>
        <v>182</v>
      </c>
      <c r="D161" s="180">
        <f t="shared" si="10"/>
        <v>27532.959999999999</v>
      </c>
      <c r="E161" s="191"/>
      <c r="F161" s="230"/>
      <c r="G161" s="200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3">
        <f>'Données projet'!D155</f>
        <v>0</v>
      </c>
      <c r="C162" s="189">
        <f>225*'Données projet'!E155+13.8*('Données projet'!F155+'Données projet'!G155)+10*'Données projet'!H155</f>
        <v>0</v>
      </c>
      <c r="D162" s="180">
        <f t="shared" si="10"/>
        <v>0</v>
      </c>
      <c r="E162" s="191"/>
      <c r="F162" s="230"/>
      <c r="G162" s="200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3">
        <f>'Données projet'!D156</f>
        <v>0</v>
      </c>
      <c r="C163" s="189">
        <f>225*'Données projet'!E156+13.8*('Données projet'!F156+'Données projet'!G156)+10*'Données projet'!H156</f>
        <v>0</v>
      </c>
      <c r="D163" s="180">
        <f t="shared" si="10"/>
        <v>0</v>
      </c>
      <c r="E163" s="191"/>
      <c r="F163" s="230"/>
      <c r="G163" s="200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3">
        <f>'Données projet'!D157</f>
        <v>0</v>
      </c>
      <c r="C164" s="189">
        <f>225*'Données projet'!E157+13.8*('Données projet'!F157+'Données projet'!G157)+10*'Données projet'!H157</f>
        <v>0</v>
      </c>
      <c r="D164" s="180">
        <f t="shared" si="10"/>
        <v>0</v>
      </c>
      <c r="E164" s="191"/>
      <c r="F164" s="230"/>
      <c r="G164" s="200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3">
        <f>'Données projet'!D158</f>
        <v>0</v>
      </c>
      <c r="C165" s="189">
        <f>225*'Données projet'!E158+13.8*('Données projet'!F158+'Données projet'!G158)+10*'Données projet'!H158</f>
        <v>0</v>
      </c>
      <c r="D165" s="180">
        <f t="shared" si="10"/>
        <v>0</v>
      </c>
      <c r="E165" s="191"/>
      <c r="F165" s="230"/>
      <c r="G165" s="200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3">
        <f>'Données projet'!D159</f>
        <v>0</v>
      </c>
      <c r="C166" s="189">
        <f>225*'Données projet'!E159+13.8*('Données projet'!F159+'Données projet'!G159)+10*'Données projet'!H159</f>
        <v>0</v>
      </c>
      <c r="D166" s="180">
        <f t="shared" si="10"/>
        <v>0</v>
      </c>
      <c r="E166" s="191"/>
      <c r="F166" s="230"/>
      <c r="G166" s="200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7"/>
      <c r="G167" s="200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7"/>
      <c r="G168" s="200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2" t="str">
        <f>IF('Données projet'!B14="","",'Données projet'!B14)</f>
        <v>Chêne pubescent</v>
      </c>
      <c r="C169" s="4"/>
      <c r="D169" s="4"/>
      <c r="E169" s="4"/>
      <c r="F169" s="227"/>
      <c r="G169" s="200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7"/>
      <c r="G170" s="200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8"/>
      <c r="G171" s="200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6" t="s">
        <v>132</v>
      </c>
      <c r="C172" s="195" t="s">
        <v>132</v>
      </c>
      <c r="D172" s="194" t="s">
        <v>132</v>
      </c>
      <c r="E172" s="191">
        <v>3915.1</v>
      </c>
      <c r="F172" s="228"/>
      <c r="G172" s="200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6" t="s">
        <v>132</v>
      </c>
      <c r="C173" s="195" t="s">
        <v>132</v>
      </c>
      <c r="D173" s="194" t="s">
        <v>132</v>
      </c>
      <c r="E173" s="191"/>
      <c r="F173" s="228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6" t="s">
        <v>132</v>
      </c>
      <c r="C174" s="195" t="s">
        <v>132</v>
      </c>
      <c r="D174" s="194" t="s">
        <v>132</v>
      </c>
      <c r="E174" s="191"/>
      <c r="F174" s="228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6" t="s">
        <v>132</v>
      </c>
      <c r="C175" s="195" t="s">
        <v>132</v>
      </c>
      <c r="D175" s="194" t="s">
        <v>132</v>
      </c>
      <c r="E175" s="191"/>
      <c r="F175" s="228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6" t="s">
        <v>132</v>
      </c>
      <c r="C176" s="195" t="s">
        <v>132</v>
      </c>
      <c r="D176" s="194" t="s">
        <v>132</v>
      </c>
      <c r="E176" s="191"/>
      <c r="F176" s="228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6" t="s">
        <v>132</v>
      </c>
      <c r="C177" s="195" t="s">
        <v>132</v>
      </c>
      <c r="D177" s="194" t="s">
        <v>132</v>
      </c>
      <c r="E177" s="191"/>
      <c r="F177" s="228"/>
      <c r="G177" s="202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78">
        <f>'Données projet'!A166</f>
        <v>44</v>
      </c>
      <c r="B178" s="179">
        <f>'Données projet'!D166</f>
        <v>74.010000000000005</v>
      </c>
      <c r="C178" s="191">
        <f>225*'Données projet'!E166+13.8*('Données projet'!F166+'Données projet'!G168)+10*'Données projet'!H166</f>
        <v>53</v>
      </c>
      <c r="D178" s="177">
        <f>B178*C178</f>
        <v>3922.53</v>
      </c>
      <c r="E178" s="191"/>
      <c r="F178" s="229"/>
      <c r="G178" s="202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78">
        <f>'Données projet'!A167</f>
        <v>51</v>
      </c>
      <c r="B179" s="179">
        <f>'Données projet'!D167</f>
        <v>46.13</v>
      </c>
      <c r="C179" s="191">
        <f>225*'Données projet'!E167+13.8*('Données projet'!F167+'Données projet'!G169)+10*'Données projet'!H167</f>
        <v>74.5</v>
      </c>
      <c r="D179" s="177">
        <f t="shared" ref="D179:D197" si="11">B179*C179</f>
        <v>3436.6850000000004</v>
      </c>
      <c r="E179" s="191"/>
      <c r="F179" s="229"/>
      <c r="G179" s="202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78">
        <f>'Données projet'!A168</f>
        <v>59</v>
      </c>
      <c r="B180" s="179">
        <f>'Données projet'!D168</f>
        <v>48.96</v>
      </c>
      <c r="C180" s="191">
        <f>225*'Données projet'!E168+13.8*('Données projet'!F168+'Données projet'!G170)+10*'Données projet'!H168</f>
        <v>96</v>
      </c>
      <c r="D180" s="177">
        <f t="shared" si="11"/>
        <v>4700.16</v>
      </c>
      <c r="E180" s="191"/>
      <c r="F180" s="229"/>
      <c r="G180" s="202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78">
        <f>'Données projet'!A169</f>
        <v>67</v>
      </c>
      <c r="B181" s="179">
        <f>'Données projet'!D169</f>
        <v>40.630000000000003</v>
      </c>
      <c r="C181" s="191">
        <f>225*'Données projet'!E169+13.8*('Données projet'!F169+'Données projet'!G171)+10*'Données projet'!H169</f>
        <v>117.5</v>
      </c>
      <c r="D181" s="177">
        <f t="shared" si="11"/>
        <v>4774.0250000000005</v>
      </c>
      <c r="E181" s="191"/>
      <c r="F181" s="229"/>
      <c r="G181" s="202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78">
        <f>'Données projet'!A170</f>
        <v>75</v>
      </c>
      <c r="B182" s="179">
        <f>'Données projet'!D170</f>
        <v>39.54</v>
      </c>
      <c r="C182" s="191">
        <f>225*'Données projet'!E170+13.8*('Données projet'!F170+'Données projet'!G172)+10*'Données projet'!H170</f>
        <v>117.5</v>
      </c>
      <c r="D182" s="177">
        <f t="shared" si="11"/>
        <v>4645.95</v>
      </c>
      <c r="E182" s="191"/>
      <c r="F182" s="229"/>
      <c r="G182" s="202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78">
        <f>'Données projet'!A171</f>
        <v>84</v>
      </c>
      <c r="B183" s="179">
        <f>'Données projet'!D171</f>
        <v>44.89</v>
      </c>
      <c r="C183" s="191">
        <f>225*'Données projet'!E171+13.8*('Données projet'!F171+'Données projet'!G173)+10*'Données projet'!H171</f>
        <v>139</v>
      </c>
      <c r="D183" s="177">
        <f t="shared" si="11"/>
        <v>6239.71</v>
      </c>
      <c r="E183" s="191"/>
      <c r="F183" s="229"/>
      <c r="G183" s="202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78">
        <f>'Données projet'!A172</f>
        <v>93</v>
      </c>
      <c r="B184" s="179">
        <f>'Données projet'!D172</f>
        <v>38.57</v>
      </c>
      <c r="C184" s="191">
        <f>225*'Données projet'!E172+13.8*('Données projet'!F172+'Données projet'!G174)+10*'Données projet'!H172</f>
        <v>139</v>
      </c>
      <c r="D184" s="177">
        <f t="shared" si="11"/>
        <v>5361.2300000000005</v>
      </c>
      <c r="E184" s="191"/>
      <c r="F184" s="229"/>
      <c r="G184" s="203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78">
        <f>'Données projet'!A173</f>
        <v>103</v>
      </c>
      <c r="B185" s="179">
        <f>'Données projet'!D173</f>
        <v>50.51</v>
      </c>
      <c r="C185" s="191">
        <f>225*'Données projet'!E173+13.8*('Données projet'!F173+'Données projet'!G175)+10*'Données projet'!H173</f>
        <v>160.5</v>
      </c>
      <c r="D185" s="177">
        <f t="shared" si="11"/>
        <v>8106.8549999999996</v>
      </c>
      <c r="E185" s="191"/>
      <c r="F185" s="229"/>
      <c r="G185" s="203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78">
        <f>'Données projet'!A174</f>
        <v>113</v>
      </c>
      <c r="B186" s="179">
        <f>'Données projet'!D174</f>
        <v>40.479999999999997</v>
      </c>
      <c r="C186" s="191">
        <f>225*'Données projet'!E174+13.8*('Données projet'!F174+'Données projet'!G176)+10*'Données projet'!H174</f>
        <v>160.5</v>
      </c>
      <c r="D186" s="177">
        <f t="shared" si="11"/>
        <v>6497.0399999999991</v>
      </c>
      <c r="E186" s="191"/>
      <c r="F186" s="229"/>
      <c r="G186" s="203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78">
        <f>'Données projet'!A175</f>
        <v>125</v>
      </c>
      <c r="B187" s="179">
        <f>'Données projet'!D175</f>
        <v>61.5</v>
      </c>
      <c r="C187" s="191">
        <f>225*'Données projet'!E175+13.8*('Données projet'!F175+'Données projet'!G177)+10*'Données projet'!H175</f>
        <v>160.5</v>
      </c>
      <c r="D187" s="177">
        <f t="shared" si="11"/>
        <v>9870.75</v>
      </c>
      <c r="E187" s="191"/>
      <c r="F187" s="229"/>
      <c r="G187" s="203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78">
        <f>'Données projet'!A176</f>
        <v>137</v>
      </c>
      <c r="B188" s="179">
        <f>'Données projet'!D176</f>
        <v>65.53</v>
      </c>
      <c r="C188" s="191">
        <f>225*'Données projet'!E176+13.8*('Données projet'!F176+'Données projet'!G178)+10*'Données projet'!H176</f>
        <v>182</v>
      </c>
      <c r="D188" s="177">
        <f t="shared" si="11"/>
        <v>11926.460000000001</v>
      </c>
      <c r="E188" s="191"/>
      <c r="F188" s="229"/>
      <c r="G188" s="203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78">
        <f>'Données projet'!A177</f>
        <v>149</v>
      </c>
      <c r="B189" s="179">
        <f>'Données projet'!D177</f>
        <v>153.56</v>
      </c>
      <c r="C189" s="191">
        <f>225*'Données projet'!E177+13.8*('Données projet'!F177+'Données projet'!G179)+10*'Données projet'!H177</f>
        <v>182</v>
      </c>
      <c r="D189" s="177">
        <f t="shared" si="11"/>
        <v>27947.920000000002</v>
      </c>
      <c r="E189" s="191"/>
      <c r="F189" s="229"/>
      <c r="G189" s="203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78">
        <f>'Données projet'!A178</f>
        <v>153</v>
      </c>
      <c r="B190" s="179">
        <f>'Données projet'!D178</f>
        <v>89.29</v>
      </c>
      <c r="C190" s="191">
        <f>225*'Données projet'!E178+13.8*('Données projet'!F178+'Données projet'!G180)+10*'Données projet'!H178</f>
        <v>182</v>
      </c>
      <c r="D190" s="177">
        <f t="shared" si="11"/>
        <v>16250.78</v>
      </c>
      <c r="E190" s="191"/>
      <c r="F190" s="229"/>
      <c r="G190" s="203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78">
        <f>'Données projet'!A179</f>
        <v>157</v>
      </c>
      <c r="B191" s="179">
        <f>'Données projet'!D179</f>
        <v>57.95</v>
      </c>
      <c r="C191" s="191">
        <f>225*'Données projet'!E179+13.8*('Données projet'!F179+'Données projet'!G181)+10*'Données projet'!H179</f>
        <v>182</v>
      </c>
      <c r="D191" s="177">
        <f t="shared" si="11"/>
        <v>10546.9</v>
      </c>
      <c r="E191" s="191"/>
      <c r="F191" s="229"/>
      <c r="G191" s="203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78">
        <f>'Données projet'!A180</f>
        <v>161</v>
      </c>
      <c r="B192" s="179">
        <f>'Données projet'!D180</f>
        <v>115.43</v>
      </c>
      <c r="C192" s="191">
        <f>225*'Données projet'!E180+13.8*('Données projet'!F180+'Données projet'!G182)+10*'Données projet'!H180</f>
        <v>182</v>
      </c>
      <c r="D192" s="177">
        <f t="shared" si="11"/>
        <v>21008.260000000002</v>
      </c>
      <c r="E192" s="191"/>
      <c r="F192" s="229"/>
      <c r="G192" s="203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78">
        <f>'Données projet'!A181</f>
        <v>0</v>
      </c>
      <c r="B193" s="179">
        <f>'Données projet'!D181</f>
        <v>0</v>
      </c>
      <c r="C193" s="191">
        <f>225*'Données projet'!E181+13.8*('Données projet'!F181+'Données projet'!G183)+10*'Données projet'!H181</f>
        <v>0</v>
      </c>
      <c r="D193" s="177">
        <f t="shared" si="11"/>
        <v>0</v>
      </c>
      <c r="E193" s="191"/>
      <c r="F193" s="229"/>
      <c r="G193" s="203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78">
        <f>'Données projet'!A182</f>
        <v>0</v>
      </c>
      <c r="B194" s="179">
        <f>'Données projet'!D182</f>
        <v>0</v>
      </c>
      <c r="C194" s="191">
        <f>225*'Données projet'!E182+13.8*('Données projet'!F182+'Données projet'!G184)+10*'Données projet'!H182</f>
        <v>0</v>
      </c>
      <c r="D194" s="177">
        <f t="shared" si="11"/>
        <v>0</v>
      </c>
      <c r="E194" s="191"/>
      <c r="F194" s="229"/>
      <c r="G194" s="203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78">
        <f>'Données projet'!A183</f>
        <v>0</v>
      </c>
      <c r="B195" s="179">
        <f>'Données projet'!D183</f>
        <v>0</v>
      </c>
      <c r="C195" s="191">
        <f>225*'Données projet'!E183+13.8*('Données projet'!F183+'Données projet'!G185)+10*'Données projet'!H183</f>
        <v>0</v>
      </c>
      <c r="D195" s="177">
        <f t="shared" si="11"/>
        <v>0</v>
      </c>
      <c r="E195" s="191"/>
      <c r="F195" s="229"/>
      <c r="G195" s="203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78">
        <f>'Données projet'!A184</f>
        <v>0</v>
      </c>
      <c r="B196" s="179">
        <f>'Données projet'!D184</f>
        <v>0</v>
      </c>
      <c r="C196" s="191">
        <f>225*'Données projet'!E184+13.8*('Données projet'!F184+'Données projet'!G186)+10*'Données projet'!H184</f>
        <v>0</v>
      </c>
      <c r="D196" s="177">
        <f t="shared" si="11"/>
        <v>0</v>
      </c>
      <c r="E196" s="191"/>
      <c r="F196" s="229"/>
      <c r="G196" s="203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78">
        <f>'Données projet'!A185</f>
        <v>0</v>
      </c>
      <c r="B197" s="179">
        <f>'Données projet'!D185</f>
        <v>0</v>
      </c>
      <c r="C197" s="191">
        <f>225*'Données projet'!E185+13.8*('Données projet'!F185+'Données projet'!G187)+10*'Données projet'!H185</f>
        <v>0</v>
      </c>
      <c r="D197" s="177">
        <f t="shared" si="11"/>
        <v>0</v>
      </c>
      <c r="E197" s="191"/>
      <c r="F197" s="229"/>
      <c r="G197" s="203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7"/>
      <c r="G198" s="203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7"/>
      <c r="G199" s="203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2" t="str">
        <f>IF('Données projet'!$B$15="","",'Données projet'!$B$15)</f>
        <v>Robinier faux-acacia</v>
      </c>
      <c r="C200" s="4"/>
      <c r="D200" s="4"/>
      <c r="E200" s="4"/>
      <c r="F200" s="227"/>
      <c r="G200" s="203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7"/>
      <c r="G201" s="203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8"/>
      <c r="G202" s="203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6" t="s">
        <v>132</v>
      </c>
      <c r="C203" s="195" t="s">
        <v>132</v>
      </c>
      <c r="D203" s="194" t="s">
        <v>132</v>
      </c>
      <c r="E203" s="191">
        <v>2499</v>
      </c>
      <c r="F203" s="228"/>
      <c r="G203" s="203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6" t="s">
        <v>132</v>
      </c>
      <c r="C204" s="195" t="s">
        <v>132</v>
      </c>
      <c r="D204" s="194" t="s">
        <v>132</v>
      </c>
      <c r="E204" s="191"/>
      <c r="F204" s="228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6" t="s">
        <v>132</v>
      </c>
      <c r="C205" s="195" t="s">
        <v>132</v>
      </c>
      <c r="D205" s="194" t="s">
        <v>132</v>
      </c>
      <c r="E205" s="191"/>
      <c r="F205" s="228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6" t="s">
        <v>132</v>
      </c>
      <c r="C206" s="195" t="s">
        <v>132</v>
      </c>
      <c r="D206" s="194" t="s">
        <v>132</v>
      </c>
      <c r="E206" s="191"/>
      <c r="F206" s="228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6" t="s">
        <v>132</v>
      </c>
      <c r="C207" s="195" t="s">
        <v>132</v>
      </c>
      <c r="D207" s="194" t="s">
        <v>132</v>
      </c>
      <c r="E207" s="191"/>
      <c r="F207" s="228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6" t="s">
        <v>132</v>
      </c>
      <c r="C208" s="195" t="s">
        <v>132</v>
      </c>
      <c r="D208" s="194" t="s">
        <v>132</v>
      </c>
      <c r="E208" s="191"/>
      <c r="F208" s="228"/>
      <c r="G208" s="202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78">
        <f>'Données projet'!A192</f>
        <v>5</v>
      </c>
      <c r="B209" s="179">
        <f>'Données projet'!D192</f>
        <v>3.85</v>
      </c>
      <c r="C209" s="191">
        <f>225*'Données projet'!E192+13.8*('Données projet'!F192+'Données projet'!G192)+10*'Données projet'!H192</f>
        <v>10</v>
      </c>
      <c r="D209" s="177">
        <f>B209*C209</f>
        <v>38.5</v>
      </c>
      <c r="E209" s="191"/>
      <c r="F209" s="229"/>
      <c r="G209" s="202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78">
        <f>'Données projet'!A193</f>
        <v>10</v>
      </c>
      <c r="B210" s="179">
        <f>'Données projet'!D193</f>
        <v>17.95</v>
      </c>
      <c r="C210" s="191">
        <f>225*'Données projet'!E193+13.8*('Données projet'!F193+'Données projet'!G193)+10*'Données projet'!H193</f>
        <v>10</v>
      </c>
      <c r="D210" s="177">
        <f t="shared" ref="D210:D228" si="12">B210*C210</f>
        <v>179.5</v>
      </c>
      <c r="E210" s="191"/>
      <c r="F210" s="229"/>
      <c r="G210" s="202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78">
        <f>'Données projet'!A194</f>
        <v>15</v>
      </c>
      <c r="B211" s="179">
        <f>'Données projet'!D194</f>
        <v>14.74</v>
      </c>
      <c r="C211" s="191">
        <f>225*'Données projet'!E194+13.8*('Données projet'!F194+'Données projet'!G194)+10*'Données projet'!H194</f>
        <v>10</v>
      </c>
      <c r="D211" s="177">
        <f t="shared" si="12"/>
        <v>147.4</v>
      </c>
      <c r="E211" s="191"/>
      <c r="F211" s="229"/>
      <c r="G211" s="202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78">
        <f>'Données projet'!A195</f>
        <v>20</v>
      </c>
      <c r="B212" s="179">
        <f>'Données projet'!D195</f>
        <v>11.54</v>
      </c>
      <c r="C212" s="191">
        <f>225*'Données projet'!E195+13.8*('Données projet'!F195+'Données projet'!G195)+10*'Données projet'!H195</f>
        <v>10</v>
      </c>
      <c r="D212" s="177">
        <f t="shared" si="12"/>
        <v>115.39999999999999</v>
      </c>
      <c r="E212" s="191"/>
      <c r="F212" s="229"/>
      <c r="G212" s="202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78">
        <f>'Données projet'!A196</f>
        <v>25</v>
      </c>
      <c r="B213" s="179">
        <f>'Données projet'!D196</f>
        <v>8.9700000000000006</v>
      </c>
      <c r="C213" s="191">
        <f>225*'Données projet'!E196+13.8*('Données projet'!F196+'Données projet'!G196)+10*'Données projet'!H196</f>
        <v>10</v>
      </c>
      <c r="D213" s="177">
        <f t="shared" si="12"/>
        <v>89.7</v>
      </c>
      <c r="E213" s="191"/>
      <c r="F213" s="229"/>
      <c r="G213" s="202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78">
        <f>'Données projet'!A197</f>
        <v>30</v>
      </c>
      <c r="B214" s="179">
        <f>'Données projet'!D197</f>
        <v>7.05</v>
      </c>
      <c r="C214" s="191">
        <f>225*'Données projet'!E197+13.8*('Données projet'!F197+'Données projet'!G197)+10*'Données projet'!H197</f>
        <v>96</v>
      </c>
      <c r="D214" s="177">
        <f t="shared" si="12"/>
        <v>676.8</v>
      </c>
      <c r="E214" s="191"/>
      <c r="F214" s="229"/>
      <c r="G214" s="202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78">
        <f>'Données projet'!A198</f>
        <v>35</v>
      </c>
      <c r="B215" s="179">
        <f>'Données projet'!D198</f>
        <v>5.77</v>
      </c>
      <c r="C215" s="191">
        <f>225*'Données projet'!E198+13.8*('Données projet'!F198+'Données projet'!G198)+10*'Données projet'!H198</f>
        <v>139</v>
      </c>
      <c r="D215" s="177">
        <f t="shared" si="12"/>
        <v>802.03</v>
      </c>
      <c r="E215" s="191"/>
      <c r="F215" s="229"/>
      <c r="G215" s="203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78">
        <f>'Données projet'!A199</f>
        <v>40</v>
      </c>
      <c r="B216" s="179">
        <f>'Données projet'!D199</f>
        <v>4.49</v>
      </c>
      <c r="C216" s="191">
        <f>225*'Données projet'!E199+13.8*('Données projet'!F199+'Données projet'!G199)+10*'Données projet'!H199</f>
        <v>160.5</v>
      </c>
      <c r="D216" s="177">
        <f t="shared" si="12"/>
        <v>720.64499999999998</v>
      </c>
      <c r="E216" s="191"/>
      <c r="F216" s="229"/>
      <c r="G216" s="203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78">
        <f>'Données projet'!A200</f>
        <v>45</v>
      </c>
      <c r="B217" s="179">
        <f>'Données projet'!D200</f>
        <v>200</v>
      </c>
      <c r="C217" s="191">
        <f>225*'Données projet'!E200+13.8*('Données projet'!F200+'Données projet'!G200)+10*'Données projet'!H200</f>
        <v>182</v>
      </c>
      <c r="D217" s="177">
        <f t="shared" si="12"/>
        <v>36400</v>
      </c>
      <c r="E217" s="191"/>
      <c r="F217" s="229"/>
      <c r="G217" s="203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78">
        <f>'Données projet'!A201</f>
        <v>0</v>
      </c>
      <c r="B218" s="179">
        <f>'Données projet'!D201</f>
        <v>0</v>
      </c>
      <c r="C218" s="191">
        <f>225*'Données projet'!E201+13.8*('Données projet'!F201+'Données projet'!G201)+10*'Données projet'!H201</f>
        <v>0</v>
      </c>
      <c r="D218" s="177">
        <f t="shared" si="12"/>
        <v>0</v>
      </c>
      <c r="E218" s="191"/>
      <c r="F218" s="229"/>
      <c r="G218" s="203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78">
        <f>'Données projet'!A202</f>
        <v>0</v>
      </c>
      <c r="B219" s="179">
        <f>'Données projet'!D202</f>
        <v>0</v>
      </c>
      <c r="C219" s="191">
        <f>225*'Données projet'!E202+13.8*('Données projet'!F202+'Données projet'!G202)+10*'Données projet'!H202</f>
        <v>0</v>
      </c>
      <c r="D219" s="177">
        <f t="shared" si="12"/>
        <v>0</v>
      </c>
      <c r="E219" s="191"/>
      <c r="F219" s="229"/>
      <c r="G219" s="203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78">
        <f>'Données projet'!A203</f>
        <v>0</v>
      </c>
      <c r="B220" s="179">
        <f>'Données projet'!D203</f>
        <v>0</v>
      </c>
      <c r="C220" s="191">
        <f>225*'Données projet'!E203+13.8*('Données projet'!F203+'Données projet'!G203)+10*'Données projet'!H203</f>
        <v>0</v>
      </c>
      <c r="D220" s="177">
        <f t="shared" si="12"/>
        <v>0</v>
      </c>
      <c r="E220" s="191"/>
      <c r="F220" s="229"/>
      <c r="G220" s="203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78">
        <f>'Données projet'!A204</f>
        <v>0</v>
      </c>
      <c r="B221" s="179">
        <f>'Données projet'!D204</f>
        <v>0</v>
      </c>
      <c r="C221" s="191">
        <f>225*'Données projet'!E204+13.8*('Données projet'!F204+'Données projet'!G204)+10*'Données projet'!H204</f>
        <v>0</v>
      </c>
      <c r="D221" s="177">
        <f t="shared" si="12"/>
        <v>0</v>
      </c>
      <c r="E221" s="191"/>
      <c r="F221" s="229"/>
      <c r="G221" s="203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78">
        <f>'Données projet'!A205</f>
        <v>0</v>
      </c>
      <c r="B222" s="179">
        <f>'Données projet'!D205</f>
        <v>0</v>
      </c>
      <c r="C222" s="191">
        <f>225*'Données projet'!E205+13.8*('Données projet'!F205+'Données projet'!G205)+10*'Données projet'!H205</f>
        <v>0</v>
      </c>
      <c r="D222" s="177">
        <f t="shared" si="12"/>
        <v>0</v>
      </c>
      <c r="E222" s="191"/>
      <c r="F222" s="229"/>
      <c r="G222" s="203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78">
        <f>'Données projet'!A206</f>
        <v>0</v>
      </c>
      <c r="B223" s="179">
        <f>'Données projet'!D206</f>
        <v>0</v>
      </c>
      <c r="C223" s="191">
        <f>225*'Données projet'!E206+13.8*('Données projet'!F206+'Données projet'!G206)+10*'Données projet'!H206</f>
        <v>0</v>
      </c>
      <c r="D223" s="177">
        <f t="shared" si="12"/>
        <v>0</v>
      </c>
      <c r="E223" s="191"/>
      <c r="F223" s="229"/>
      <c r="G223" s="203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78">
        <f>'Données projet'!A207</f>
        <v>0</v>
      </c>
      <c r="B224" s="179">
        <f>'Données projet'!D207</f>
        <v>0</v>
      </c>
      <c r="C224" s="191">
        <f>225*'Données projet'!E207+13.8*('Données projet'!F207+'Données projet'!G207)+10*'Données projet'!H207</f>
        <v>0</v>
      </c>
      <c r="D224" s="177">
        <f t="shared" si="12"/>
        <v>0</v>
      </c>
      <c r="E224" s="191"/>
      <c r="F224" s="229"/>
      <c r="G224" s="203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78">
        <f>'Données projet'!A208</f>
        <v>0</v>
      </c>
      <c r="B225" s="179">
        <f>'Données projet'!D208</f>
        <v>0</v>
      </c>
      <c r="C225" s="191">
        <f>225*'Données projet'!E208+13.8*('Données projet'!F208+'Données projet'!G208)+10*'Données projet'!H208</f>
        <v>0</v>
      </c>
      <c r="D225" s="177">
        <f t="shared" si="12"/>
        <v>0</v>
      </c>
      <c r="E225" s="191"/>
      <c r="F225" s="229"/>
      <c r="G225" s="203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78">
        <f>'Données projet'!A209</f>
        <v>0</v>
      </c>
      <c r="B226" s="179">
        <f>'Données projet'!D209</f>
        <v>0</v>
      </c>
      <c r="C226" s="191">
        <f>225*'Données projet'!E209+13.8*('Données projet'!F209+'Données projet'!G209)+10*'Données projet'!H209</f>
        <v>0</v>
      </c>
      <c r="D226" s="177">
        <f t="shared" si="12"/>
        <v>0</v>
      </c>
      <c r="E226" s="191"/>
      <c r="F226" s="229"/>
      <c r="G226" s="203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78">
        <f>'Données projet'!A210</f>
        <v>0</v>
      </c>
      <c r="B227" s="179">
        <f>'Données projet'!D210</f>
        <v>0</v>
      </c>
      <c r="C227" s="191">
        <f>225*'Données projet'!E210+13.8*('Données projet'!F210+'Données projet'!G210)+10*'Données projet'!H210</f>
        <v>0</v>
      </c>
      <c r="D227" s="177">
        <f t="shared" si="12"/>
        <v>0</v>
      </c>
      <c r="E227" s="191"/>
      <c r="F227" s="229"/>
      <c r="G227" s="203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78">
        <f>'Données projet'!A211</f>
        <v>0</v>
      </c>
      <c r="B228" s="179">
        <f>'Données projet'!D211</f>
        <v>0</v>
      </c>
      <c r="C228" s="191">
        <f>225*'Données projet'!E211+13.8*('Données projet'!F211+'Données projet'!G211)+10*'Données projet'!H211</f>
        <v>0</v>
      </c>
      <c r="D228" s="177">
        <f t="shared" si="12"/>
        <v>0</v>
      </c>
      <c r="E228" s="191"/>
      <c r="F228" s="229"/>
      <c r="G228" s="203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7"/>
      <c r="G229" s="203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7"/>
      <c r="G230" s="203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2" t="str">
        <f>IF('Données projet'!$B$16="","",'Données projet'!$B$16)</f>
        <v>Tilleul</v>
      </c>
      <c r="C231" s="4"/>
      <c r="D231" s="4"/>
      <c r="E231" s="4"/>
      <c r="F231" s="227"/>
      <c r="G231" s="203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7"/>
      <c r="G232" s="203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8"/>
      <c r="G233" s="203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6" t="s">
        <v>132</v>
      </c>
      <c r="C234" s="195" t="s">
        <v>132</v>
      </c>
      <c r="D234" s="194" t="s">
        <v>132</v>
      </c>
      <c r="E234" s="191">
        <v>4081.7</v>
      </c>
      <c r="F234" s="228"/>
      <c r="G234" s="203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6" t="s">
        <v>132</v>
      </c>
      <c r="C235" s="195" t="s">
        <v>132</v>
      </c>
      <c r="D235" s="194" t="s">
        <v>132</v>
      </c>
      <c r="E235" s="191"/>
      <c r="F235" s="228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6" t="s">
        <v>132</v>
      </c>
      <c r="C236" s="195" t="s">
        <v>132</v>
      </c>
      <c r="D236" s="194" t="s">
        <v>132</v>
      </c>
      <c r="E236" s="191"/>
      <c r="F236" s="228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6" t="s">
        <v>132</v>
      </c>
      <c r="C237" s="195" t="s">
        <v>132</v>
      </c>
      <c r="D237" s="194" t="s">
        <v>132</v>
      </c>
      <c r="E237" s="191"/>
      <c r="F237" s="228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6" t="s">
        <v>132</v>
      </c>
      <c r="C238" s="195" t="s">
        <v>132</v>
      </c>
      <c r="D238" s="194" t="s">
        <v>132</v>
      </c>
      <c r="E238" s="191"/>
      <c r="F238" s="228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6" t="s">
        <v>132</v>
      </c>
      <c r="C239" s="195" t="s">
        <v>132</v>
      </c>
      <c r="D239" s="194" t="s">
        <v>132</v>
      </c>
      <c r="E239" s="191"/>
      <c r="F239" s="228"/>
      <c r="G239" s="202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78">
        <f>'Données projet'!A218</f>
        <v>44</v>
      </c>
      <c r="B240" s="179">
        <f>'Données projet'!D218</f>
        <v>74.010000000000005</v>
      </c>
      <c r="C240" s="191">
        <f>225*'Données projet'!E218+13.8*('Données projet'!F218+'Données projet'!G218)+10*'Données projet'!H218</f>
        <v>53</v>
      </c>
      <c r="D240" s="177">
        <f>B240*C240</f>
        <v>3922.53</v>
      </c>
      <c r="E240" s="191"/>
      <c r="F240" s="229"/>
      <c r="G240" s="202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78">
        <f>'Données projet'!A219</f>
        <v>51</v>
      </c>
      <c r="B241" s="179">
        <f>'Données projet'!D219</f>
        <v>46.13</v>
      </c>
      <c r="C241" s="191">
        <f>225*'Données projet'!E219+13.8*('Données projet'!F219+'Données projet'!G219)+10*'Données projet'!H219</f>
        <v>74.5</v>
      </c>
      <c r="D241" s="177">
        <f t="shared" ref="D241:D259" si="13">B241*C241</f>
        <v>3436.6850000000004</v>
      </c>
      <c r="E241" s="191"/>
      <c r="F241" s="229"/>
      <c r="G241" s="202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78">
        <f>'Données projet'!A220</f>
        <v>59</v>
      </c>
      <c r="B242" s="179">
        <f>'Données projet'!D220</f>
        <v>48.96</v>
      </c>
      <c r="C242" s="191">
        <f>225*'Données projet'!E220+13.8*('Données projet'!F220+'Données projet'!G220)+10*'Données projet'!H220</f>
        <v>96</v>
      </c>
      <c r="D242" s="177">
        <f t="shared" si="13"/>
        <v>4700.16</v>
      </c>
      <c r="E242" s="191"/>
      <c r="F242" s="229"/>
      <c r="G242" s="202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78">
        <f>'Données projet'!A221</f>
        <v>67</v>
      </c>
      <c r="B243" s="179">
        <f>'Données projet'!D221</f>
        <v>40.630000000000003</v>
      </c>
      <c r="C243" s="191">
        <f>225*'Données projet'!E221+13.8*('Données projet'!F221+'Données projet'!G221)+10*'Données projet'!H221</f>
        <v>117.5</v>
      </c>
      <c r="D243" s="177">
        <f t="shared" si="13"/>
        <v>4774.0250000000005</v>
      </c>
      <c r="E243" s="191"/>
      <c r="F243" s="229"/>
      <c r="G243" s="202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78">
        <f>'Données projet'!A222</f>
        <v>75</v>
      </c>
      <c r="B244" s="179">
        <f>'Données projet'!D222</f>
        <v>39.54</v>
      </c>
      <c r="C244" s="191">
        <f>225*'Données projet'!E222+13.8*('Données projet'!F222+'Données projet'!G222)+10*'Données projet'!H222</f>
        <v>117.5</v>
      </c>
      <c r="D244" s="177">
        <f t="shared" si="13"/>
        <v>4645.95</v>
      </c>
      <c r="E244" s="191"/>
      <c r="F244" s="229"/>
      <c r="G244" s="202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78">
        <f>'Données projet'!A223</f>
        <v>84</v>
      </c>
      <c r="B245" s="179">
        <f>'Données projet'!D223</f>
        <v>44.89</v>
      </c>
      <c r="C245" s="191">
        <f>225*'Données projet'!E223+13.8*('Données projet'!F223+'Données projet'!G223)+10*'Données projet'!H223</f>
        <v>139</v>
      </c>
      <c r="D245" s="177">
        <f t="shared" si="13"/>
        <v>6239.71</v>
      </c>
      <c r="E245" s="191"/>
      <c r="F245" s="229"/>
      <c r="G245" s="202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78">
        <f>'Données projet'!A224</f>
        <v>93</v>
      </c>
      <c r="B246" s="179">
        <f>'Données projet'!D224</f>
        <v>38.57</v>
      </c>
      <c r="C246" s="191">
        <f>225*'Données projet'!E224+13.8*('Données projet'!F224+'Données projet'!G224)+10*'Données projet'!H224</f>
        <v>139</v>
      </c>
      <c r="D246" s="177">
        <f t="shared" si="13"/>
        <v>5361.2300000000005</v>
      </c>
      <c r="E246" s="191"/>
      <c r="F246" s="229"/>
      <c r="G246" s="203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78">
        <f>'Données projet'!A225</f>
        <v>103</v>
      </c>
      <c r="B247" s="179">
        <f>'Données projet'!D225</f>
        <v>50.51</v>
      </c>
      <c r="C247" s="191">
        <f>225*'Données projet'!E225+13.8*('Données projet'!F225+'Données projet'!G225)+10*'Données projet'!H225</f>
        <v>160.5</v>
      </c>
      <c r="D247" s="177">
        <f t="shared" si="13"/>
        <v>8106.8549999999996</v>
      </c>
      <c r="E247" s="191"/>
      <c r="F247" s="229"/>
      <c r="G247" s="203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78">
        <f>'Données projet'!A226</f>
        <v>113</v>
      </c>
      <c r="B248" s="179">
        <f>'Données projet'!D226</f>
        <v>40.479999999999997</v>
      </c>
      <c r="C248" s="191">
        <f>225*'Données projet'!E226+13.8*('Données projet'!F226+'Données projet'!G226)+10*'Données projet'!H226</f>
        <v>160.5</v>
      </c>
      <c r="D248" s="177">
        <f t="shared" si="13"/>
        <v>6497.0399999999991</v>
      </c>
      <c r="E248" s="191"/>
      <c r="F248" s="229"/>
      <c r="G248" s="203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78">
        <f>'Données projet'!A227</f>
        <v>125</v>
      </c>
      <c r="B249" s="179">
        <f>'Données projet'!D227</f>
        <v>61.5</v>
      </c>
      <c r="C249" s="191">
        <f>225*'Données projet'!E227+13.8*('Données projet'!F227+'Données projet'!G227)+10*'Données projet'!H227</f>
        <v>160.5</v>
      </c>
      <c r="D249" s="177">
        <f t="shared" si="13"/>
        <v>9870.75</v>
      </c>
      <c r="E249" s="191"/>
      <c r="F249" s="229"/>
      <c r="G249" s="203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78">
        <f>'Données projet'!A228</f>
        <v>137</v>
      </c>
      <c r="B250" s="179">
        <f>'Données projet'!D228</f>
        <v>65.53</v>
      </c>
      <c r="C250" s="191">
        <f>225*'Données projet'!E228+13.8*('Données projet'!F228+'Données projet'!G228)+10*'Données projet'!H228</f>
        <v>182</v>
      </c>
      <c r="D250" s="177">
        <f t="shared" si="13"/>
        <v>11926.460000000001</v>
      </c>
      <c r="E250" s="191"/>
      <c r="F250" s="229"/>
      <c r="G250" s="203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78">
        <f>'Données projet'!A229</f>
        <v>149</v>
      </c>
      <c r="B251" s="179">
        <f>'Données projet'!D229</f>
        <v>153.56</v>
      </c>
      <c r="C251" s="191">
        <f>225*'Données projet'!E229+13.8*('Données projet'!F229+'Données projet'!G229)+10*'Données projet'!H229</f>
        <v>182</v>
      </c>
      <c r="D251" s="177">
        <f t="shared" si="13"/>
        <v>27947.920000000002</v>
      </c>
      <c r="E251" s="191"/>
      <c r="F251" s="229"/>
      <c r="G251" s="203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78">
        <f>'Données projet'!A230</f>
        <v>153</v>
      </c>
      <c r="B252" s="179">
        <f>'Données projet'!D230</f>
        <v>89.29</v>
      </c>
      <c r="C252" s="191">
        <f>225*'Données projet'!E230+13.8*('Données projet'!F230+'Données projet'!G230)+10*'Données projet'!H230</f>
        <v>182</v>
      </c>
      <c r="D252" s="177">
        <f t="shared" si="13"/>
        <v>16250.78</v>
      </c>
      <c r="E252" s="191"/>
      <c r="F252" s="229"/>
      <c r="G252" s="203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78">
        <f>'Données projet'!A231</f>
        <v>157</v>
      </c>
      <c r="B253" s="179">
        <f>'Données projet'!D231</f>
        <v>57.95</v>
      </c>
      <c r="C253" s="191">
        <f>225*'Données projet'!E231+13.8*('Données projet'!F231+'Données projet'!G231)+10*'Données projet'!H231</f>
        <v>182</v>
      </c>
      <c r="D253" s="177">
        <f t="shared" si="13"/>
        <v>10546.9</v>
      </c>
      <c r="E253" s="191"/>
      <c r="F253" s="229"/>
      <c r="G253" s="203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78">
        <f>'Données projet'!A232</f>
        <v>161</v>
      </c>
      <c r="B254" s="179">
        <f>'Données projet'!D232</f>
        <v>115.43</v>
      </c>
      <c r="C254" s="191">
        <f>225*'Données projet'!E232+13.8*('Données projet'!F232+'Données projet'!G232)+10*'Données projet'!H232</f>
        <v>182</v>
      </c>
      <c r="D254" s="177">
        <f t="shared" si="13"/>
        <v>21008.260000000002</v>
      </c>
      <c r="E254" s="191"/>
      <c r="F254" s="229"/>
      <c r="G254" s="203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78">
        <f>'Données projet'!A233</f>
        <v>0</v>
      </c>
      <c r="B255" s="179">
        <f>'Données projet'!D233</f>
        <v>0</v>
      </c>
      <c r="C255" s="191">
        <f>225*'Données projet'!E233+13.8*('Données projet'!F233+'Données projet'!G233)+10*'Données projet'!H233</f>
        <v>0</v>
      </c>
      <c r="D255" s="177">
        <f t="shared" si="13"/>
        <v>0</v>
      </c>
      <c r="E255" s="191"/>
      <c r="F255" s="229"/>
      <c r="G255" s="203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78">
        <f>'Données projet'!A234</f>
        <v>0</v>
      </c>
      <c r="B256" s="179">
        <f>'Données projet'!D234</f>
        <v>0</v>
      </c>
      <c r="C256" s="191">
        <f>225*'Données projet'!E234+13.8*('Données projet'!F234+'Données projet'!G234)+10*'Données projet'!H234</f>
        <v>0</v>
      </c>
      <c r="D256" s="177">
        <f t="shared" si="13"/>
        <v>0</v>
      </c>
      <c r="E256" s="191"/>
      <c r="F256" s="229"/>
      <c r="G256" s="203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78">
        <f>'Données projet'!A235</f>
        <v>0</v>
      </c>
      <c r="B257" s="179">
        <f>'Données projet'!D235</f>
        <v>0</v>
      </c>
      <c r="C257" s="191">
        <f>225*'Données projet'!E235+13.8*('Données projet'!F235+'Données projet'!G235)+10*'Données projet'!H235</f>
        <v>0</v>
      </c>
      <c r="D257" s="177">
        <f t="shared" si="13"/>
        <v>0</v>
      </c>
      <c r="E257" s="191"/>
      <c r="F257" s="229"/>
      <c r="G257" s="203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78">
        <f>'Données projet'!A236</f>
        <v>0</v>
      </c>
      <c r="B258" s="179">
        <f>'Données projet'!D236</f>
        <v>0</v>
      </c>
      <c r="C258" s="191">
        <f>225*'Données projet'!E236+13.8*('Données projet'!F236+'Données projet'!G236)+10*'Données projet'!H236</f>
        <v>0</v>
      </c>
      <c r="D258" s="177">
        <f t="shared" si="13"/>
        <v>0</v>
      </c>
      <c r="E258" s="191"/>
      <c r="F258" s="229"/>
      <c r="G258" s="203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78">
        <f>'Données projet'!A237</f>
        <v>0</v>
      </c>
      <c r="B259" s="179">
        <f>'Données projet'!D237</f>
        <v>0</v>
      </c>
      <c r="C259" s="191">
        <f>225*'Données projet'!E237+13.8*('Données projet'!F237+'Données projet'!G237)+10*'Données projet'!H237</f>
        <v>0</v>
      </c>
      <c r="D259" s="177">
        <f t="shared" si="13"/>
        <v>0</v>
      </c>
      <c r="E259" s="191"/>
      <c r="F259" s="229"/>
      <c r="G259" s="203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7"/>
      <c r="G260" s="203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7"/>
      <c r="G261" s="203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2" t="str">
        <f>IF('Données projet'!$B$17="","",'Données projet'!$B$17)</f>
        <v>Alisier torminal</v>
      </c>
      <c r="C262" s="4"/>
      <c r="D262" s="4"/>
      <c r="E262" s="4"/>
      <c r="F262" s="227"/>
      <c r="G262" s="203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7"/>
      <c r="G263" s="203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8"/>
      <c r="G264" s="203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6" t="s">
        <v>132</v>
      </c>
      <c r="C265" s="195" t="s">
        <v>132</v>
      </c>
      <c r="D265" s="194" t="s">
        <v>132</v>
      </c>
      <c r="E265" s="191">
        <v>5081.3</v>
      </c>
      <c r="F265" s="228"/>
      <c r="G265" s="203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6" t="s">
        <v>132</v>
      </c>
      <c r="C266" s="195" t="s">
        <v>132</v>
      </c>
      <c r="D266" s="194" t="s">
        <v>132</v>
      </c>
      <c r="E266" s="191"/>
      <c r="F266" s="228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6" t="s">
        <v>132</v>
      </c>
      <c r="C267" s="195" t="s">
        <v>132</v>
      </c>
      <c r="D267" s="194" t="s">
        <v>132</v>
      </c>
      <c r="E267" s="191"/>
      <c r="F267" s="228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6" t="s">
        <v>132</v>
      </c>
      <c r="C268" s="195" t="s">
        <v>132</v>
      </c>
      <c r="D268" s="194" t="s">
        <v>132</v>
      </c>
      <c r="E268" s="191"/>
      <c r="F268" s="228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6" t="s">
        <v>132</v>
      </c>
      <c r="C269" s="195" t="s">
        <v>132</v>
      </c>
      <c r="D269" s="194" t="s">
        <v>132</v>
      </c>
      <c r="E269" s="191"/>
      <c r="F269" s="228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6" t="s">
        <v>132</v>
      </c>
      <c r="C270" s="195" t="s">
        <v>132</v>
      </c>
      <c r="D270" s="194" t="s">
        <v>132</v>
      </c>
      <c r="E270" s="191"/>
      <c r="F270" s="228"/>
      <c r="G270" s="202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78">
        <f>'Données projet'!A244</f>
        <v>44</v>
      </c>
      <c r="B271" s="179">
        <f>'Données projet'!D244</f>
        <v>74.010000000000005</v>
      </c>
      <c r="C271" s="191">
        <f>225*'Données projet'!E244+13.8*('Données projet'!F244+'Données projet'!G244)+10*'Données projet'!H244</f>
        <v>53</v>
      </c>
      <c r="D271" s="177">
        <f>B271*C271</f>
        <v>3922.53</v>
      </c>
      <c r="E271" s="191"/>
      <c r="F271" s="229"/>
      <c r="G271" s="202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78">
        <f>'Données projet'!A245</f>
        <v>51</v>
      </c>
      <c r="B272" s="179">
        <f>'Données projet'!D245</f>
        <v>46.13</v>
      </c>
      <c r="C272" s="191">
        <f>225*'Données projet'!E245+13.8*('Données projet'!F245+'Données projet'!G245)+10*'Données projet'!H245</f>
        <v>74.5</v>
      </c>
      <c r="D272" s="177">
        <f t="shared" ref="D272:D290" si="14">B272*C272</f>
        <v>3436.6850000000004</v>
      </c>
      <c r="E272" s="191"/>
      <c r="F272" s="229"/>
      <c r="G272" s="202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78">
        <f>'Données projet'!A246</f>
        <v>59</v>
      </c>
      <c r="B273" s="179">
        <f>'Données projet'!D246</f>
        <v>48.96</v>
      </c>
      <c r="C273" s="191">
        <f>225*'Données projet'!E246+13.8*('Données projet'!F246+'Données projet'!G246)+10*'Données projet'!H246</f>
        <v>96</v>
      </c>
      <c r="D273" s="177">
        <f t="shared" si="14"/>
        <v>4700.16</v>
      </c>
      <c r="E273" s="191"/>
      <c r="F273" s="229"/>
      <c r="G273" s="202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78">
        <f>'Données projet'!A247</f>
        <v>67</v>
      </c>
      <c r="B274" s="179">
        <f>'Données projet'!D247</f>
        <v>40.630000000000003</v>
      </c>
      <c r="C274" s="191">
        <f>225*'Données projet'!E247+13.8*('Données projet'!F247+'Données projet'!G247)+10*'Données projet'!H247</f>
        <v>117.5</v>
      </c>
      <c r="D274" s="177">
        <f t="shared" si="14"/>
        <v>4774.0250000000005</v>
      </c>
      <c r="E274" s="191"/>
      <c r="F274" s="229"/>
      <c r="G274" s="202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78">
        <f>'Données projet'!A248</f>
        <v>75</v>
      </c>
      <c r="B275" s="179">
        <f>'Données projet'!D248</f>
        <v>39.54</v>
      </c>
      <c r="C275" s="191">
        <f>225*'Données projet'!E248+13.8*('Données projet'!F248+'Données projet'!G248)+10*'Données projet'!H248</f>
        <v>117.5</v>
      </c>
      <c r="D275" s="177">
        <f t="shared" si="14"/>
        <v>4645.95</v>
      </c>
      <c r="E275" s="191"/>
      <c r="F275" s="229"/>
      <c r="G275" s="202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78">
        <f>'Données projet'!A249</f>
        <v>84</v>
      </c>
      <c r="B276" s="179">
        <f>'Données projet'!D249</f>
        <v>44.89</v>
      </c>
      <c r="C276" s="191">
        <f>225*'Données projet'!E249+13.8*('Données projet'!F249+'Données projet'!G249)+10*'Données projet'!H249</f>
        <v>139</v>
      </c>
      <c r="D276" s="177">
        <f t="shared" si="14"/>
        <v>6239.71</v>
      </c>
      <c r="E276" s="191"/>
      <c r="F276" s="229"/>
      <c r="G276" s="202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78">
        <f>'Données projet'!A250</f>
        <v>93</v>
      </c>
      <c r="B277" s="179">
        <f>'Données projet'!D250</f>
        <v>38.57</v>
      </c>
      <c r="C277" s="191">
        <f>225*'Données projet'!E250+13.8*('Données projet'!F250+'Données projet'!G250)+10*'Données projet'!H250</f>
        <v>139</v>
      </c>
      <c r="D277" s="177">
        <f t="shared" si="14"/>
        <v>5361.2300000000005</v>
      </c>
      <c r="E277" s="191"/>
      <c r="F277" s="229"/>
      <c r="G277" s="203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78">
        <f>'Données projet'!A251</f>
        <v>103</v>
      </c>
      <c r="B278" s="179">
        <f>'Données projet'!D251</f>
        <v>50.51</v>
      </c>
      <c r="C278" s="191">
        <f>225*'Données projet'!E251+13.8*('Données projet'!F251+'Données projet'!G251)+10*'Données projet'!H251</f>
        <v>160.5</v>
      </c>
      <c r="D278" s="177">
        <f t="shared" si="14"/>
        <v>8106.8549999999996</v>
      </c>
      <c r="E278" s="191"/>
      <c r="F278" s="229"/>
      <c r="G278" s="203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78">
        <f>'Données projet'!A252</f>
        <v>113</v>
      </c>
      <c r="B279" s="179">
        <f>'Données projet'!D252</f>
        <v>40.479999999999997</v>
      </c>
      <c r="C279" s="191">
        <f>225*'Données projet'!E252+13.8*('Données projet'!F252+'Données projet'!G252)+10*'Données projet'!H252</f>
        <v>160.5</v>
      </c>
      <c r="D279" s="177">
        <f t="shared" si="14"/>
        <v>6497.0399999999991</v>
      </c>
      <c r="E279" s="191"/>
      <c r="F279" s="229"/>
      <c r="G279" s="203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78">
        <f>'Données projet'!A253</f>
        <v>125</v>
      </c>
      <c r="B280" s="179">
        <f>'Données projet'!D253</f>
        <v>61.5</v>
      </c>
      <c r="C280" s="191">
        <f>225*'Données projet'!E253+13.8*('Données projet'!F253+'Données projet'!G253)+10*'Données projet'!H253</f>
        <v>160.5</v>
      </c>
      <c r="D280" s="177">
        <f t="shared" si="14"/>
        <v>9870.75</v>
      </c>
      <c r="E280" s="191"/>
      <c r="F280" s="229"/>
      <c r="G280" s="203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78">
        <f>'Données projet'!A254</f>
        <v>137</v>
      </c>
      <c r="B281" s="179">
        <f>'Données projet'!D254</f>
        <v>65.53</v>
      </c>
      <c r="C281" s="191">
        <f>225*'Données projet'!E254+13.8*('Données projet'!F254+'Données projet'!G254)+10*'Données projet'!H254</f>
        <v>182</v>
      </c>
      <c r="D281" s="177">
        <f t="shared" si="14"/>
        <v>11926.460000000001</v>
      </c>
      <c r="E281" s="191"/>
      <c r="F281" s="229"/>
      <c r="G281" s="203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78">
        <f>'Données projet'!A255</f>
        <v>149</v>
      </c>
      <c r="B282" s="179">
        <f>'Données projet'!D255</f>
        <v>153.56</v>
      </c>
      <c r="C282" s="191">
        <f>225*'Données projet'!E255+13.8*('Données projet'!F255+'Données projet'!G255)+10*'Données projet'!H255</f>
        <v>182</v>
      </c>
      <c r="D282" s="177">
        <f t="shared" si="14"/>
        <v>27947.920000000002</v>
      </c>
      <c r="E282" s="191"/>
      <c r="F282" s="229"/>
      <c r="G282" s="203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78">
        <f>'Données projet'!A256</f>
        <v>153</v>
      </c>
      <c r="B283" s="179">
        <f>'Données projet'!D256</f>
        <v>89.29</v>
      </c>
      <c r="C283" s="191">
        <f>225*'Données projet'!E256+13.8*('Données projet'!F256+'Données projet'!G256)+10*'Données projet'!H256</f>
        <v>182</v>
      </c>
      <c r="D283" s="177">
        <f t="shared" si="14"/>
        <v>16250.78</v>
      </c>
      <c r="E283" s="191"/>
      <c r="F283" s="229"/>
      <c r="G283" s="203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78">
        <f>'Données projet'!A257</f>
        <v>157</v>
      </c>
      <c r="B284" s="179">
        <f>'Données projet'!D257</f>
        <v>57.95</v>
      </c>
      <c r="C284" s="191">
        <f>225*'Données projet'!E257+13.8*('Données projet'!F257+'Données projet'!G257)+10*'Données projet'!H257</f>
        <v>182</v>
      </c>
      <c r="D284" s="177">
        <f t="shared" si="14"/>
        <v>10546.9</v>
      </c>
      <c r="E284" s="191"/>
      <c r="F284" s="229"/>
      <c r="G284" s="203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78">
        <f>'Données projet'!A258</f>
        <v>161</v>
      </c>
      <c r="B285" s="179">
        <f>'Données projet'!D258</f>
        <v>115.43</v>
      </c>
      <c r="C285" s="191">
        <f>225*'Données projet'!E258+13.8*('Données projet'!F258+'Données projet'!G258)+10*'Données projet'!H258</f>
        <v>182</v>
      </c>
      <c r="D285" s="177">
        <f t="shared" si="14"/>
        <v>21008.260000000002</v>
      </c>
      <c r="E285" s="191"/>
      <c r="F285" s="229"/>
      <c r="G285" s="203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78">
        <f>'Données projet'!A259</f>
        <v>0</v>
      </c>
      <c r="B286" s="179">
        <f>'Données projet'!D259</f>
        <v>0</v>
      </c>
      <c r="C286" s="191">
        <f>225*'Données projet'!E259+13.8*('Données projet'!F259+'Données projet'!G259)+10*'Données projet'!H259</f>
        <v>0</v>
      </c>
      <c r="D286" s="177">
        <f t="shared" si="14"/>
        <v>0</v>
      </c>
      <c r="E286" s="191"/>
      <c r="F286" s="229"/>
      <c r="G286" s="203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78">
        <f>'Données projet'!A260</f>
        <v>0</v>
      </c>
      <c r="B287" s="179">
        <f>'Données projet'!D260</f>
        <v>0</v>
      </c>
      <c r="C287" s="191">
        <f>225*'Données projet'!E260+13.8*('Données projet'!F260+'Données projet'!G260)+10*'Données projet'!H260</f>
        <v>0</v>
      </c>
      <c r="D287" s="177">
        <f t="shared" si="14"/>
        <v>0</v>
      </c>
      <c r="E287" s="191"/>
      <c r="F287" s="229"/>
      <c r="G287" s="203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78">
        <f>'Données projet'!A261</f>
        <v>0</v>
      </c>
      <c r="B288" s="179">
        <f>'Données projet'!D261</f>
        <v>0</v>
      </c>
      <c r="C288" s="191">
        <f>225*'Données projet'!E261+13.8*('Données projet'!F261+'Données projet'!G261)+10*'Données projet'!H261</f>
        <v>0</v>
      </c>
      <c r="D288" s="177">
        <f t="shared" si="14"/>
        <v>0</v>
      </c>
      <c r="E288" s="191"/>
      <c r="F288" s="229"/>
      <c r="G288" s="203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78">
        <f>'Données projet'!A262</f>
        <v>0</v>
      </c>
      <c r="B289" s="179">
        <f>'Données projet'!D262</f>
        <v>0</v>
      </c>
      <c r="C289" s="191">
        <f>225*'Données projet'!E262+13.8*('Données projet'!F262+'Données projet'!G262)+10*'Données projet'!H262</f>
        <v>0</v>
      </c>
      <c r="D289" s="177">
        <f t="shared" si="14"/>
        <v>0</v>
      </c>
      <c r="E289" s="191"/>
      <c r="F289" s="229"/>
      <c r="G289" s="203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78">
        <f>'Données projet'!A263</f>
        <v>0</v>
      </c>
      <c r="B290" s="179">
        <f>'Données projet'!D263</f>
        <v>0</v>
      </c>
      <c r="C290" s="191">
        <f>225*'Données projet'!E263+13.8*('Données projet'!F263+'Données projet'!G263)+10*'Données projet'!H263</f>
        <v>0</v>
      </c>
      <c r="D290" s="177">
        <f t="shared" si="14"/>
        <v>0</v>
      </c>
      <c r="E290" s="191"/>
      <c r="F290" s="229"/>
      <c r="G290" s="203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7"/>
      <c r="G291" s="203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7"/>
      <c r="G292" s="203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2" t="str">
        <f>IF('Données projet'!$B$18="","",'Données projet'!$B$18)</f>
        <v>Erable champêtre</v>
      </c>
      <c r="C293" s="4"/>
      <c r="D293" s="4"/>
      <c r="E293" s="4"/>
      <c r="F293" s="227"/>
      <c r="G293" s="203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7"/>
      <c r="G294" s="203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8"/>
      <c r="G295" s="203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6" t="s">
        <v>132</v>
      </c>
      <c r="C296" s="195" t="s">
        <v>132</v>
      </c>
      <c r="D296" s="194" t="s">
        <v>132</v>
      </c>
      <c r="E296" s="191">
        <v>3581.9</v>
      </c>
      <c r="F296" s="228"/>
      <c r="G296" s="203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6" t="s">
        <v>132</v>
      </c>
      <c r="C297" s="195" t="s">
        <v>132</v>
      </c>
      <c r="D297" s="194" t="s">
        <v>132</v>
      </c>
      <c r="E297" s="191"/>
      <c r="F297" s="228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6" t="s">
        <v>132</v>
      </c>
      <c r="C298" s="195" t="s">
        <v>132</v>
      </c>
      <c r="D298" s="194" t="s">
        <v>132</v>
      </c>
      <c r="E298" s="191"/>
      <c r="F298" s="228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6" t="s">
        <v>132</v>
      </c>
      <c r="C299" s="195" t="s">
        <v>132</v>
      </c>
      <c r="D299" s="194" t="s">
        <v>132</v>
      </c>
      <c r="E299" s="191"/>
      <c r="F299" s="228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6" t="s">
        <v>132</v>
      </c>
      <c r="C300" s="195" t="s">
        <v>132</v>
      </c>
      <c r="D300" s="194" t="s">
        <v>132</v>
      </c>
      <c r="E300" s="191"/>
      <c r="F300" s="228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6" t="s">
        <v>132</v>
      </c>
      <c r="C301" s="195" t="s">
        <v>132</v>
      </c>
      <c r="D301" s="194" t="s">
        <v>132</v>
      </c>
      <c r="E301" s="191"/>
      <c r="F301" s="228"/>
      <c r="G301" s="202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78">
        <f>'Données projet'!A270</f>
        <v>15</v>
      </c>
      <c r="B302" s="179">
        <f>'Données projet'!D270</f>
        <v>15</v>
      </c>
      <c r="C302" s="189">
        <f>225*'Données projet'!E270+13.8*('Données projet'!F270+'Données projet'!G270)+10*'Données projet'!H270</f>
        <v>10</v>
      </c>
      <c r="D302" s="180">
        <f>B302*C302</f>
        <v>150</v>
      </c>
      <c r="E302" s="191"/>
      <c r="F302" s="230"/>
      <c r="G302" s="202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78">
        <f>'Données projet'!A271</f>
        <v>20</v>
      </c>
      <c r="B303" s="179">
        <f>'Données projet'!D271</f>
        <v>28</v>
      </c>
      <c r="C303" s="189">
        <f>225*'Données projet'!E271+13.8*('Données projet'!F271+'Données projet'!G271)+10*'Données projet'!H271</f>
        <v>10</v>
      </c>
      <c r="D303" s="180">
        <f t="shared" ref="D303:D321" si="15">B303*C303</f>
        <v>280</v>
      </c>
      <c r="E303" s="191"/>
      <c r="F303" s="230"/>
      <c r="G303" s="202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78">
        <f>'Données projet'!A272</f>
        <v>25</v>
      </c>
      <c r="B304" s="179">
        <f>'Données projet'!D272</f>
        <v>28</v>
      </c>
      <c r="C304" s="189">
        <f>225*'Données projet'!E272+13.8*('Données projet'!F272+'Données projet'!G272)+10*'Données projet'!H272</f>
        <v>10</v>
      </c>
      <c r="D304" s="180">
        <f t="shared" si="15"/>
        <v>280</v>
      </c>
      <c r="E304" s="191"/>
      <c r="F304" s="230"/>
      <c r="G304" s="202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78">
        <f>'Données projet'!A273</f>
        <v>30</v>
      </c>
      <c r="B305" s="179">
        <f>'Données projet'!D273</f>
        <v>28</v>
      </c>
      <c r="C305" s="189">
        <f>225*'Données projet'!E273+13.8*('Données projet'!F273+'Données projet'!G273)+10*'Données projet'!H273</f>
        <v>53</v>
      </c>
      <c r="D305" s="180">
        <f t="shared" si="15"/>
        <v>1484</v>
      </c>
      <c r="E305" s="191"/>
      <c r="F305" s="230"/>
      <c r="G305" s="202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78">
        <f>'Données projet'!A274</f>
        <v>35</v>
      </c>
      <c r="B306" s="179">
        <f>'Données projet'!D274</f>
        <v>28</v>
      </c>
      <c r="C306" s="189">
        <f>225*'Données projet'!E274+13.8*('Données projet'!F274+'Données projet'!G274)+10*'Données projet'!H274</f>
        <v>74.5</v>
      </c>
      <c r="D306" s="180">
        <f t="shared" si="15"/>
        <v>2086</v>
      </c>
      <c r="E306" s="191"/>
      <c r="F306" s="230"/>
      <c r="G306" s="202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78">
        <f>'Données projet'!A275</f>
        <v>40</v>
      </c>
      <c r="B307" s="179">
        <f>'Données projet'!D275</f>
        <v>28</v>
      </c>
      <c r="C307" s="189">
        <f>225*'Données projet'!E275+13.8*('Données projet'!F275+'Données projet'!G275)+10*'Données projet'!H275</f>
        <v>74.5</v>
      </c>
      <c r="D307" s="180">
        <f t="shared" si="15"/>
        <v>2086</v>
      </c>
      <c r="E307" s="191"/>
      <c r="F307" s="230"/>
      <c r="G307" s="202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78">
        <f>'Données projet'!A276</f>
        <v>45</v>
      </c>
      <c r="B308" s="179">
        <f>'Données projet'!D276</f>
        <v>22</v>
      </c>
      <c r="C308" s="189">
        <f>225*'Données projet'!E276+13.8*('Données projet'!F276+'Données projet'!G276)+10*'Données projet'!H276</f>
        <v>96</v>
      </c>
      <c r="D308" s="180">
        <f t="shared" si="15"/>
        <v>2112</v>
      </c>
      <c r="E308" s="191"/>
      <c r="F308" s="230"/>
      <c r="G308" s="200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78">
        <f>'Données projet'!A277</f>
        <v>50</v>
      </c>
      <c r="B309" s="179">
        <f>'Données projet'!D277</f>
        <v>17</v>
      </c>
      <c r="C309" s="189">
        <f>225*'Données projet'!E277+13.8*('Données projet'!F277+'Données projet'!G277)+10*'Données projet'!H277</f>
        <v>96</v>
      </c>
      <c r="D309" s="180">
        <f t="shared" si="15"/>
        <v>1632</v>
      </c>
      <c r="E309" s="191"/>
      <c r="F309" s="230"/>
      <c r="G309" s="200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78">
        <f>'Données projet'!A278</f>
        <v>55</v>
      </c>
      <c r="B310" s="179">
        <f>'Données projet'!D278</f>
        <v>13</v>
      </c>
      <c r="C310" s="189">
        <f>225*'Données projet'!E278+13.8*('Données projet'!F278+'Données projet'!G278)+10*'Données projet'!H278</f>
        <v>117.5</v>
      </c>
      <c r="D310" s="180">
        <f t="shared" si="15"/>
        <v>1527.5</v>
      </c>
      <c r="E310" s="191"/>
      <c r="F310" s="230"/>
      <c r="G310" s="200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78">
        <f>'Données projet'!A279</f>
        <v>60</v>
      </c>
      <c r="B311" s="179">
        <f>'Données projet'!D279</f>
        <v>12</v>
      </c>
      <c r="C311" s="189">
        <f>225*'Données projet'!E279+13.8*('Données projet'!F279+'Données projet'!G279)+10*'Données projet'!H279</f>
        <v>117.5</v>
      </c>
      <c r="D311" s="180">
        <f t="shared" si="15"/>
        <v>1410</v>
      </c>
      <c r="E311" s="191"/>
      <c r="F311" s="230"/>
      <c r="G311" s="200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78">
        <f>'Données projet'!A280</f>
        <v>65</v>
      </c>
      <c r="B312" s="179">
        <f>'Données projet'!D280</f>
        <v>11</v>
      </c>
      <c r="C312" s="189">
        <f>225*'Données projet'!E280+13.8*('Données projet'!F280+'Données projet'!G280)+10*'Données projet'!H280</f>
        <v>139</v>
      </c>
      <c r="D312" s="180">
        <f t="shared" si="15"/>
        <v>1529</v>
      </c>
      <c r="E312" s="191"/>
      <c r="F312" s="230"/>
      <c r="G312" s="200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78">
        <f>'Données projet'!A281</f>
        <v>70</v>
      </c>
      <c r="B313" s="179">
        <f>'Données projet'!D281</f>
        <v>10</v>
      </c>
      <c r="C313" s="189">
        <f>225*'Données projet'!E281+13.8*('Données projet'!F281+'Données projet'!G281)+10*'Données projet'!H281</f>
        <v>139</v>
      </c>
      <c r="D313" s="180">
        <f t="shared" si="15"/>
        <v>1390</v>
      </c>
      <c r="E313" s="191"/>
      <c r="F313" s="230"/>
      <c r="G313" s="200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78">
        <f>'Données projet'!A282</f>
        <v>75</v>
      </c>
      <c r="B314" s="179">
        <f>'Données projet'!D282</f>
        <v>9</v>
      </c>
      <c r="C314" s="189">
        <f>225*'Données projet'!E282+13.8*('Données projet'!F282+'Données projet'!G282)+10*'Données projet'!H282</f>
        <v>160.5</v>
      </c>
      <c r="D314" s="180">
        <f t="shared" si="15"/>
        <v>1444.5</v>
      </c>
      <c r="E314" s="191"/>
      <c r="F314" s="230"/>
      <c r="G314" s="200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78">
        <f>'Données projet'!A283</f>
        <v>80</v>
      </c>
      <c r="B315" s="179">
        <f>'Données projet'!D283</f>
        <v>275</v>
      </c>
      <c r="C315" s="189">
        <f>225*'Données projet'!E283+13.8*('Données projet'!F283+'Données projet'!G283)+10*'Données projet'!H283</f>
        <v>182</v>
      </c>
      <c r="D315" s="180">
        <f t="shared" si="15"/>
        <v>50050</v>
      </c>
      <c r="E315" s="191"/>
      <c r="F315" s="230"/>
      <c r="G315" s="200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78">
        <f>'Données projet'!A284</f>
        <v>0</v>
      </c>
      <c r="B316" s="179">
        <f>'Données projet'!D284</f>
        <v>0</v>
      </c>
      <c r="C316" s="189">
        <f>225*'Données projet'!E284+13.8*('Données projet'!F284+'Données projet'!G284)+10*'Données projet'!H284</f>
        <v>0</v>
      </c>
      <c r="D316" s="180">
        <f t="shared" si="15"/>
        <v>0</v>
      </c>
      <c r="E316" s="191"/>
      <c r="F316" s="230"/>
      <c r="G316" s="200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78">
        <f>'Données projet'!A285</f>
        <v>0</v>
      </c>
      <c r="B317" s="179">
        <f>'Données projet'!D285</f>
        <v>0</v>
      </c>
      <c r="C317" s="189">
        <f>225*'Données projet'!E285+13.8*('Données projet'!F285+'Données projet'!G285)+10*'Données projet'!H285</f>
        <v>0</v>
      </c>
      <c r="D317" s="180">
        <f t="shared" si="15"/>
        <v>0</v>
      </c>
      <c r="E317" s="191"/>
      <c r="F317" s="230"/>
      <c r="G317" s="200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78">
        <f>'Données projet'!A286</f>
        <v>0</v>
      </c>
      <c r="B318" s="179">
        <f>'Données projet'!D286</f>
        <v>0</v>
      </c>
      <c r="C318" s="189">
        <f>225*'Données projet'!E286+13.8*('Données projet'!F286+'Données projet'!G286)+10*'Données projet'!H286</f>
        <v>0</v>
      </c>
      <c r="D318" s="180">
        <f t="shared" si="15"/>
        <v>0</v>
      </c>
      <c r="E318" s="191"/>
      <c r="F318" s="230"/>
      <c r="G318" s="200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78">
        <f>'Données projet'!A287</f>
        <v>0</v>
      </c>
      <c r="B319" s="179">
        <f>'Données projet'!D287</f>
        <v>0</v>
      </c>
      <c r="C319" s="189">
        <f>225*'Données projet'!E287+13.8*('Données projet'!F287+'Données projet'!G287)+10*'Données projet'!H287</f>
        <v>0</v>
      </c>
      <c r="D319" s="180">
        <f t="shared" si="15"/>
        <v>0</v>
      </c>
      <c r="E319" s="191"/>
      <c r="F319" s="230"/>
      <c r="G319" s="200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78">
        <f>'Données projet'!A288</f>
        <v>0</v>
      </c>
      <c r="B320" s="179">
        <f>'Données projet'!D288</f>
        <v>0</v>
      </c>
      <c r="C320" s="189">
        <f>225*'Données projet'!E288+13.8*('Données projet'!F288+'Données projet'!G288)+10*'Données projet'!H288</f>
        <v>0</v>
      </c>
      <c r="D320" s="180">
        <f t="shared" si="15"/>
        <v>0</v>
      </c>
      <c r="E320" s="191"/>
      <c r="F320" s="230"/>
      <c r="G320" s="200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78">
        <f>'Données projet'!A289</f>
        <v>0</v>
      </c>
      <c r="B321" s="179">
        <f>'Données projet'!D289</f>
        <v>0</v>
      </c>
      <c r="C321" s="189">
        <f>225*'Données projet'!E289+13.8*('Données projet'!F289+'Données projet'!G289)+10*'Données projet'!H289</f>
        <v>0</v>
      </c>
      <c r="D321" s="180">
        <f t="shared" si="15"/>
        <v>0</v>
      </c>
      <c r="E321" s="191"/>
      <c r="F321" s="230"/>
      <c r="G321" s="200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0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0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0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0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0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0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2024-08-07T15:24:01Z</dcterms:modified>
</cp:coreProperties>
</file>